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5180" windowHeight="8070" tabRatio="500" firstSheet="2" activeTab="2"/>
  </bookViews>
  <sheets>
    <sheet name="Import" sheetId="1" state="hidden" r:id="rId1"/>
    <sheet name="Kontroll" sheetId="2" state="hidden" r:id="rId2"/>
    <sheet name="Start" sheetId="3" r:id="rId3"/>
    <sheet name="Försättsblad" sheetId="4" r:id="rId4"/>
    <sheet name="Resultat" sheetId="5" r:id="rId5"/>
    <sheet name="Balans" sheetId="6" r:id="rId6"/>
    <sheet name="Aktier &amp; Andelar" sheetId="7" r:id="rId7"/>
    <sheet name="Definitioner" sheetId="8" r:id="rId8"/>
    <sheet name="Anvisningar" sheetId="9" r:id="rId9"/>
    <sheet name="db_kontroller" sheetId="10" state="hidden" r:id="rId10"/>
    <sheet name="db" sheetId="11" state="hidden" r:id="rId11"/>
  </sheets>
  <definedNames>
    <definedName name="data" localSheetId="10">'db'!#REF!</definedName>
    <definedName name="data_1" localSheetId="10">'db'!#REF!</definedName>
    <definedName name="data_10" localSheetId="10">'db'!#REF!</definedName>
    <definedName name="data_11" localSheetId="10">'db'!#REF!</definedName>
    <definedName name="data_12" localSheetId="10">'db'!#REF!</definedName>
    <definedName name="data_13" localSheetId="10">'db'!#REF!</definedName>
    <definedName name="data_14" localSheetId="10">'db'!#REF!</definedName>
    <definedName name="data_15" localSheetId="10">'db'!#REF!</definedName>
    <definedName name="data_16" localSheetId="10">'db'!#REF!</definedName>
    <definedName name="data_17" localSheetId="10">'db'!#REF!</definedName>
    <definedName name="data_18" localSheetId="10">'db'!#REF!</definedName>
    <definedName name="data_19" localSheetId="10">'db'!#REF!</definedName>
    <definedName name="data_2" localSheetId="10">'db'!#REF!</definedName>
    <definedName name="data_20" localSheetId="10">'db'!#REF!</definedName>
    <definedName name="data_21" localSheetId="10">'db'!#REF!</definedName>
    <definedName name="data_22" localSheetId="10">'db'!#REF!</definedName>
    <definedName name="data_23" localSheetId="10">'db'!#REF!</definedName>
    <definedName name="data_24" localSheetId="10">'db'!#REF!</definedName>
    <definedName name="data_25" localSheetId="10">'db'!#REF!</definedName>
    <definedName name="data_26" localSheetId="10">'db'!#REF!</definedName>
    <definedName name="data_27" localSheetId="10">'db'!#REF!</definedName>
    <definedName name="data_28" localSheetId="10">'db'!#REF!</definedName>
    <definedName name="data_29" localSheetId="10">'db'!#REF!</definedName>
    <definedName name="data_3" localSheetId="10">'db'!#REF!</definedName>
    <definedName name="data_30" localSheetId="10">'db'!#REF!</definedName>
    <definedName name="data_31" localSheetId="10">'db'!#REF!</definedName>
    <definedName name="data_32" localSheetId="10">'db'!#REF!</definedName>
    <definedName name="data_33" localSheetId="10">'db'!#REF!</definedName>
    <definedName name="data_34" localSheetId="10">'db'!#REF!</definedName>
    <definedName name="data_35" localSheetId="10">'db'!#REF!</definedName>
    <definedName name="data_36" localSheetId="10">'db'!#REF!</definedName>
    <definedName name="data_37" localSheetId="10">'db'!#REF!</definedName>
    <definedName name="data_38" localSheetId="10">'db'!#REF!</definedName>
    <definedName name="data_39" localSheetId="10">'db'!#REF!</definedName>
    <definedName name="data_4" localSheetId="10">'db'!#REF!</definedName>
    <definedName name="data_40" localSheetId="10">'db'!#REF!</definedName>
    <definedName name="data_41" localSheetId="10">'db'!#REF!</definedName>
    <definedName name="data_42" localSheetId="10">'db'!#REF!</definedName>
    <definedName name="data_43" localSheetId="10">'db'!#REF!</definedName>
    <definedName name="data_44" localSheetId="10">'db'!#REF!</definedName>
    <definedName name="data_45" localSheetId="10">'db'!#REF!</definedName>
    <definedName name="data_46" localSheetId="10">'db'!#REF!</definedName>
    <definedName name="data_47" localSheetId="10">'db'!#REF!</definedName>
    <definedName name="data_48" localSheetId="10">'db'!#REF!</definedName>
    <definedName name="data_49" localSheetId="10">'db'!#REF!</definedName>
    <definedName name="data_5" localSheetId="10">'db'!#REF!</definedName>
    <definedName name="data_50" localSheetId="10">'db'!#REF!</definedName>
    <definedName name="data_51" localSheetId="10">'db'!#REF!</definedName>
    <definedName name="data_52" localSheetId="10">'db'!#REF!</definedName>
    <definedName name="data_53" localSheetId="10">'db'!#REF!</definedName>
    <definedName name="data_54" localSheetId="10">'db'!#REF!</definedName>
    <definedName name="data_55" localSheetId="10">'db'!#REF!</definedName>
    <definedName name="data_56" localSheetId="10">'db'!#REF!</definedName>
    <definedName name="data_57" localSheetId="10">'db'!#REF!</definedName>
    <definedName name="data_58" localSheetId="10">'db'!#REF!</definedName>
    <definedName name="data_59" localSheetId="10">'db'!#REF!</definedName>
    <definedName name="data_6" localSheetId="10">'db'!#REF!</definedName>
    <definedName name="data_60" localSheetId="10">'db'!#REF!</definedName>
    <definedName name="data_61" localSheetId="10">'db'!#REF!</definedName>
    <definedName name="data_62" localSheetId="10">'db'!#REF!</definedName>
    <definedName name="data_63" localSheetId="10">'db'!#REF!</definedName>
    <definedName name="data_64" localSheetId="10">'db'!#REF!</definedName>
    <definedName name="data_65" localSheetId="10">'db'!#REF!</definedName>
    <definedName name="data_66" localSheetId="10">'db'!#REF!</definedName>
    <definedName name="data_67" localSheetId="10">'db'!#REF!</definedName>
    <definedName name="data_68" localSheetId="10">'db'!#REF!</definedName>
    <definedName name="data_69" localSheetId="10">'db'!#REF!</definedName>
    <definedName name="data_7" localSheetId="10">'db'!#REF!</definedName>
    <definedName name="data_70" localSheetId="10">'db'!#REF!</definedName>
    <definedName name="data_71" localSheetId="10">'db'!#REF!</definedName>
    <definedName name="data_72" localSheetId="10">'db'!#REF!</definedName>
    <definedName name="data_73" localSheetId="10">'db'!#REF!</definedName>
    <definedName name="data_74" localSheetId="10">'db'!#REF!</definedName>
    <definedName name="data_75" localSheetId="10">'db'!#REF!</definedName>
    <definedName name="data_8" localSheetId="10">'db'!#REF!</definedName>
    <definedName name="data_9" localSheetId="10">'db'!#REF!</definedName>
    <definedName name="FMR" localSheetId="10">'db'!#REF!</definedName>
    <definedName name="FMR_1" localSheetId="10">'db'!#REF!</definedName>
    <definedName name="FMR_10" localSheetId="10">'db'!#REF!</definedName>
    <definedName name="FMR_11" localSheetId="10">'db'!#REF!</definedName>
    <definedName name="FMR_12" localSheetId="10">'db'!#REF!</definedName>
    <definedName name="FMR_13" localSheetId="10">'db'!#REF!</definedName>
    <definedName name="FMR_2" localSheetId="10">'db'!#REF!</definedName>
    <definedName name="FMR_3" localSheetId="10">'db'!#REF!</definedName>
    <definedName name="FMR_4" localSheetId="10">'db'!#REF!</definedName>
    <definedName name="FMR_5" localSheetId="10">'db'!#REF!</definedName>
    <definedName name="FMR_6" localSheetId="10">'db'!#REF!</definedName>
    <definedName name="FMR_7" localSheetId="10">'db'!#REF!</definedName>
    <definedName name="FMR_8" localSheetId="10">'db'!#REF!</definedName>
    <definedName name="FMR_9" localSheetId="10">'db'!#REF!</definedName>
    <definedName name="Inm_19919">'Aktier &amp; Andelar'!$I$33</definedName>
    <definedName name="Inm_19920">'Aktier &amp; Andelar'!$I$31</definedName>
    <definedName name="Inm_19921">'Aktier &amp; Andelar'!$I$30</definedName>
    <definedName name="Inm_19922">'Aktier &amp; Andelar'!$I$28</definedName>
    <definedName name="Inm_19923">'Aktier &amp; Andelar'!$I$27</definedName>
    <definedName name="Inm_19924">'Aktier &amp; Andelar'!$I$26</definedName>
    <definedName name="Inm_19925">'Aktier &amp; Andelar'!$H$33</definedName>
    <definedName name="Inm_19926">'Aktier &amp; Andelar'!$H$31</definedName>
    <definedName name="Inm_19927">'Aktier &amp; Andelar'!$H$30</definedName>
    <definedName name="Inm_19928">'Aktier &amp; Andelar'!$H$28</definedName>
    <definedName name="Inm_19929">'Aktier &amp; Andelar'!$H$27</definedName>
    <definedName name="Inm_19930">'Aktier &amp; Andelar'!$H$26</definedName>
    <definedName name="Inm_19931">'Aktier &amp; Andelar'!$G$33</definedName>
    <definedName name="Inm_19932">'Aktier &amp; Andelar'!$G$31</definedName>
    <definedName name="Inm_19933">'Aktier &amp; Andelar'!$G$30</definedName>
    <definedName name="Inm_19934">'Aktier &amp; Andelar'!$G$28</definedName>
    <definedName name="Inm_19935">'Aktier &amp; Andelar'!$G$27</definedName>
    <definedName name="Inm_19936">'Aktier &amp; Andelar'!$G$26</definedName>
    <definedName name="Inm_19937">'Aktier &amp; Andelar'!$F$33</definedName>
    <definedName name="Inm_19938">'Aktier &amp; Andelar'!$F$31</definedName>
    <definedName name="Inm_19939">'Aktier &amp; Andelar'!$F$30</definedName>
    <definedName name="Inm_19940">'Aktier &amp; Andelar'!$F$28</definedName>
    <definedName name="Inm_19941">'Aktier &amp; Andelar'!$F$27</definedName>
    <definedName name="Inm_19942">'Aktier &amp; Andelar'!$F$26</definedName>
    <definedName name="Inm_19943">'Aktier &amp; Andelar'!$E$33</definedName>
    <definedName name="Inm_19944">'Aktier &amp; Andelar'!$E$31</definedName>
    <definedName name="Inm_19945">'Aktier &amp; Andelar'!$E$30</definedName>
    <definedName name="Inm_19946">'Aktier &amp; Andelar'!$E$28</definedName>
    <definedName name="Inm_19947">'Aktier &amp; Andelar'!$E$27</definedName>
    <definedName name="Inm_19948">'Aktier &amp; Andelar'!$E$26</definedName>
    <definedName name="Inm_19949">'Aktier &amp; Andelar'!$E$20</definedName>
    <definedName name="Inm_19950">'Aktier &amp; Andelar'!$E$19</definedName>
    <definedName name="Inm_19951">'Aktier &amp; Andelar'!$E$18</definedName>
    <definedName name="Inm_19952">'Aktier &amp; Andelar'!$E$15</definedName>
    <definedName name="Inm_19953">'Aktier &amp; Andelar'!$E$14</definedName>
    <definedName name="Inm_19954">'Aktier &amp; Andelar'!$E$12</definedName>
    <definedName name="Inm_19955">'Aktier &amp; Andelar'!$E$7</definedName>
    <definedName name="Inm_19956">'Aktier &amp; Andelar'!$E$5</definedName>
    <definedName name="Inm_19957">'Resultat'!$D$51</definedName>
    <definedName name="Inm_19958">'Resultat'!$D$50</definedName>
    <definedName name="Inm_19959">'Resultat'!$D$48</definedName>
    <definedName name="Inm_19960">'Resultat'!$D$46</definedName>
    <definedName name="Inm_19961">'Resultat'!$D$45</definedName>
    <definedName name="Inm_19962">'Resultat'!$D$44</definedName>
    <definedName name="Inm_19963">'Resultat'!$D$43</definedName>
    <definedName name="Inm_19964">'Resultat'!$D$42</definedName>
    <definedName name="Inm_19965">'Resultat'!$D$41</definedName>
    <definedName name="Inm_19966">'Resultat'!$D$40</definedName>
    <definedName name="Inm_19967">'Resultat'!$D$38</definedName>
    <definedName name="Inm_19968">'Resultat'!$D$36</definedName>
    <definedName name="Inm_19969">'Resultat'!$D$35</definedName>
    <definedName name="Inm_19970">'Resultat'!$D$34</definedName>
    <definedName name="Inm_19971">'Resultat'!$D$33</definedName>
    <definedName name="Inm_19972">'Resultat'!$D$32</definedName>
    <definedName name="Inm_19973">'Resultat'!$D$31</definedName>
    <definedName name="Inm_19974">'Resultat'!$D$30</definedName>
    <definedName name="Inm_19975">'Resultat'!$D$29</definedName>
    <definedName name="Inm_19976">'Resultat'!$D$27</definedName>
    <definedName name="Inm_19977">'Resultat'!$D$25</definedName>
    <definedName name="Inm_19978">'Resultat'!$D$24</definedName>
    <definedName name="Inm_19979">'Resultat'!$D$22</definedName>
    <definedName name="Inm_19980">'Resultat'!$D$21</definedName>
    <definedName name="Inm_19981">'Resultat'!$D$20</definedName>
    <definedName name="Inm_19982">'Resultat'!$D$19</definedName>
    <definedName name="Inm_19983">'Resultat'!$D$16</definedName>
    <definedName name="Inm_19984">'Resultat'!$D$15</definedName>
    <definedName name="Inm_19985">'Resultat'!$D$13</definedName>
    <definedName name="Inm_19986">'Resultat'!$D$12</definedName>
    <definedName name="Inm_19987">'Resultat'!$D$11</definedName>
    <definedName name="Inm_19988">'Resultat'!$D$8</definedName>
    <definedName name="Inm_19989">'Resultat'!$D$7</definedName>
    <definedName name="Inm_19990">'Resultat'!$D$6</definedName>
    <definedName name="Inm_19991">'Resultat'!$D$5</definedName>
    <definedName name="Inm_19992">'Balans'!$D$96</definedName>
    <definedName name="Inm_19995">'Balans'!$D$93</definedName>
    <definedName name="Inm_19996">'Balans'!$D$92</definedName>
    <definedName name="Inm_19997">'Balans'!$D$91</definedName>
    <definedName name="Inm_19998">'Balans'!$D$90</definedName>
    <definedName name="Inm_19999">'Balans'!$D$89</definedName>
    <definedName name="Inm_20000">'Balans'!$D$88</definedName>
    <definedName name="Inm_20001">'Balans'!$D$87</definedName>
    <definedName name="Inm_20002">'Balans'!$D$86</definedName>
    <definedName name="Inm_20003">'Balans'!$D$84</definedName>
    <definedName name="Inm_20004">'Balans'!$D$83</definedName>
    <definedName name="Inm_20005">'Balans'!$D$82</definedName>
    <definedName name="Inm_20006">'Balans'!$D$80</definedName>
    <definedName name="Inm_20008">'Balans'!$D$5</definedName>
    <definedName name="Inm_20009">'Balans'!$D$8</definedName>
    <definedName name="Inm_20010">'Balans'!$D$9</definedName>
    <definedName name="Inm_20011">'Balans'!$D$10</definedName>
    <definedName name="Inm_20012">'Balans'!$D$12</definedName>
    <definedName name="Inm_20013">'Balans'!$D$13</definedName>
    <definedName name="Inm_20014">'Balans'!$D$68</definedName>
    <definedName name="Inm_20015">'Balans'!$D$67</definedName>
    <definedName name="Inm_20016">'Balans'!$D$66</definedName>
    <definedName name="Inm_20017">'Balans'!$D$65</definedName>
    <definedName name="Inm_20018">'Balans'!$D$64</definedName>
    <definedName name="Inm_20019">'Balans'!$D$63</definedName>
    <definedName name="Inm_20020">'Balans'!$D$62</definedName>
    <definedName name="Inm_20021">'Balans'!$D$61</definedName>
    <definedName name="Inm_20022">'Balans'!$D$58</definedName>
    <definedName name="Inm_20023">'Balans'!$D$57</definedName>
    <definedName name="Inm_20024">'Balans'!$D$55</definedName>
    <definedName name="Inm_20025">'Balans'!$D$54</definedName>
    <definedName name="Inm_20026">'Balans'!$D$53</definedName>
    <definedName name="Inm_20027">'Balans'!$D$50</definedName>
    <definedName name="Inm_20028">'Balans'!$D$49</definedName>
    <definedName name="Inm_20029">'Balans'!$D$48</definedName>
    <definedName name="Inm_20030">'Balans'!$D$47</definedName>
    <definedName name="Inm_20032">'Balans'!$D$45</definedName>
    <definedName name="Inm_20033">'Balans'!$D$44</definedName>
    <definedName name="Inm_20034">'Balans'!$D$43</definedName>
    <definedName name="Inm_20035">'Balans'!$D$41</definedName>
    <definedName name="Inm_20036">'Balans'!$D$38</definedName>
    <definedName name="Inm_20037">'Balans'!$D$35</definedName>
    <definedName name="Inm_20038">'Balans'!$D$34</definedName>
    <definedName name="Inm_20039">'Balans'!$D$33</definedName>
    <definedName name="Inm_20040">'Balans'!$D$32</definedName>
    <definedName name="Inm_20041">'Balans'!$D$31</definedName>
    <definedName name="Inm_20042">'Balans'!$D$30</definedName>
    <definedName name="Inm_20043">'Balans'!$D$29</definedName>
    <definedName name="Inm_20044">'Balans'!$D$28</definedName>
    <definedName name="Inm_20045">'Balans'!$D$27</definedName>
    <definedName name="Inm_20046">'Balans'!$D$26</definedName>
    <definedName name="Inm_20047">'Balans'!$D$25</definedName>
    <definedName name="Inm_20048">'Balans'!$D$24</definedName>
    <definedName name="Inm_20049">'Balans'!$D$23</definedName>
    <definedName name="Inm_20050">'Balans'!$D$22</definedName>
    <definedName name="Inm_20051">'Balans'!$D$21</definedName>
    <definedName name="Inm_20052">'Balans'!$D$20</definedName>
    <definedName name="Inm_20053">'Balans'!$D$19</definedName>
    <definedName name="Inm_20054">'Balans'!$D$18</definedName>
    <definedName name="Inm_20055">'Balans'!$D$17</definedName>
    <definedName name="Inm_20056">'Balans'!$D$15</definedName>
    <definedName name="Inm_20057">'Balans'!$D$14</definedName>
    <definedName name="Inm_20058">'Balans'!$D$7</definedName>
    <definedName name="Inm_20059">'Balans'!$D$69</definedName>
    <definedName name="Inm_20060">'Balans'!$D$70</definedName>
    <definedName name="Inm_20061">'Balans'!$D$71</definedName>
    <definedName name="Inm_20063">'Balans'!$D$77</definedName>
    <definedName name="Inm_20071">'Balans'!$D$79</definedName>
    <definedName name="Inm_20072">'Aktier &amp; Andelar'!$E$8</definedName>
    <definedName name="Inm_20073">'Balans'!$D$36</definedName>
    <definedName name="VarID_19919">'db'!$A$144</definedName>
    <definedName name="VarID_19920">'db'!$A$139</definedName>
    <definedName name="VarID_19921">'db'!$A$134</definedName>
    <definedName name="VarID_19922">'db'!$A$129</definedName>
    <definedName name="VarID_19923">'db'!$A$124</definedName>
    <definedName name="VarID_19924">'db'!$A$119</definedName>
    <definedName name="VarID_19925">'db'!$A$143</definedName>
    <definedName name="VarID_19926">'db'!$A$138</definedName>
    <definedName name="VarID_19927">'db'!$A$133</definedName>
    <definedName name="VarID_19928">'db'!$A$128</definedName>
    <definedName name="VarID_19929">'db'!$A$123</definedName>
    <definedName name="VarID_19930">'db'!$A$118</definedName>
    <definedName name="VarID_19931">'db'!$A$142</definedName>
    <definedName name="VarID_19932">'db'!$A$137</definedName>
    <definedName name="VarID_19933">'db'!$A$132</definedName>
    <definedName name="VarID_19934">'db'!$A$127</definedName>
    <definedName name="VarID_19935">'db'!$A$122</definedName>
    <definedName name="VarID_19936">'db'!$A$117</definedName>
    <definedName name="VarID_19937">'db'!$A$141</definedName>
    <definedName name="VarID_19938">'db'!$A$136</definedName>
    <definedName name="VarID_19939">'db'!$A$131</definedName>
    <definedName name="VarID_19940">'db'!$A$126</definedName>
    <definedName name="VarID_19941">'db'!$A$121</definedName>
    <definedName name="VarID_19942">'db'!$A$116</definedName>
    <definedName name="VarID_19943">'db'!$A$140</definedName>
    <definedName name="VarID_19944">'db'!$A$135</definedName>
    <definedName name="VarID_19945">'db'!$A$130</definedName>
    <definedName name="VarID_19946">'db'!$A$125</definedName>
    <definedName name="VarID_19947">'db'!$A$120</definedName>
    <definedName name="VarID_19948">'db'!$A$115</definedName>
    <definedName name="VarID_19949">'db'!$A$114</definedName>
    <definedName name="VarID_19950">'db'!$A$113</definedName>
    <definedName name="VarID_19951">'db'!$A$112</definedName>
    <definedName name="VarID_19952">'db'!$A$111</definedName>
    <definedName name="VarID_19953">'db'!$A$110</definedName>
    <definedName name="VarID_19954">'db'!$A$109</definedName>
    <definedName name="VarID_19955">'db'!$A$107</definedName>
    <definedName name="VarID_19956">'db'!$A$106</definedName>
    <definedName name="VarID_19957">'db'!$A$36</definedName>
    <definedName name="VarID_19958">'db'!$A$35</definedName>
    <definedName name="VarID_19959">'db'!$A$34</definedName>
    <definedName name="VarID_19960">'db'!$A$33</definedName>
    <definedName name="VarID_19961">'db'!$A$32</definedName>
    <definedName name="VarID_19962">'db'!$A$31</definedName>
    <definedName name="VarID_19963">'db'!$A$30</definedName>
    <definedName name="VarID_19964">'db'!$A$29</definedName>
    <definedName name="VarID_19965">'db'!$A$28</definedName>
    <definedName name="VarID_19966">'db'!$A$27</definedName>
    <definedName name="VarID_19967">'db'!$A$26</definedName>
    <definedName name="VarID_19968">'db'!$A$25</definedName>
    <definedName name="VarID_19969">'db'!$A$24</definedName>
    <definedName name="VarID_19970">'db'!$A$23</definedName>
    <definedName name="VarID_19971">'db'!$A$22</definedName>
    <definedName name="VarID_19972">'db'!$A$21</definedName>
    <definedName name="VarID_19973">'db'!$A$20</definedName>
    <definedName name="VarID_19974">'db'!$A$19</definedName>
    <definedName name="VarID_19975">'db'!$A$18</definedName>
    <definedName name="VarID_19976">'db'!$A$17</definedName>
    <definedName name="VarID_19977">'db'!$A$16</definedName>
    <definedName name="VarID_19978">'db'!$A$15</definedName>
    <definedName name="VarID_19979">'db'!$A$14</definedName>
    <definedName name="VarID_19980">'db'!$A$13</definedName>
    <definedName name="VarID_19981">'db'!$A$12</definedName>
    <definedName name="VarID_19982">'db'!$A$11</definedName>
    <definedName name="VarID_19983">'db'!$A$10</definedName>
    <definedName name="VarID_19984">'db'!$A$9</definedName>
    <definedName name="VarID_19985">'db'!$A$8</definedName>
    <definedName name="VarID_19986">'db'!$A$7</definedName>
    <definedName name="VarID_19987">'db'!$A$6</definedName>
    <definedName name="VarID_19988">'db'!$A$5</definedName>
    <definedName name="VarID_19989">'db'!$A$4</definedName>
    <definedName name="VarID_19990">'db'!$A$3</definedName>
    <definedName name="VarID_19991">'db'!$A$2</definedName>
    <definedName name="VarID_19992">'db'!$A$105</definedName>
    <definedName name="VarID_19995">'db'!$A$104</definedName>
    <definedName name="VarID_19996">'db'!$A$103</definedName>
    <definedName name="VarID_19997">'db'!$A$102</definedName>
    <definedName name="VarID_19998">'db'!$A$101</definedName>
    <definedName name="VarID_19999">'db'!$A$100</definedName>
    <definedName name="VarID_20000">'db'!$A$99</definedName>
    <definedName name="VarID_20001">'db'!$A$98</definedName>
    <definedName name="VarID_20002">'db'!$A$97</definedName>
    <definedName name="VarID_20003">'db'!$A$96</definedName>
    <definedName name="VarID_20004">'db'!$A$95</definedName>
    <definedName name="VarID_20005">'db'!$A$94</definedName>
    <definedName name="VarID_20006">'db'!$A$93</definedName>
    <definedName name="VarID_20008">'db'!$A$37</definedName>
    <definedName name="VarID_20009">'db'!$A$39</definedName>
    <definedName name="VarID_20010">'db'!$A$40</definedName>
    <definedName name="VarID_20011">'db'!$A$41</definedName>
    <definedName name="VarID_20012">'db'!$A$42</definedName>
    <definedName name="VarID_20013">'db'!$A$43</definedName>
    <definedName name="VarID_20014">'db'!$A$87</definedName>
    <definedName name="VarID_20015">'db'!$A$86</definedName>
    <definedName name="VarID_20016">'db'!$A$85</definedName>
    <definedName name="VarID_20017">'db'!$A$84</definedName>
    <definedName name="VarID_20018">'db'!$A$83</definedName>
    <definedName name="VarID_20019">'db'!$A$82</definedName>
    <definedName name="VarID_20020">'db'!$A$81</definedName>
    <definedName name="VarID_20021">'db'!$A$80</definedName>
    <definedName name="VarID_20022">'db'!$A$79</definedName>
    <definedName name="VarID_20023">'db'!$A$78</definedName>
    <definedName name="VarID_20024">'db'!$A$77</definedName>
    <definedName name="VarID_20025">'db'!$A$76</definedName>
    <definedName name="VarID_20026">'db'!$A$75</definedName>
    <definedName name="VarID_20027">'db'!$A$74</definedName>
    <definedName name="VarID_20028">'db'!$A$73</definedName>
    <definedName name="VarID_20029">'db'!$A$72</definedName>
    <definedName name="VarID_20030">'db'!$A$71</definedName>
    <definedName name="VarID_20032">'db'!$A$70</definedName>
    <definedName name="VarID_20033">'db'!$A$69</definedName>
    <definedName name="VarID_20034">'db'!$A$68</definedName>
    <definedName name="VarID_20035">'db'!$A$67</definedName>
    <definedName name="VarID_20036">'db'!$A$66</definedName>
    <definedName name="VarID_20037">'db'!$A$64</definedName>
    <definedName name="VarID_20038">'db'!$A$63</definedName>
    <definedName name="VarID_20039">'db'!$A$62</definedName>
    <definedName name="VarID_20040">'db'!$A$61</definedName>
    <definedName name="VarID_20041">'db'!$A$60</definedName>
    <definedName name="VarID_20042">'db'!$A$59</definedName>
    <definedName name="VarID_20043">'db'!$A$58</definedName>
    <definedName name="VarID_20044">'db'!$A$57</definedName>
    <definedName name="VarID_20045">'db'!$A$56</definedName>
    <definedName name="VarID_20046">'db'!$A$55</definedName>
    <definedName name="VarID_20047">'db'!$A$54</definedName>
    <definedName name="VarID_20048">'db'!$A$53</definedName>
    <definedName name="VarID_20049">'db'!$A$52</definedName>
    <definedName name="VarID_20050">'db'!$A$51</definedName>
    <definedName name="VarID_20051">'db'!$A$50</definedName>
    <definedName name="VarID_20052">'db'!$A$49</definedName>
    <definedName name="VarID_20053">'db'!$A$48</definedName>
    <definedName name="VarID_20054">'db'!$A$47</definedName>
    <definedName name="VarID_20055">'db'!$A$46</definedName>
    <definedName name="VarID_20056">'db'!$A$45</definedName>
    <definedName name="VarID_20057">'db'!$A$44</definedName>
    <definedName name="VarID_20058">'db'!$A$38</definedName>
    <definedName name="VarID_20059">'db'!$A$88</definedName>
    <definedName name="VarID_20060">'db'!$A$89</definedName>
    <definedName name="VarID_20061">'db'!$A$90</definedName>
    <definedName name="VarID_20063">'db'!$A$91</definedName>
    <definedName name="VarID_20071">'db'!$A$92</definedName>
    <definedName name="VarID_20072">'db'!$A$108</definedName>
    <definedName name="VarID_20073">'db'!$A$65</definedName>
  </definedNames>
  <calcPr fullCalcOnLoad="1"/>
</workbook>
</file>

<file path=xl/comments5.xml><?xml version="1.0" encoding="utf-8"?>
<comments xmlns="http://schemas.openxmlformats.org/spreadsheetml/2006/main">
  <authors>
    <author>SCB</author>
  </authors>
  <commentList>
    <comment ref="D5" authorId="0">
      <text>
        <r>
          <rPr>
            <sz val="8"/>
            <rFont val="Tahoma"/>
            <family val="0"/>
          </rPr>
          <t>Kortnamn: Utdelning på aktier, (S1) Nationell ekon
VariabelKod: 8_R_C801_X_X_X_5J_N_V_M_A
Mult.faktor: 1000</t>
        </r>
      </text>
    </comment>
    <comment ref="D6" authorId="0">
      <text>
        <r>
          <rPr>
            <sz val="8"/>
            <rFont val="Tahoma"/>
            <family val="0"/>
          </rPr>
          <t>Kortnamn: Ränteintäkter, (S1) Nationell ekon
VariabelKod: 8_R_C802_X_X_X_5J_N_V_M_A
Mult.faktor: 1000</t>
        </r>
      </text>
    </comment>
    <comment ref="D7" authorId="0">
      <text>
        <r>
          <rPr>
            <sz val="8"/>
            <rFont val="Tahoma"/>
            <family val="0"/>
          </rPr>
          <t>Kortnamn: Valutadifferenser (, (S1) Nationell ekon
VariabelKod: 8_R_C803_X_X_X_5J_N_V_M_A
Mult.faktor: 1000</t>
        </r>
      </text>
    </comment>
    <comment ref="D8" authorId="0">
      <text>
        <r>
          <rPr>
            <sz val="8"/>
            <rFont val="Tahoma"/>
            <family val="0"/>
          </rPr>
          <t>Kortnamn: Försäljning av värd, (S1) Nationell ekon
VariabelKod: 8_R_C804_X_X_X_5J_N_V_M_A
Mult.faktor: 1000</t>
        </r>
      </text>
    </comment>
    <comment ref="D11" authorId="0">
      <text>
        <r>
          <rPr>
            <sz val="8"/>
            <rFont val="Tahoma"/>
            <family val="0"/>
          </rPr>
          <t>Kortnamn: Övriga finansiella , (S1) Nationell ekon
VariabelKod: 8_R_C805_X_X_X_5J_N_V_M_A
Mult.faktor: 1000</t>
        </r>
      </text>
    </comment>
    <comment ref="D12" authorId="0">
      <text>
        <r>
          <rPr>
            <sz val="8"/>
            <rFont val="Tahoma"/>
            <family val="0"/>
          </rPr>
          <t>Kortnamn: Summa intäkter, (S1) Nationell ekon
VariabelKod: 8_R_C810_X_X_X_5J_N_V_M_A
Mult.faktor: 1000</t>
        </r>
      </text>
    </comment>
    <comment ref="D13" authorId="0">
      <text>
        <r>
          <rPr>
            <sz val="8"/>
            <rFont val="Tahoma"/>
            <family val="0"/>
          </rPr>
          <t>Kortnamn: Räntekostnader, (S1) Nationell ekon
VariabelKod: 8_C_C811_X_X_X_5J_N_V_M_A
Mult.faktor: 1000</t>
        </r>
      </text>
    </comment>
    <comment ref="D15" authorId="0">
      <text>
        <r>
          <rPr>
            <sz val="8"/>
            <rFont val="Tahoma"/>
            <family val="0"/>
          </rPr>
          <t>Kortnamn: Övriga finansiella , (S1) Nationell ekon
VariabelKod: 8_C_C812_X_X_X_5J_N_V_M_A
Mult.faktor: 1000</t>
        </r>
      </text>
    </comment>
    <comment ref="D16" authorId="0">
      <text>
        <r>
          <rPr>
            <sz val="8"/>
            <rFont val="Tahoma"/>
            <family val="0"/>
          </rPr>
          <t>Kortnamn: Köp av värdepapper, (S1) Nationell ekon
VariabelKod: 8_C_C813_X_X_X_5J_N_V_M_A
Mult.faktor: 1000</t>
        </r>
      </text>
    </comment>
    <comment ref="D19" authorId="0">
      <text>
        <r>
          <rPr>
            <sz val="8"/>
            <rFont val="Tahoma"/>
            <family val="0"/>
          </rPr>
          <t>Kortnamn: Förvaltningskostand, (S1) Nationell ekon
VariabelKod: 8_C_C814_X_X_X_5J_N_V_M_A
Mult.faktor: 1000</t>
        </r>
      </text>
    </comment>
    <comment ref="D20" authorId="0">
      <text>
        <r>
          <rPr>
            <sz val="8"/>
            <rFont val="Tahoma"/>
            <family val="0"/>
          </rPr>
          <t>Kortnamn: Övriga kostnader, (S1) Nationell ekon
VariabelKod: 8_C_C815_X_X_X_5J_N_V_M_A
Mult.faktor: 1000</t>
        </r>
      </text>
    </comment>
    <comment ref="D21" authorId="0">
      <text>
        <r>
          <rPr>
            <sz val="8"/>
            <rFont val="Tahoma"/>
            <family val="0"/>
          </rPr>
          <t>Kortnamn: Summa rörelsekostna, (S1) Nationell ekon
VariabelKod: 8_C_C820_X_X_X_5J_N_V_M_A
Mult.faktor: 1000</t>
        </r>
      </text>
    </comment>
    <comment ref="D22" authorId="0">
      <text>
        <r>
          <rPr>
            <sz val="8"/>
            <rFont val="Tahoma"/>
            <family val="0"/>
          </rPr>
          <t>Kortnamn: Resultat före avskr, (S1) Nationell ekon
VariabelKod: 8_X_C830_X_X_X_5J_N_V_M_A
Mult.faktor: 1000</t>
        </r>
      </text>
    </comment>
    <comment ref="D24" authorId="0">
      <text>
        <r>
          <rPr>
            <sz val="8"/>
            <rFont val="Tahoma"/>
            <family val="0"/>
          </rPr>
          <t>Kortnamn: Avskrivningar mater, (S1) Nationell ekon
VariabelKod: 8_X_C831_X_X_X_5J_N_V_M_A
Mult.faktor: 1000</t>
        </r>
      </text>
    </comment>
    <comment ref="D25" authorId="0">
      <text>
        <r>
          <rPr>
            <sz val="8"/>
            <rFont val="Tahoma"/>
            <family val="0"/>
          </rPr>
          <t>Kortnamn: Resultat före reali, (S1) Nationell ekon
VariabelKod: 8_X_C840_X_X_X_5J_N_V_M_A
Mult.faktor: 1000</t>
        </r>
      </text>
    </comment>
    <comment ref="D27" authorId="0">
      <text>
        <r>
          <rPr>
            <sz val="8"/>
            <rFont val="Tahoma"/>
            <family val="0"/>
          </rPr>
          <t>Kortnamn: Realisationsvinster, (S1) Nationell ekon
VariabelKod: 8_X_C841_X_X_X_5J_N_V_M_A
Mult.faktor: 1000</t>
        </r>
      </text>
    </comment>
    <comment ref="D29" authorId="0">
      <text>
        <r>
          <rPr>
            <sz val="8"/>
            <rFont val="Tahoma"/>
            <family val="0"/>
          </rPr>
          <t>Kortnamn: Realisationsvinster, (S1) Nationell ekon
VariabelKod: 8_X_C842_X_X_X_5J_N_V_M_A
Mult.faktor: 1000</t>
        </r>
      </text>
    </comment>
    <comment ref="D30" authorId="0">
      <text>
        <r>
          <rPr>
            <sz val="8"/>
            <rFont val="Tahoma"/>
            <family val="0"/>
          </rPr>
          <t>Kortnamn: Extraordinära intäk, (S1) Nationell ekon
VariabelKod: 8_X_C843_X_X_X_5J_N_V_M_A
Mult.faktor: 1000</t>
        </r>
      </text>
    </comment>
    <comment ref="D31" authorId="0">
      <text>
        <r>
          <rPr>
            <sz val="8"/>
            <rFont val="Tahoma"/>
            <family val="0"/>
          </rPr>
          <t>Kortnamn: Realisationsförlust, (S1) Nationell ekon
VariabelKod: 8_X_C844_X_X_X_5J_N_V_M_A
Mult.faktor: 1000</t>
        </r>
      </text>
    </comment>
    <comment ref="D32" authorId="0">
      <text>
        <r>
          <rPr>
            <sz val="8"/>
            <rFont val="Tahoma"/>
            <family val="0"/>
          </rPr>
          <t>Kortnamn: Realisationsförlust, (S1) Nationell ekon
VariabelKod: 8_X_C845_X_X_X_5J_N_V_M_A
Mult.faktor: 1000</t>
        </r>
      </text>
    </comment>
    <comment ref="D33" authorId="0">
      <text>
        <r>
          <rPr>
            <sz val="8"/>
            <rFont val="Tahoma"/>
            <family val="0"/>
          </rPr>
          <t>Kortnamn: Värdeförändringar a, (S1) Nationell ekon
VariabelKod: 8_X_C846_X_X_X_5J_N_V_M_A
Mult.faktor: 1000</t>
        </r>
      </text>
    </comment>
    <comment ref="D34" authorId="0">
      <text>
        <r>
          <rPr>
            <sz val="8"/>
            <rFont val="Tahoma"/>
            <family val="0"/>
          </rPr>
          <t>Kortnamn: Värdeförändring and, (S1) Nationell ekon
VariabelKod: 8_X_C847_X_X_X_5J_N_V_M_A
Mult.faktor: 1000</t>
        </r>
      </text>
    </comment>
    <comment ref="D35" authorId="0">
      <text>
        <r>
          <rPr>
            <sz val="8"/>
            <rFont val="Tahoma"/>
            <family val="0"/>
          </rPr>
          <t>Kortnamn: Extraordinära kostn, (S1) Nationell ekon
VariabelKod: 8_X_C848_X_X_X_5J_N_V_M_A
Mult.faktor: 1000</t>
        </r>
      </text>
    </comment>
    <comment ref="D36" authorId="0">
      <text>
        <r>
          <rPr>
            <sz val="8"/>
            <rFont val="Tahoma"/>
            <family val="0"/>
          </rPr>
          <t>Kortnamn: Resultat före boksl, (S1) Nationell ekon
VariabelKod: 8_X_C850_X_X_X_5J_N_V_M_A
Mult.faktor: 1000</t>
        </r>
      </text>
    </comment>
    <comment ref="D38" authorId="0">
      <text>
        <r>
          <rPr>
            <sz val="8"/>
            <rFont val="Tahoma"/>
            <family val="0"/>
          </rPr>
          <t>Kortnamn: Förändring av obesk, (S1) Nationell ekon
VariabelKod: 8_X_C851_X_X_X_5J_N_V_M_A
Mult.faktor: 1000</t>
        </r>
      </text>
    </comment>
    <comment ref="D40" authorId="0">
      <text>
        <r>
          <rPr>
            <sz val="8"/>
            <rFont val="Tahoma"/>
            <family val="0"/>
          </rPr>
          <t>Kortnamn: Nedskrivning av akt, (S1) Nationell ekon
VariabelKod: 8_X_C852_X_X_X_5J_N_V_M_A
Mult.faktor: 1000</t>
        </r>
      </text>
    </comment>
    <comment ref="D41" authorId="0">
      <text>
        <r>
          <rPr>
            <sz val="8"/>
            <rFont val="Tahoma"/>
            <family val="0"/>
          </rPr>
          <t>Kortnamn: Nedskrivn. av andra, (S1) Nationell ekon
VariabelKod: 8_X_C853_X_X_X_5J_N_V_M_A
Mult.faktor: 1000</t>
        </r>
      </text>
    </comment>
    <comment ref="D42" authorId="0">
      <text>
        <r>
          <rPr>
            <sz val="8"/>
            <rFont val="Tahoma"/>
            <family val="0"/>
          </rPr>
          <t>Kortnamn: Koncernbidrag (erhå, (S1) Nationell ekon
VariabelKod: 8_X_C854_X_X_X_5J_N_V_M_A
Mult.faktor: 1000</t>
        </r>
      </text>
    </comment>
    <comment ref="D43" authorId="0">
      <text>
        <r>
          <rPr>
            <sz val="8"/>
            <rFont val="Tahoma"/>
            <family val="0"/>
          </rPr>
          <t>Kortnamn: Koncernbidrag (lämn, (S1) Nationell ekon
VariabelKod: 8_X_C855_X_X_X_5J_N_V_M_A
Mult.faktor: 1000</t>
        </r>
      </text>
    </comment>
    <comment ref="D44" authorId="0">
      <text>
        <r>
          <rPr>
            <sz val="8"/>
            <rFont val="Tahoma"/>
            <family val="0"/>
          </rPr>
          <t>Kortnamn: Aktieägartillskott, (S1) Nationell ekon
VariabelKod: 8_X_C856_X_X_X_5J_N_V_M_A
Mult.faktor: 1000</t>
        </r>
      </text>
    </comment>
    <comment ref="D45" authorId="0">
      <text>
        <r>
          <rPr>
            <sz val="8"/>
            <rFont val="Tahoma"/>
            <family val="0"/>
          </rPr>
          <t>Kortnamn: Övriga bokslutsdisp, (S1) Nationell ekon
VariabelKod: 8_X_C857_X_X_X_5J_N_V_M_A
Mult.faktor: 1000</t>
        </r>
      </text>
    </comment>
    <comment ref="D46" authorId="0">
      <text>
        <r>
          <rPr>
            <sz val="8"/>
            <rFont val="Tahoma"/>
            <family val="0"/>
          </rPr>
          <t>Kortnamn: Resultat före skatt, (S1) Nationell ekon
VariabelKod: 8_X_C860_X_X_X_5J_N_V_M_A
Mult.faktor: 1000</t>
        </r>
      </text>
    </comment>
    <comment ref="D48" authorId="0">
      <text>
        <r>
          <rPr>
            <sz val="8"/>
            <rFont val="Tahoma"/>
            <family val="0"/>
          </rPr>
          <t>Kortnamn: Skatt på årets resu, (S1) Nationell ekon
VariabelKod: 8_X_C861_X_X_X_5J_N_V_M_A
Mult.faktor: 1000</t>
        </r>
      </text>
    </comment>
    <comment ref="D50" authorId="0">
      <text>
        <r>
          <rPr>
            <sz val="8"/>
            <rFont val="Tahoma"/>
            <family val="0"/>
          </rPr>
          <t>Kortnamn: Övriga skatter, (S1) Nationell ekon
VariabelKod: 8_X_C862_X_X_X_5J_N_V_M_A
Mult.faktor: 1000</t>
        </r>
      </text>
    </comment>
    <comment ref="D51" authorId="0">
      <text>
        <r>
          <rPr>
            <sz val="8"/>
            <rFont val="Tahoma"/>
            <family val="0"/>
          </rPr>
          <t>Kortnamn: Årets resultat, (S1) Nationell ekon
VariabelKod: 8_X_C870_X_X_X_5J_N_V_M_A
Mult.faktor: 1000</t>
        </r>
      </text>
    </comment>
  </commentList>
</comments>
</file>

<file path=xl/comments6.xml><?xml version="1.0" encoding="utf-8"?>
<comments xmlns="http://schemas.openxmlformats.org/spreadsheetml/2006/main">
  <authors>
    <author>SCB</author>
  </authors>
  <commentList>
    <comment ref="D5" authorId="0">
      <text>
        <r>
          <rPr>
            <sz val="8"/>
            <rFont val="Tahoma"/>
            <family val="0"/>
          </rPr>
          <t>Kortnamn: Tecknat men ej inbe, (S1) Nationell ekon
VariabelKod: 5_A_C101_X_X_X_5J_N_V_M_A
Mult.faktor: 1000</t>
        </r>
      </text>
    </comment>
    <comment ref="D7" authorId="0">
      <text>
        <r>
          <rPr>
            <sz val="8"/>
            <rFont val="Tahoma"/>
            <family val="0"/>
          </rPr>
          <t>Kortnamn: Immateriella anlägg, (S1) Nationell ekon
VariabelKod: 5_A_C111_X_X_X_5J_N_V_M_A
Mult.faktor: 1000</t>
        </r>
      </text>
    </comment>
    <comment ref="D8" authorId="0">
      <text>
        <r>
          <rPr>
            <sz val="8"/>
            <rFont val="Tahoma"/>
            <family val="0"/>
          </rPr>
          <t>Kortnamn: Materiella anläggni, (S1) Nationell ekon
VariabelKod: 5_A_C112_X_X_X_5J_N_V_M_A
Mult.faktor: 1000</t>
        </r>
      </text>
    </comment>
    <comment ref="D9" authorId="0">
      <text>
        <r>
          <rPr>
            <sz val="8"/>
            <rFont val="Tahoma"/>
            <family val="0"/>
          </rPr>
          <t>Kortnamn: Konton hos Riksbank, (S1) Nationell ekon
VariabelKod: 5_A_C121_X_X_X_5J_N_V_M_A
Mult.faktor: 1000</t>
        </r>
      </text>
    </comment>
    <comment ref="D10" authorId="0">
      <text>
        <r>
          <rPr>
            <sz val="8"/>
            <rFont val="Tahoma"/>
            <family val="0"/>
          </rPr>
          <t>Kortnamn: Lån och låneväxlar, C130 Finansiella fö
VariabelKod: 5_A_C130_X_X_X_5J_N411_V_M_A
Mult.faktor: 1000</t>
        </r>
      </text>
    </comment>
    <comment ref="D12" authorId="0">
      <text>
        <r>
          <rPr>
            <sz val="8"/>
            <rFont val="Tahoma"/>
            <family val="0"/>
          </rPr>
          <t>Kortnamn: Lån och låneväxlar, C130 Övriga företag
VariabelKod: 5_A_C130_X_X_X_5J_N412_V_M_A
Mult.faktor: 1000</t>
        </r>
      </text>
    </comment>
    <comment ref="D13" authorId="0">
      <text>
        <r>
          <rPr>
            <sz val="8"/>
            <rFont val="Tahoma"/>
            <family val="0"/>
          </rPr>
          <t>Kortnamn: Lån och låneväxlar, C130 Övriga svenska
VariabelKod: 5_A_C130_X_X_X_5J_N413_V_M_A
Mult.faktor: 1000</t>
        </r>
      </text>
    </comment>
    <comment ref="D14" authorId="0">
      <text>
        <r>
          <rPr>
            <sz val="8"/>
            <rFont val="Tahoma"/>
            <family val="0"/>
          </rPr>
          <t>Kortnamn: Lån och låneväxlar, C130 Utländska lånt
VariabelKod: 5_A_C130_X_X_X_3P_N414_V_M_A
Mult.faktor: 1000</t>
        </r>
      </text>
    </comment>
    <comment ref="D15" authorId="0">
      <text>
        <r>
          <rPr>
            <sz val="8"/>
            <rFont val="Tahoma"/>
            <family val="0"/>
          </rPr>
          <t>Kortnamn: Fordringar mot konc, Koncernföretag
VariabelKod: 5_A_C135_X_X_X_1E_N1A1_V_M_A
Mult.faktor: 1000</t>
        </r>
      </text>
    </comment>
    <comment ref="D17" authorId="0">
      <text>
        <r>
          <rPr>
            <sz val="8"/>
            <rFont val="Tahoma"/>
            <family val="0"/>
          </rPr>
          <t>Kortnamn: Fordringar mot konc, Varav finansiella f
VariabelKod: 5_A_C135_X_X_X_1E_N1A11_V_M_A
Mult.faktor: 1000</t>
        </r>
      </text>
    </comment>
    <comment ref="D18" authorId="0">
      <text>
        <r>
          <rPr>
            <sz val="8"/>
            <rFont val="Tahoma"/>
            <family val="0"/>
          </rPr>
          <t>Kortnamn: Fordringar mot konc, (S1) Nationell ekon
VariabelKod: 5_A_C135_X_X_X_3P_N_V_M_A
Mult.faktor: 1000</t>
        </r>
      </text>
    </comment>
    <comment ref="D19" authorId="0">
      <text>
        <r>
          <rPr>
            <sz val="8"/>
            <rFont val="Tahoma"/>
            <family val="0"/>
          </rPr>
          <t>Kortnamn: Övriga fordringar, (S1) Nationell ekon
VariabelKod: 5_A_C137_X_X_X_5J_N_V_M_A
Mult.faktor: 1000</t>
        </r>
      </text>
    </comment>
    <comment ref="D20" authorId="0">
      <text>
        <r>
          <rPr>
            <sz val="8"/>
            <rFont val="Tahoma"/>
            <family val="0"/>
          </rPr>
          <t>Kortnamn: Förutbetalda kostn., (S1) Nationell ekon
VariabelKod: 5_A_C141_X_X_X_5J_N_V_M_A
Mult.faktor: 1000</t>
        </r>
      </text>
    </comment>
    <comment ref="D21" authorId="0">
      <text>
        <r>
          <rPr>
            <sz val="8"/>
            <rFont val="Tahoma"/>
            <family val="0"/>
          </rPr>
          <t>Kortnamn: Varav upplupna ränt, (S1) Nationell ekon
VariabelKod: 5_A_C1411_X_X_X_5J_N_V_M_A
Mult.faktor: 1000</t>
        </r>
      </text>
    </comment>
    <comment ref="D22" authorId="0">
      <text>
        <r>
          <rPr>
            <sz val="8"/>
            <rFont val="Tahoma"/>
            <family val="0"/>
          </rPr>
          <t>Kortnamn: Konverteringslån, (S1) Nationell ekon
VariabelKod: 5_A_C151_X_X_X_5J_N_V_M_A
Mult.faktor: 1000</t>
        </r>
      </text>
    </comment>
    <comment ref="D23" authorId="0">
      <text>
        <r>
          <rPr>
            <sz val="8"/>
            <rFont val="Tahoma"/>
            <family val="0"/>
          </rPr>
          <t>Kortnamn: Statsobligationer, (S1) Nationell ekon
VariabelKod: 5_A_C152_X_X_X_5J_N_V_M_A
Mult.faktor: 1000</t>
        </r>
      </text>
    </comment>
    <comment ref="D24" authorId="0">
      <text>
        <r>
          <rPr>
            <sz val="8"/>
            <rFont val="Tahoma"/>
            <family val="0"/>
          </rPr>
          <t>Kortnamn: Andra obligationer , (S1) Nationell ekon
VariabelKod: 5_A_C153_X_X_X_5J_N_V_M_A
Mult.faktor: 1000</t>
        </r>
      </text>
    </comment>
    <comment ref="D25" authorId="0">
      <text>
        <r>
          <rPr>
            <sz val="8"/>
            <rFont val="Tahoma"/>
            <family val="0"/>
          </rPr>
          <t>Kortnamn: Statsskuldväxlar, (S1) Nationell ekon
VariabelKod: 5_A_C154_X_X_X_5J_N_V_M_A
Mult.faktor: 1000</t>
        </r>
      </text>
    </comment>
    <comment ref="D26" authorId="0">
      <text>
        <r>
          <rPr>
            <sz val="8"/>
            <rFont val="Tahoma"/>
            <family val="0"/>
          </rPr>
          <t>Kortnamn: Kommuncertifikat, (S1) Nationell ekon
VariabelKod: 5_A_C155_X_X_X_5J_N_V_M_A
Mult.faktor: 1000</t>
        </r>
      </text>
    </comment>
    <comment ref="D27" authorId="0">
      <text>
        <r>
          <rPr>
            <sz val="8"/>
            <rFont val="Tahoma"/>
            <family val="0"/>
          </rPr>
          <t>Kortnamn: Företagscertifikat, (S1) Nationell ekon
VariabelKod: 5_A_C156_X_X_X_5J_N_V_M_A
Mult.faktor: 1000</t>
        </r>
      </text>
    </comment>
    <comment ref="D28" authorId="0">
      <text>
        <r>
          <rPr>
            <sz val="8"/>
            <rFont val="Tahoma"/>
            <family val="0"/>
          </rPr>
          <t>Kortnamn: Bankcertifikat, (S1) Nationell ekon
VariabelKod: 5_A_C157_X_X_X_5J_N_V_M_A
Mult.faktor: 1000</t>
        </r>
      </text>
    </comment>
    <comment ref="D29" authorId="0">
      <text>
        <r>
          <rPr>
            <sz val="8"/>
            <rFont val="Tahoma"/>
            <family val="0"/>
          </rPr>
          <t>Kortnamn: Andra certifikat, (S1) Nationell ekon
VariabelKod: 5_A_C158_X_X_X_5J_N_V_M_A
Mult.faktor: 1000</t>
        </r>
      </text>
    </comment>
    <comment ref="D30" authorId="0">
      <text>
        <r>
          <rPr>
            <sz val="8"/>
            <rFont val="Tahoma"/>
            <family val="0"/>
          </rPr>
          <t>Kortnamn: Dagslån, (S1) Nationell ekon
VariabelKod: 5_A_C161_X_X_X_5J_N_V_M_A
Mult.faktor: 1000</t>
        </r>
      </text>
    </comment>
    <comment ref="D31" authorId="0">
      <text>
        <r>
          <rPr>
            <sz val="8"/>
            <rFont val="Tahoma"/>
            <family val="0"/>
          </rPr>
          <t>Kortnamn: Finansiella derivat, (S1) Nationell ekon
VariabelKod: 5_A_C162_X_X_X_5J_N_V_M_A
Mult.faktor: 1000</t>
        </r>
      </text>
    </comment>
    <comment ref="D32" authorId="0">
      <text>
        <r>
          <rPr>
            <sz val="8"/>
            <rFont val="Tahoma"/>
            <family val="0"/>
          </rPr>
          <t>Kortnamn: Andelar i värdepapp, (S1) Nationell ekon
VariabelKod: 5_A_C163_X_X_X_5J_N_V_M_A
Mult.faktor: 1000</t>
        </r>
      </text>
    </comment>
    <comment ref="D33" authorId="0">
      <text>
        <r>
          <rPr>
            <sz val="8"/>
            <rFont val="Tahoma"/>
            <family val="0"/>
          </rPr>
          <t>Kortnamn: Andelar i värdepapp, (S1) Nationell ekon
VariabelKod: 5_A_C163_X_X_X_3P_N_V_M_A
Mult.faktor: 1000</t>
        </r>
      </text>
    </comment>
    <comment ref="D34" authorId="0">
      <text>
        <r>
          <rPr>
            <sz val="8"/>
            <rFont val="Tahoma"/>
            <family val="0"/>
          </rPr>
          <t>Kortnamn: Aktier och andelar, (S1) Nationell ekon
VariabelKod: 5_A_C171_X_X_X_5J_N_V_M_A
Mult.faktor: 1000</t>
        </r>
      </text>
    </comment>
    <comment ref="D35" authorId="0">
      <text>
        <r>
          <rPr>
            <sz val="8"/>
            <rFont val="Tahoma"/>
            <family val="0"/>
          </rPr>
          <t>Kortnamn: Kassa och bank, (S1) Nationell ekon
VariabelKod: 5_A_C181_X_X_X_5J_N_V_M_A
Mult.faktor: 1000</t>
        </r>
      </text>
    </comment>
    <comment ref="D36" authorId="0">
      <text>
        <r>
          <rPr>
            <sz val="8"/>
            <rFont val="Tahoma"/>
            <family val="0"/>
          </rPr>
          <t>Kortnamn: Balansomslutning, (S1) Nationell ekon
VariabelKod: 5_X_C192_X_X_X_5J_N_V_M_A
Mult.faktor: 1000</t>
        </r>
      </text>
    </comment>
    <comment ref="D38" authorId="0">
      <text>
        <r>
          <rPr>
            <sz val="8"/>
            <rFont val="Tahoma"/>
            <family val="0"/>
          </rPr>
          <t>Kortnamn: Balansomslutning, (S1) Nationell ekon
VariabelKod: 5_X_C192_X_X_X_5J_N_VU_M_A
Mult.faktor: 1000</t>
        </r>
      </text>
    </comment>
    <comment ref="D41" authorId="0">
      <text>
        <r>
          <rPr>
            <sz val="8"/>
            <rFont val="Tahoma"/>
            <family val="0"/>
          </rPr>
          <t>Kortnamn: Eget kapital, total, (S1) Nationell ekon
VariabelKod: 5_L_C201_X_X_X_5J_N_V_M_A
Mult.faktor: 1000</t>
        </r>
      </text>
    </comment>
    <comment ref="D43" authorId="0">
      <text>
        <r>
          <rPr>
            <sz val="8"/>
            <rFont val="Tahoma"/>
            <family val="0"/>
          </rPr>
          <t>Kortnamn: Aktiekapital, (S1) Nationell ekon
VariabelKod: 5_L_C2011_X_X_X_5J_N_V_M_A
Mult.faktor: 1000</t>
        </r>
      </text>
    </comment>
    <comment ref="D44" authorId="0">
      <text>
        <r>
          <rPr>
            <sz val="8"/>
            <rFont val="Tahoma"/>
            <family val="0"/>
          </rPr>
          <t>Kortnamn: Bundna fonder, (S1) Nationell ekon
VariabelKod: 5_L_C2012_X_X_X_5J_N_V_M_A
Mult.faktor: 1000</t>
        </r>
      </text>
    </comment>
    <comment ref="D45" authorId="0">
      <text>
        <r>
          <rPr>
            <sz val="8"/>
            <rFont val="Tahoma"/>
            <family val="0"/>
          </rPr>
          <t>Kortnamn: fria fonder, balans, (S1) Nationell ekon
VariabelKod: 5_L_C2013_X_X_X_5J_N_V_M_A
Mult.faktor: 1000</t>
        </r>
      </text>
    </comment>
    <comment ref="D47" authorId="0">
      <text>
        <r>
          <rPr>
            <sz val="8"/>
            <rFont val="Tahoma"/>
            <family val="0"/>
          </rPr>
          <t>Kortnamn: Obeskattade reserve, (S1) Nationell ekon
VariabelKod: 5_L_C211_X_X_X_5J_N_V_M_A
Mult.faktor: 1000</t>
        </r>
      </text>
    </comment>
    <comment ref="D48" authorId="0">
      <text>
        <r>
          <rPr>
            <sz val="8"/>
            <rFont val="Tahoma"/>
            <family val="0"/>
          </rPr>
          <t>Kortnamn: Avsättningar, (S1) Nationell ekon
VariabelKod: 5_L_C221_X_X_X_5J_N_V_M_A
Mult.faktor: 1000</t>
        </r>
      </text>
    </comment>
    <comment ref="D49" authorId="0">
      <text>
        <r>
          <rPr>
            <sz val="8"/>
            <rFont val="Tahoma"/>
            <family val="0"/>
          </rPr>
          <t>Kortnamn: Varav avsatt till p, (S1) Nationell ekon
VariabelKod: 5_L_C2211_X_X_X_5J_N_V_M_A
Mult.faktor: 1000</t>
        </r>
      </text>
    </comment>
    <comment ref="D50" authorId="0">
      <text>
        <r>
          <rPr>
            <sz val="8"/>
            <rFont val="Tahoma"/>
            <family val="0"/>
          </rPr>
          <t>Kortnamn: Skulder till koncer, Koncernföretag
VariabelKod: 5_L_C231_X_X_X_1E_N1A1_V_M_A
Mult.faktor: 1000</t>
        </r>
      </text>
    </comment>
    <comment ref="D53" authorId="0">
      <text>
        <r>
          <rPr>
            <sz val="8"/>
            <rFont val="Tahoma"/>
            <family val="0"/>
          </rPr>
          <t>Kortnamn: Skulder till koncer, Varav finansiella f
VariabelKod: 5_L_C231_X_X_X_1E_N1A11_V_M_A
Mult.faktor: 1000</t>
        </r>
      </text>
    </comment>
    <comment ref="D54" authorId="0">
      <text>
        <r>
          <rPr>
            <sz val="8"/>
            <rFont val="Tahoma"/>
            <family val="0"/>
          </rPr>
          <t>Kortnamn: Skulder till koncer, Koncernföretag
VariabelKod: 5_L_C231_X_X_X_3P_N1A1_V_M_A
Mult.faktor: 1000</t>
        </r>
      </text>
    </comment>
    <comment ref="D55" authorId="0">
      <text>
        <r>
          <rPr>
            <sz val="8"/>
            <rFont val="Tahoma"/>
            <family val="0"/>
          </rPr>
          <t>Kortnamn: Obligations och för, (S1) Nationell ekon
VariabelKod: 5_L_C241_X_X_X_5J_N_V_M_A
Mult.faktor: 1000</t>
        </r>
      </text>
    </comment>
    <comment ref="D57" authorId="0">
      <text>
        <r>
          <rPr>
            <sz val="8"/>
            <rFont val="Tahoma"/>
            <family val="0"/>
          </rPr>
          <t>Kortnamn: Certifikat, (S1) Nationell ekon
VariabelKod: 5_L_C242_X_X_X_5J_N_V_M_A
Mult.faktor: 1000</t>
        </r>
      </text>
    </comment>
    <comment ref="D58" authorId="0">
      <text>
        <r>
          <rPr>
            <sz val="8"/>
            <rFont val="Tahoma"/>
            <family val="0"/>
          </rPr>
          <t>Kortnamn: Konverteringslån, (S1) Nationell ekon
VariabelKod: 5_L_C243_X_X_X_5J_N_V_M_A
Mult.faktor: 1000</t>
        </r>
      </text>
    </comment>
    <comment ref="D61" authorId="0">
      <text>
        <r>
          <rPr>
            <sz val="8"/>
            <rFont val="Tahoma"/>
            <family val="0"/>
          </rPr>
          <t>Kortnamn: Lån och låneväxlar, C251 Banker
VariabelKod: 5_L_C251_X_X_X_5J_N415_V_M_A
Mult.faktor: 1000</t>
        </r>
      </text>
    </comment>
    <comment ref="D62" authorId="0">
      <text>
        <r>
          <rPr>
            <sz val="8"/>
            <rFont val="Tahoma"/>
            <family val="0"/>
          </rPr>
          <t>Kortnamn: Lån och låneväxlar, C251 Övriga finansi
VariabelKod: 5_L_C251_X_X_X_5J_N416_V_M_A
Mult.faktor: 1000</t>
        </r>
      </text>
    </comment>
    <comment ref="D63" authorId="0">
      <text>
        <r>
          <rPr>
            <sz val="8"/>
            <rFont val="Tahoma"/>
            <family val="0"/>
          </rPr>
          <t>Kortnamn: Lån och låneväxlar, C251 Övriga icke.fi
VariabelKod: 5_L_C251_X_X_X_5J_N417_V_M_A
Mult.faktor: 1000</t>
        </r>
      </text>
    </comment>
    <comment ref="D64" authorId="0">
      <text>
        <r>
          <rPr>
            <sz val="8"/>
            <rFont val="Tahoma"/>
            <family val="0"/>
          </rPr>
          <t>Kortnamn: Lån och låneväxlar, C251 Övriga långiva
VariabelKod: 5_L_C251_X_X_X_5J_N418_V_M_A
Mult.faktor: 1000</t>
        </r>
      </text>
    </comment>
    <comment ref="D65" authorId="0">
      <text>
        <r>
          <rPr>
            <sz val="8"/>
            <rFont val="Tahoma"/>
            <family val="0"/>
          </rPr>
          <t>Kortnamn: Lån och låneväxlar, C251 Utländska lång
VariabelKod: 5_L_C251_X_X_X_3P_N419_V_M_A
Mult.faktor: 1000</t>
        </r>
      </text>
    </comment>
    <comment ref="D66" authorId="0">
      <text>
        <r>
          <rPr>
            <sz val="8"/>
            <rFont val="Tahoma"/>
            <family val="0"/>
          </rPr>
          <t>Kortnamn: Bolagets skatteskul, (S1) Nationell ekon
VariabelKod: 5_L_C261_X_X_X_5J_N_V_M_A
Mult.faktor: 1000</t>
        </r>
      </text>
    </comment>
    <comment ref="D67" authorId="0">
      <text>
        <r>
          <rPr>
            <sz val="8"/>
            <rFont val="Tahoma"/>
            <family val="0"/>
          </rPr>
          <t>Kortnamn: Övriga skulder, (S1) Nationell ekon
VariabelKod: 5_L_C262_X_X_X_5J_N_V_M_A
Mult.faktor: 1000</t>
        </r>
      </text>
    </comment>
    <comment ref="D68" authorId="0">
      <text>
        <r>
          <rPr>
            <sz val="8"/>
            <rFont val="Tahoma"/>
            <family val="0"/>
          </rPr>
          <t>Kortnamn: Upplupna konstn. oc, (S1) Nationell ekon
VariabelKod: 5_L_C271_X_X_X_5J_N_V_M_A
Mult.faktor: 1000</t>
        </r>
      </text>
    </comment>
    <comment ref="D69" authorId="0">
      <text>
        <r>
          <rPr>
            <sz val="8"/>
            <rFont val="Tahoma"/>
            <family val="0"/>
          </rPr>
          <t>Kortnamn: Varav upplupna ränt, (S1) Nationell ekon
VariabelKod: 5_L_C2711_X_X_X_5J_N_V_M_A
Mult.faktor: 1000</t>
        </r>
      </text>
    </comment>
    <comment ref="D70" authorId="0">
      <text>
        <r>
          <rPr>
            <sz val="8"/>
            <rFont val="Tahoma"/>
            <family val="0"/>
          </rPr>
          <t>Kortnamn: Finansiella derivat, (S1) Nationell ekon
VariabelKod: 5_L_C281_X_X_X_5J_N_V_M_A
Mult.faktor: 1000</t>
        </r>
      </text>
    </comment>
    <comment ref="D71" authorId="0">
      <text>
        <r>
          <rPr>
            <sz val="8"/>
            <rFont val="Tahoma"/>
            <family val="0"/>
          </rPr>
          <t>Kortnamn: Dagslån, (S1) Nationell ekon
VariabelKod: 5_L_C282_X_X_X_5J_N_V_M_A
Mult.faktor: 1000</t>
        </r>
      </text>
    </comment>
    <comment ref="D77" authorId="0">
      <text>
        <r>
          <rPr>
            <sz val="8"/>
            <rFont val="Tahoma"/>
            <family val="0"/>
          </rPr>
          <t>Kortnamn: Bokfört ingående eg, (S1) Nationell ekon
VariabelKod: 2_L_C401_X_X_X_5J_N_V_M_A
Mult.faktor: 1000</t>
        </r>
      </text>
    </comment>
    <comment ref="D79" authorId="0">
      <text>
        <r>
          <rPr>
            <sz val="8"/>
            <rFont val="Tahoma"/>
            <family val="0"/>
          </rPr>
          <t>Kortnamn: Effekt av nya redov, (S1) Nationell ekon
VariabelKod: 5_L_C402_X_X_X_5J_N_V_M_A
Mult.faktor: 1000</t>
        </r>
      </text>
    </comment>
    <comment ref="D80" authorId="0">
      <text>
        <r>
          <rPr>
            <sz val="8"/>
            <rFont val="Tahoma"/>
            <family val="0"/>
          </rPr>
          <t>Kortnamn: Marknadsvärdeföränd, (S1) Nationell ekon
VariabelKod: 5_L_C4031_X_X_X_5J_N_V_M_A
Mult.faktor: 1000</t>
        </r>
      </text>
    </comment>
    <comment ref="D82" authorId="0">
      <text>
        <r>
          <rPr>
            <sz val="8"/>
            <rFont val="Tahoma"/>
            <family val="0"/>
          </rPr>
          <t>Kortnamn: Realiserat via resu, (S1) Nationell ekon
VariabelKod: 5_L_C4032_X_X_X_5J_N_V_M_A
Mult.faktor: 1000</t>
        </r>
      </text>
    </comment>
    <comment ref="D83" authorId="0">
      <text>
        <r>
          <rPr>
            <sz val="8"/>
            <rFont val="Tahoma"/>
            <family val="0"/>
          </rPr>
          <t>Kortnamn: Nyemission inkl. öv, (S1) Nationell ekon
VariabelKod: 5_L_C411_X_X_X_5J_N_V_M_A
Mult.faktor: 1000</t>
        </r>
      </text>
    </comment>
    <comment ref="D84" authorId="0">
      <text>
        <r>
          <rPr>
            <sz val="8"/>
            <rFont val="Tahoma"/>
            <family val="0"/>
          </rPr>
          <t>Kortnamn: Avsättn. till uppsk, (S1) Nationell ekon
VariabelKod: 5_L_C421_X_X_X_5J_N_V_M_A
Mult.faktor: 1000</t>
        </r>
      </text>
    </comment>
    <comment ref="D86" authorId="0">
      <text>
        <r>
          <rPr>
            <sz val="8"/>
            <rFont val="Tahoma"/>
            <family val="0"/>
          </rPr>
          <t>Kortnamn: Aktieägartillskott, (S1) Nationell ekon
VariabelKod: 5_L_C431_X_X_X_5J_N_V_M_A
Mult.faktor: 1000</t>
        </r>
      </text>
    </comment>
    <comment ref="D87" authorId="0">
      <text>
        <r>
          <rPr>
            <sz val="8"/>
            <rFont val="Tahoma"/>
            <family val="0"/>
          </rPr>
          <t>Kortnamn: Inlösen av egna akt, (S1) Nationell ekon
VariabelKod: 5_L_C432_X_X_X_5J_N_V_M_A
Mult.faktor: 1000</t>
        </r>
      </text>
    </comment>
    <comment ref="D88" authorId="0">
      <text>
        <r>
          <rPr>
            <sz val="8"/>
            <rFont val="Tahoma"/>
            <family val="0"/>
          </rPr>
          <t>Kortnamn: Utgifter för förvär, (S1) Nationell ekon
VariabelKod: 5_L_C435_X_X_X_5J_N_V_M_A
Mult.faktor: 1000</t>
        </r>
      </text>
    </comment>
    <comment ref="D89" authorId="0">
      <text>
        <r>
          <rPr>
            <sz val="8"/>
            <rFont val="Tahoma"/>
            <family val="0"/>
          </rPr>
          <t>Kortnamn: Inkomster från avyt, (S1) Nationell ekon
VariabelKod: 5_L_C436_X_X_X_5J_N_V_M_A
Mult.faktor: 1000</t>
        </r>
      </text>
    </comment>
    <comment ref="D90" authorId="0">
      <text>
        <r>
          <rPr>
            <sz val="8"/>
            <rFont val="Tahoma"/>
            <family val="0"/>
          </rPr>
          <t>Kortnamn: Utdelning, (S1) Nationell ekon
VariabelKod: 5_L_C441_X_X_X_5J_N_V_M_A
Mult.faktor: 1000</t>
        </r>
      </text>
    </comment>
    <comment ref="D91" authorId="0">
      <text>
        <r>
          <rPr>
            <sz val="8"/>
            <rFont val="Tahoma"/>
            <family val="0"/>
          </rPr>
          <t>Kortnamn: Koncernbidrag, (S1) Nationell ekon
VariabelKod: 5_L_C433_X_X_X_5J_N_V_M_A
Mult.faktor: 1000</t>
        </r>
      </text>
    </comment>
    <comment ref="D92" authorId="0">
      <text>
        <r>
          <rPr>
            <sz val="8"/>
            <rFont val="Tahoma"/>
            <family val="0"/>
          </rPr>
          <t>Kortnamn: Skatteefekter av ko, (S1) Nationell ekon
VariabelKod: 5_L_C434_X_X_X_5J_N_V_M_A
Mult.faktor: 1000</t>
        </r>
      </text>
    </comment>
    <comment ref="D93" authorId="0">
      <text>
        <r>
          <rPr>
            <sz val="8"/>
            <rFont val="Tahoma"/>
            <family val="0"/>
          </rPr>
          <t>Kortnamn: Övriga förändringar, (S1) Nationell ekon
VariabelKod: 5_L_C451_X_X_X_5J_N_V_M_A
Mult.faktor: 1000</t>
        </r>
      </text>
    </comment>
    <comment ref="D96" authorId="0">
      <text>
        <r>
          <rPr>
            <sz val="8"/>
            <rFont val="Tahoma"/>
            <family val="0"/>
          </rPr>
          <t>Kortnamn: Föreslagen utdelnin, (S1) Nationell ekon
VariabelKod: 5_L_C481_X_X_X_5J_N_V_M_A
Mult.faktor: 1000</t>
        </r>
      </text>
    </comment>
  </commentList>
</comments>
</file>

<file path=xl/comments7.xml><?xml version="1.0" encoding="utf-8"?>
<comments xmlns="http://schemas.openxmlformats.org/spreadsheetml/2006/main">
  <authors>
    <author>SCB</author>
  </authors>
  <commentList>
    <comment ref="E5" authorId="0">
      <text>
        <r>
          <rPr>
            <sz val="8"/>
            <rFont val="Tahoma"/>
            <family val="0"/>
          </rPr>
          <t>Kortnamn: Likviderat belopp a, (S1) Nationell ekon
VariabelKod: 5_A_C301_X_X_X_1E_N_V_M_A
Mult.faktor: 1000</t>
        </r>
      </text>
    </comment>
    <comment ref="E7" authorId="0">
      <text>
        <r>
          <rPr>
            <sz val="8"/>
            <rFont val="Tahoma"/>
            <family val="0"/>
          </rPr>
          <t>Kortnamn: Likviderat belopp a, (S1) Nationell ekon
VariabelKod: 5_A_C302_X_X_X_3P_N_V_M_A
Mult.faktor: 1000</t>
        </r>
      </text>
    </comment>
    <comment ref="E8" authorId="0">
      <text>
        <r>
          <rPr>
            <sz val="8"/>
            <rFont val="Tahoma"/>
            <family val="0"/>
          </rPr>
          <t>Kortnamn: Summa nyemitterat k, (S1) Nationell ekon
VariabelKod: 5_A_C30_X_X_X_5J_N_V_M_A
Mult.faktor: 1000</t>
        </r>
      </text>
    </comment>
    <comment ref="E12" authorId="0">
      <text>
        <r>
          <rPr>
            <sz val="8"/>
            <rFont val="Tahoma"/>
            <family val="0"/>
          </rPr>
          <t>Kortnamn: Aktieinnehav i svan, C5 Finansiella före
VariabelKod: 5_A_C5_X_X_X_1E_N4211_V_M_A
Mult.faktor: 1000</t>
        </r>
      </text>
    </comment>
    <comment ref="E14" authorId="0">
      <text>
        <r>
          <rPr>
            <sz val="8"/>
            <rFont val="Tahoma"/>
            <family val="0"/>
          </rPr>
          <t>Kortnamn: Aktieinnehav i svan, C5 Icke-finansiella
VariabelKod: 5_A_C5_X_X_X_1E_N4212_V_M_A
Mult.faktor: 1000</t>
        </r>
      </text>
    </comment>
    <comment ref="E15" authorId="0">
      <text>
        <r>
          <rPr>
            <sz val="8"/>
            <rFont val="Tahoma"/>
            <family val="0"/>
          </rPr>
          <t>Kortnamn: Aktieinnehav i övri, C6 Finansiella före
VariabelKod: 5_A_C6_X_X_X_1E_N4221_V_B_A
Mult.faktor: 1000</t>
        </r>
      </text>
    </comment>
    <comment ref="E18" authorId="0">
      <text>
        <r>
          <rPr>
            <sz val="8"/>
            <rFont val="Tahoma"/>
            <family val="0"/>
          </rPr>
          <t>Kortnamn: Aktieinnehav i övri, C6 Icke-finansiella
VariabelKod: 5_A_C6_X_X_X_1E_N4222_V_B_A
Mult.faktor: 1000</t>
        </r>
      </text>
    </comment>
    <comment ref="E19" authorId="0">
      <text>
        <r>
          <rPr>
            <sz val="8"/>
            <rFont val="Tahoma"/>
            <family val="0"/>
          </rPr>
          <t>Kortnamn: Aktieinnehav i övri, C6 Utländska notera
VariabelKod: 5_A_C6_X_X_X_3P_N4223_V_M_A
Mult.faktor: 1000</t>
        </r>
      </text>
    </comment>
    <comment ref="E20" authorId="0">
      <text>
        <r>
          <rPr>
            <sz val="8"/>
            <rFont val="Tahoma"/>
            <family val="0"/>
          </rPr>
          <t>Kortnamn: Aktieinnehav i övri, C6 Övriga utländska
VariabelKod: 5_A_C6_X_X_X_3P_N4224_V_B_A
Mult.faktor: 1000</t>
        </r>
      </text>
    </comment>
    <comment ref="E26" authorId="0">
      <text>
        <r>
          <rPr>
            <sz val="8"/>
            <rFont val="Tahoma"/>
            <family val="0"/>
          </rPr>
          <t>Kortnamn: Svenska börsnoterad, 701 Finansiella för
VariabelKod: 311_A_C701_X_X_X_1E_N4311_V_M_A
Mult.faktor: 1000</t>
        </r>
      </text>
    </comment>
    <comment ref="F26" authorId="0">
      <text>
        <r>
          <rPr>
            <sz val="8"/>
            <rFont val="Tahoma"/>
            <family val="0"/>
          </rPr>
          <t>Kortnamn: Svenska börsnoterad, 701 Finansiella för
VariabelKod: 321_A_C701_X_X_X_1E_N4311_V_M_A
Mult.faktor: 1000</t>
        </r>
      </text>
    </comment>
    <comment ref="G26" authorId="0">
      <text>
        <r>
          <rPr>
            <sz val="8"/>
            <rFont val="Tahoma"/>
            <family val="0"/>
          </rPr>
          <t>Kortnamn: Svenska börsnoterad, 701 Finansiella för
VariabelKod: 322_A_C701_X_X_X_1E_N4311_V_M_A
Mult.faktor: 1000</t>
        </r>
      </text>
    </comment>
    <comment ref="H26" authorId="0">
      <text>
        <r>
          <rPr>
            <sz val="8"/>
            <rFont val="Tahoma"/>
            <family val="0"/>
          </rPr>
          <t>Kortnamn: Svenska börsnoterad, 701 Finansiella för
VariabelKod: 31B_A_C701_X_X_X_1E_N4311_V_M_A
Mult.faktor: 1000</t>
        </r>
      </text>
    </comment>
    <comment ref="I26" authorId="0">
      <text>
        <r>
          <rPr>
            <sz val="8"/>
            <rFont val="Tahoma"/>
            <family val="0"/>
          </rPr>
          <t>Kortnamn: Svenska börsnoterad, 701 Finansiella för
VariabelKod: 33_A_C701_X_X_X_1E_N4311_V_M_A
Mult.faktor: 1000</t>
        </r>
      </text>
    </comment>
    <comment ref="E27" authorId="0">
      <text>
        <r>
          <rPr>
            <sz val="8"/>
            <rFont val="Tahoma"/>
            <family val="0"/>
          </rPr>
          <t>Kortnamn: Svenska börsnoterad, 701 Icke-finansiell
VariabelKod: 311_A_C701_X_X_X_1E_N4312_V_M_A
Mult.faktor: 1000</t>
        </r>
      </text>
    </comment>
    <comment ref="F27" authorId="0">
      <text>
        <r>
          <rPr>
            <sz val="8"/>
            <rFont val="Tahoma"/>
            <family val="0"/>
          </rPr>
          <t>Kortnamn: Svenska börsnoterad, 701 Icke-finansiell
VariabelKod: 321_A_C701_X_X_X_1E_N4312_V_M_A
Mult.faktor: 1000</t>
        </r>
      </text>
    </comment>
    <comment ref="G27" authorId="0">
      <text>
        <r>
          <rPr>
            <sz val="8"/>
            <rFont val="Tahoma"/>
            <family val="0"/>
          </rPr>
          <t>Kortnamn: Svenska börsnoterad, 701 Icke-finansiell
VariabelKod: 322_A_C701_X_X_X_1E_N4312_V_M_A
Mult.faktor: 1000</t>
        </r>
      </text>
    </comment>
    <comment ref="H27" authorId="0">
      <text>
        <r>
          <rPr>
            <sz val="8"/>
            <rFont val="Tahoma"/>
            <family val="0"/>
          </rPr>
          <t>Kortnamn: Svenska börsnoterad, 701 Icke-finansiell
VariabelKod: 31B_A_C701_X_X_X_1E_N4312_V_M_A
Mult.faktor: 1000</t>
        </r>
      </text>
    </comment>
    <comment ref="I27" authorId="0">
      <text>
        <r>
          <rPr>
            <sz val="8"/>
            <rFont val="Tahoma"/>
            <family val="0"/>
          </rPr>
          <t>Kortnamn: Svenska börsnoterad, 701 Icke-finansiell
VariabelKod: 33_A_C701_X_X_X_1E_N4312_V_M_A
Mult.faktor: 1000</t>
        </r>
      </text>
    </comment>
    <comment ref="E28" authorId="0">
      <text>
        <r>
          <rPr>
            <sz val="8"/>
            <rFont val="Tahoma"/>
            <family val="0"/>
          </rPr>
          <t>Kortnamn: Övriga svenska akti, C703 Finansiella fö
VariabelKod: 311_A_C703_X_X_X_1E_N4321_V_B_A
Mult.faktor: 1000</t>
        </r>
      </text>
    </comment>
    <comment ref="F28" authorId="0">
      <text>
        <r>
          <rPr>
            <sz val="8"/>
            <rFont val="Tahoma"/>
            <family val="0"/>
          </rPr>
          <t>Kortnamn: Övriga svenska akti, C703 Finansiella fö
VariabelKod: 321_A_C703_X_X_X_1E_N4321_V_B_A
Mult.faktor: 1000</t>
        </r>
      </text>
    </comment>
    <comment ref="G28" authorId="0">
      <text>
        <r>
          <rPr>
            <sz val="8"/>
            <rFont val="Tahoma"/>
            <family val="0"/>
          </rPr>
          <t>Kortnamn: Övriga svenska akti, C703 Finansiella fö
VariabelKod: 322_A_C703_X_X_X_1E_N4321_V_B_A
Mult.faktor: 1000</t>
        </r>
      </text>
    </comment>
    <comment ref="H28" authorId="0">
      <text>
        <r>
          <rPr>
            <sz val="8"/>
            <rFont val="Tahoma"/>
            <family val="0"/>
          </rPr>
          <t>Kortnamn: Övriga svenska akti, C703 Finansiella fö
VariabelKod: 31B_A_C703_X_X_X_1E_N4321_V_B_A
Mult.faktor: 1000</t>
        </r>
      </text>
    </comment>
    <comment ref="I28" authorId="0">
      <text>
        <r>
          <rPr>
            <sz val="8"/>
            <rFont val="Tahoma"/>
            <family val="0"/>
          </rPr>
          <t>Kortnamn: Övriga svenska akti, C703 Finansiella fö
VariabelKod: 33_A_C703_X_X_X_1E_N4321_V_B_A
Mult.faktor: 1000</t>
        </r>
      </text>
    </comment>
    <comment ref="E30" authorId="0">
      <text>
        <r>
          <rPr>
            <sz val="8"/>
            <rFont val="Tahoma"/>
            <family val="0"/>
          </rPr>
          <t>Kortnamn: Övriga svenska akti, C703 Icke-finansiel
VariabelKod: 311_A_C703_X_X_X_1E_N4322_V_B_A
Mult.faktor: 1000</t>
        </r>
      </text>
    </comment>
    <comment ref="F30" authorId="0">
      <text>
        <r>
          <rPr>
            <sz val="8"/>
            <rFont val="Tahoma"/>
            <family val="0"/>
          </rPr>
          <t>Kortnamn: Övriga svenska akti, C703 Icke-finansiel
VariabelKod: 321_A_C703_X_X_X_1E_N4322_V_B_A
Mult.faktor: 1000</t>
        </r>
      </text>
    </comment>
    <comment ref="G30" authorId="0">
      <text>
        <r>
          <rPr>
            <sz val="8"/>
            <rFont val="Tahoma"/>
            <family val="0"/>
          </rPr>
          <t>Kortnamn: Övriga svenska akti, C703 Icke-finansiel
VariabelKod: 322_A_C703_X_X_X_1E_N4322_V_B_A
Mult.faktor: 1000</t>
        </r>
      </text>
    </comment>
    <comment ref="H30" authorId="0">
      <text>
        <r>
          <rPr>
            <sz val="8"/>
            <rFont val="Tahoma"/>
            <family val="0"/>
          </rPr>
          <t>Kortnamn: Övriga svenska akti, C703 Icke-finansiel
VariabelKod: 31B_A_C703_X_X_X_1E_N4322_V_B_A
Mult.faktor: 1000</t>
        </r>
      </text>
    </comment>
    <comment ref="I30" authorId="0">
      <text>
        <r>
          <rPr>
            <sz val="8"/>
            <rFont val="Tahoma"/>
            <family val="0"/>
          </rPr>
          <t>Kortnamn: Övriga svenska akti, C703 Icke-finansiel
VariabelKod: 33_A_C703_X_X_X_1E_N4322_V_B_A
Mult.faktor: 1000</t>
        </r>
      </text>
    </comment>
    <comment ref="E31" authorId="0">
      <text>
        <r>
          <rPr>
            <sz val="8"/>
            <rFont val="Tahoma"/>
            <family val="0"/>
          </rPr>
          <t>Kortnamn: Utländska börsnoter, 7051 Utländska börs
VariabelKod: 311_A_C7051_X_X_X_3P_N4331_V_M_A
Mult.faktor: 1000</t>
        </r>
      </text>
    </comment>
    <comment ref="F31" authorId="0">
      <text>
        <r>
          <rPr>
            <sz val="8"/>
            <rFont val="Tahoma"/>
            <family val="0"/>
          </rPr>
          <t>Kortnamn: Utländska börsnoter, 7051 Utländska börs
VariabelKod: 321_A_C7051_X_X_X_3P_N4331_V_M_A
Mult.faktor: 1000</t>
        </r>
      </text>
    </comment>
    <comment ref="G31" authorId="0">
      <text>
        <r>
          <rPr>
            <sz val="8"/>
            <rFont val="Tahoma"/>
            <family val="0"/>
          </rPr>
          <t>Kortnamn: Utländska börsnoter, 7051 Utländska börs
VariabelKod: 322_A_C7051_X_X_X_3P_N4331_V_M_A
Mult.faktor: 1000</t>
        </r>
      </text>
    </comment>
    <comment ref="H31" authorId="0">
      <text>
        <r>
          <rPr>
            <sz val="8"/>
            <rFont val="Tahoma"/>
            <family val="0"/>
          </rPr>
          <t>Kortnamn: Utländska börsnoter, 7051 Utländska börs
VariabelKod: 31B_A_C7051_X_X_X_3P_N4331_V_M_A
Mult.faktor: 1000</t>
        </r>
      </text>
    </comment>
    <comment ref="I31" authorId="0">
      <text>
        <r>
          <rPr>
            <sz val="8"/>
            <rFont val="Tahoma"/>
            <family val="0"/>
          </rPr>
          <t>Kortnamn: Utländska börsnoter, 7051 Utländska börs
VariabelKod: 33_A_C7051_X_X_X_3P_N4331_V_M_A
Mult.faktor: 1000</t>
        </r>
      </text>
    </comment>
    <comment ref="E33" authorId="0">
      <text>
        <r>
          <rPr>
            <sz val="8"/>
            <rFont val="Tahoma"/>
            <family val="0"/>
          </rPr>
          <t>Kortnamn: Övriga utländska ak, 7052 Övriga utländs
VariabelKod: 311_A_C7052_X_X_X_3P_N4332_V_B_A
Mult.faktor: 1000</t>
        </r>
      </text>
    </comment>
    <comment ref="F33" authorId="0">
      <text>
        <r>
          <rPr>
            <sz val="8"/>
            <rFont val="Tahoma"/>
            <family val="0"/>
          </rPr>
          <t>Kortnamn: Övriga utländska ak, 7052 Övriga utländs
VariabelKod: 321_A_C7052_X_X_X_3P_N4332_V_B_A
Mult.faktor: 1000</t>
        </r>
      </text>
    </comment>
    <comment ref="G33" authorId="0">
      <text>
        <r>
          <rPr>
            <sz val="8"/>
            <rFont val="Tahoma"/>
            <family val="0"/>
          </rPr>
          <t>Kortnamn: Övriga utländska ak, 7052 Övriga utländs
VariabelKod: 322_A_C7052_X_X_X_3P_N4332_V_B_A
Mult.faktor: 1000</t>
        </r>
      </text>
    </comment>
    <comment ref="H33" authorId="0">
      <text>
        <r>
          <rPr>
            <sz val="8"/>
            <rFont val="Tahoma"/>
            <family val="0"/>
          </rPr>
          <t>Kortnamn: Övriga utländska ak, 7052 Övriga utländs
VariabelKod: 31B_A_C7052_X_X_X_3P_N4332_V_B_A
Mult.faktor: 1000</t>
        </r>
      </text>
    </comment>
    <comment ref="I33" authorId="0">
      <text>
        <r>
          <rPr>
            <sz val="8"/>
            <rFont val="Tahoma"/>
            <family val="0"/>
          </rPr>
          <t>Kortnamn: Övriga utländska ak, 7052 Övriga utländs
VariabelKod: 33_A_C7052_X_X_X_3P_N4332_V_B_A
Mult.faktor: 1000</t>
        </r>
      </text>
    </comment>
  </commentList>
</comments>
</file>

<file path=xl/sharedStrings.xml><?xml version="1.0" encoding="utf-8"?>
<sst xmlns="http://schemas.openxmlformats.org/spreadsheetml/2006/main" count="2332" uniqueCount="737">
  <si>
    <t>Omr.faktor</t>
  </si>
  <si>
    <t>Enhet</t>
  </si>
  <si>
    <t xml:space="preserve">Uppgifter om institutnr, datum etc lämnas i dialogrutan som kommer upp då ni </t>
  </si>
  <si>
    <t>klickar på "Skicka blankett till SCB!"</t>
  </si>
  <si>
    <t>Kvittens från SCB på mottagen blankett</t>
  </si>
  <si>
    <t>Mottaget:</t>
  </si>
  <si>
    <t>Rapportdatum:</t>
  </si>
  <si>
    <t>Inskickat av:</t>
  </si>
  <si>
    <t>Uppgiftslämnare:</t>
  </si>
  <si>
    <t>Fondbolagets organisationsnr.</t>
  </si>
  <si>
    <t>Institutnr.</t>
  </si>
  <si>
    <t>Fondens organisationsnr.</t>
  </si>
  <si>
    <t>Fondens namn:</t>
  </si>
  <si>
    <t>Här lämnade uppgifter är sekretesskyddade enligt 9 kap 4 § sekretesslagen (SFS 1980:100)</t>
  </si>
  <si>
    <t>Kommentarer kan lämnas i rutan som kommer upp då man fyller i rutan Skicka blankett till SCB</t>
  </si>
  <si>
    <t>(Start-fliken).</t>
  </si>
  <si>
    <t>Handläggare</t>
  </si>
  <si>
    <t>Namn (TEXTA)</t>
  </si>
  <si>
    <t>Telefon (även riktnummer)</t>
  </si>
  <si>
    <t>E-post</t>
  </si>
  <si>
    <t>Datum</t>
  </si>
  <si>
    <t>Postadress:</t>
  </si>
  <si>
    <t>Besöksadress:</t>
  </si>
  <si>
    <t>Webbplats:</t>
  </si>
  <si>
    <t>Kontaktpersoner:</t>
  </si>
  <si>
    <t>E-postadress:</t>
  </si>
  <si>
    <t>Telefon:</t>
  </si>
  <si>
    <t>Box 24 300, 104 51</t>
  </si>
  <si>
    <t>Karlavägen 100</t>
  </si>
  <si>
    <t>www.scb.se</t>
  </si>
  <si>
    <t>STOCKHOLM</t>
  </si>
  <si>
    <r>
      <t>Uppgiftsplikt</t>
    </r>
    <r>
      <rPr>
        <sz val="9"/>
        <rFont val="Arial"/>
        <family val="2"/>
      </rPr>
      <t xml:space="preserve"> föreligger enligt SCB-FS 2010:30</t>
    </r>
  </si>
  <si>
    <r>
      <t>OBS!</t>
    </r>
    <r>
      <rPr>
        <b/>
        <sz val="9"/>
        <color indexed="10"/>
        <rFont val="Arial"/>
        <family val="2"/>
      </rPr>
      <t xml:space="preserve">  Detta blad skickas inte med till SCB. Används av företaget om man vill printa ut en kopia.</t>
    </r>
  </si>
  <si>
    <t>BALANSRÄKNING</t>
  </si>
  <si>
    <t>Belopp i TKR</t>
  </si>
  <si>
    <t>Tillgångar</t>
  </si>
  <si>
    <t xml:space="preserve">Tecknat men ej inbetalt kapital  </t>
  </si>
  <si>
    <t xml:space="preserve">Immateriella anläggningstillgångar </t>
  </si>
  <si>
    <t>Materiella anläggningstillgångar</t>
  </si>
  <si>
    <t xml:space="preserve">Konton hos Riksbanken  </t>
  </si>
  <si>
    <t>Lån och låneväxlar</t>
  </si>
  <si>
    <t xml:space="preserve">     finansiella företag </t>
  </si>
  <si>
    <t xml:space="preserve">     övriga företag </t>
  </si>
  <si>
    <t xml:space="preserve">     övriga svenska låntagare </t>
  </si>
  <si>
    <t xml:space="preserve">     utländska låntagare  </t>
  </si>
  <si>
    <t>Fordringar mot koncernföretag</t>
  </si>
  <si>
    <t xml:space="preserve">     svenska</t>
  </si>
  <si>
    <t xml:space="preserve">     utländska  </t>
  </si>
  <si>
    <t xml:space="preserve">Övriga fordringar </t>
  </si>
  <si>
    <t>Förutbetalda kostn. och upplupna intäkter</t>
  </si>
  <si>
    <t>Konverteringslån</t>
  </si>
  <si>
    <t>Statsobligationer</t>
  </si>
  <si>
    <t>Variabel saknas!</t>
  </si>
  <si>
    <t xml:space="preserve">Andra obligationer &amp; förlagsbevis </t>
  </si>
  <si>
    <t>Statsskuldväxlar</t>
  </si>
  <si>
    <t xml:space="preserve">Kommuncertifikat </t>
  </si>
  <si>
    <t xml:space="preserve">Företagscertifikat </t>
  </si>
  <si>
    <t xml:space="preserve">Bankcertifikat </t>
  </si>
  <si>
    <t xml:space="preserve">Andra certifikat  </t>
  </si>
  <si>
    <t>Dagslån</t>
  </si>
  <si>
    <t xml:space="preserve">Finansiella derivat  </t>
  </si>
  <si>
    <t xml:space="preserve">Andelar i värdepappersfonder </t>
  </si>
  <si>
    <t xml:space="preserve">Aktier och andelar </t>
  </si>
  <si>
    <t xml:space="preserve">Kassa och bank </t>
  </si>
  <si>
    <t xml:space="preserve">Balansomslutning </t>
  </si>
  <si>
    <t>Eget kapital och skulder</t>
  </si>
  <si>
    <t xml:space="preserve">Eget kapital, totalt  </t>
  </si>
  <si>
    <t xml:space="preserve">      Aktiekapital </t>
  </si>
  <si>
    <t xml:space="preserve">      Bundna fonder </t>
  </si>
  <si>
    <t xml:space="preserve">      Fria fonder/balanserat resultat </t>
  </si>
  <si>
    <t xml:space="preserve">      Redovisat årsresultat </t>
  </si>
  <si>
    <t xml:space="preserve">Obeskattade reserver  </t>
  </si>
  <si>
    <t xml:space="preserve">Avsättningar </t>
  </si>
  <si>
    <t>Skulder till koncernföretag</t>
  </si>
  <si>
    <t xml:space="preserve">   Svenska  </t>
  </si>
  <si>
    <t xml:space="preserve">   Utländska</t>
  </si>
  <si>
    <t xml:space="preserve">Obligations- och förlagslån  </t>
  </si>
  <si>
    <t>Certifikat</t>
  </si>
  <si>
    <t xml:space="preserve">Konverteringslån </t>
  </si>
  <si>
    <t>Banker</t>
  </si>
  <si>
    <t xml:space="preserve">   Övriga finansiella företag</t>
  </si>
  <si>
    <t xml:space="preserve">   Övriga icke-finansiella företag </t>
  </si>
  <si>
    <t xml:space="preserve">   Övriga långivare </t>
  </si>
  <si>
    <t xml:space="preserve">   Utländska långivare </t>
  </si>
  <si>
    <t xml:space="preserve">Bolagets skatteskuld  </t>
  </si>
  <si>
    <t xml:space="preserve">Övriga skulder  </t>
  </si>
  <si>
    <t xml:space="preserve">Upplupna kostn. och förutbetalda intäkter </t>
  </si>
  <si>
    <t xml:space="preserve">Finansiella derivat </t>
  </si>
  <si>
    <t xml:space="preserve">Balansomslutning  </t>
  </si>
  <si>
    <t xml:space="preserve">Bokfört ingående eget kapital </t>
  </si>
  <si>
    <t xml:space="preserve">Effekt av nya redovisningsprinciper (IFRS) </t>
  </si>
  <si>
    <t>(ange tecken +/-)</t>
  </si>
  <si>
    <t>Förändring av fond för verkligt värde</t>
  </si>
  <si>
    <t xml:space="preserve">   Marknadsvärdeförändring</t>
  </si>
  <si>
    <t xml:space="preserve">   Realiserat via resultaträkningen</t>
  </si>
  <si>
    <t xml:space="preserve">Nyemission inkl. överkurs </t>
  </si>
  <si>
    <t xml:space="preserve">Aktieägartillskott </t>
  </si>
  <si>
    <t xml:space="preserve">Inlösen av egna aktier </t>
  </si>
  <si>
    <t>(ange tecken -)</t>
  </si>
  <si>
    <t xml:space="preserve">Utgifter för förvärv av egna aktier </t>
  </si>
  <si>
    <t xml:space="preserve">Inkomster från avyttring av egna aktier  </t>
  </si>
  <si>
    <t>Utdelning</t>
  </si>
  <si>
    <t>Koncernbidrag</t>
  </si>
  <si>
    <t xml:space="preserve">Skatteeffekt av koncernbidrag </t>
  </si>
  <si>
    <t xml:space="preserve">Övriga förändringar  </t>
  </si>
  <si>
    <t xml:space="preserve">Årets resultat  </t>
  </si>
  <si>
    <t xml:space="preserve">Utgående eget kapital  </t>
  </si>
  <si>
    <t xml:space="preserve">Föreslagen utdelning </t>
  </si>
  <si>
    <r>
      <t xml:space="preserve">          </t>
    </r>
    <r>
      <rPr>
        <b/>
        <i/>
        <sz val="8"/>
        <rFont val="Arial"/>
        <family val="2"/>
      </rPr>
      <t xml:space="preserve">varav </t>
    </r>
    <r>
      <rPr>
        <i/>
        <sz val="8"/>
        <rFont val="Arial"/>
        <family val="2"/>
      </rPr>
      <t>finansiella företag</t>
    </r>
  </si>
  <si>
    <r>
      <t xml:space="preserve">     </t>
    </r>
    <r>
      <rPr>
        <b/>
        <i/>
        <sz val="8"/>
        <rFont val="Arial"/>
        <family val="2"/>
      </rPr>
      <t xml:space="preserve"> varav</t>
    </r>
    <r>
      <rPr>
        <i/>
        <sz val="8"/>
        <rFont val="Arial"/>
        <family val="2"/>
      </rPr>
      <t xml:space="preserve"> utlandet</t>
    </r>
  </si>
  <si>
    <t>Avsättn. till uppskrivningsfond samt fondemission mot uppskrivning av anläggningstillgångar</t>
  </si>
  <si>
    <r>
      <t>(= UB föregående bokföringsperiod</t>
    </r>
    <r>
      <rPr>
        <sz val="10"/>
        <rFont val="Arial"/>
        <family val="2"/>
      </rPr>
      <t>)</t>
    </r>
  </si>
  <si>
    <t>RESULTATRÄKNING</t>
  </si>
  <si>
    <t>Utdelning på aktier och andelar</t>
  </si>
  <si>
    <t xml:space="preserve">Ränteintäkter </t>
  </si>
  <si>
    <t xml:space="preserve">Valutakursdifferenser (avseende lån) </t>
  </si>
  <si>
    <t>Försäljning av värdepapper (avser företag</t>
  </si>
  <si>
    <t xml:space="preserve">som är rörelsedrivande i aktier m.m.) </t>
  </si>
  <si>
    <t xml:space="preserve">Övriga finansiella intäkter  </t>
  </si>
  <si>
    <t>Räntekostnader</t>
  </si>
  <si>
    <t xml:space="preserve">Övriga finansiella kostnader  </t>
  </si>
  <si>
    <t>Köp av värdepapper (avser företag</t>
  </si>
  <si>
    <t>Förvaltningskostnader</t>
  </si>
  <si>
    <t xml:space="preserve">Övriga kostnader </t>
  </si>
  <si>
    <t xml:space="preserve">SUMMA RÖRELSEKOSTNADER  </t>
  </si>
  <si>
    <t xml:space="preserve">Avskrivningar materiella anläggn.tillgångar </t>
  </si>
  <si>
    <t>Resultat före realisationsresultat m.m</t>
  </si>
  <si>
    <t xml:space="preserve">Realisationsvinster på sålda aktier  </t>
  </si>
  <si>
    <t xml:space="preserve">Realisationsvinster på övriga värdepapper </t>
  </si>
  <si>
    <t xml:space="preserve">Realisationsförluster på sålda aktier </t>
  </si>
  <si>
    <t xml:space="preserve">Realisationsförluster på övriga värdepapper </t>
  </si>
  <si>
    <t xml:space="preserve">Värdeförändring aktier och andelar </t>
  </si>
  <si>
    <t xml:space="preserve">Värdeförändring andra finansiella tillgångar </t>
  </si>
  <si>
    <t>Extraordinära kostnader</t>
  </si>
  <si>
    <t>Resultat före bokslutsdispositioner och skatt</t>
  </si>
  <si>
    <t xml:space="preserve">Förändring av obeskattade reserver </t>
  </si>
  <si>
    <t xml:space="preserve">Nedskrivning av aktier och andelar </t>
  </si>
  <si>
    <t>Nedskrivn. av andra finansiella anläggn.tillg</t>
  </si>
  <si>
    <t xml:space="preserve">Koncernbidrag – erhållna  </t>
  </si>
  <si>
    <t xml:space="preserve">Koncernbidrag – lämnade </t>
  </si>
  <si>
    <t>Resultaträkning</t>
  </si>
  <si>
    <t>Balansräkning per bokslutsdag</t>
  </si>
  <si>
    <t>Förändringar av eget kapital</t>
  </si>
  <si>
    <t>001</t>
  </si>
  <si>
    <t>002</t>
  </si>
  <si>
    <t>003</t>
  </si>
  <si>
    <t>004</t>
  </si>
  <si>
    <t>005</t>
  </si>
  <si>
    <t>010</t>
  </si>
  <si>
    <t>011</t>
  </si>
  <si>
    <t>012</t>
  </si>
  <si>
    <t>013</t>
  </si>
  <si>
    <t>014</t>
  </si>
  <si>
    <t>015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</si>
  <si>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</si>
  <si>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</si>
  <si>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</si>
  <si>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</si>
  <si>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</si>
  <si>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</si>
  <si>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</si>
  <si>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</si>
  <si>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</si>
  <si>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</si>
  <si>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</si>
  <si>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</si>
  <si>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</si>
  <si>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</si>
  <si>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</si>
  <si>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</si>
  <si>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</si>
  <si>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055</t>
  </si>
  <si>
    <t>056</t>
  </si>
  <si>
    <t>057</t>
  </si>
  <si>
    <t>060</t>
  </si>
  <si>
    <t>061</t>
  </si>
  <si>
    <t>062</t>
  </si>
  <si>
    <t>070</t>
  </si>
  <si>
    <t>Nyemission av egna aktier och andelar under räkenskapsåret</t>
  </si>
  <si>
    <t xml:space="preserve">Innehav av aktier och andelar per bokslutsdag </t>
  </si>
  <si>
    <r>
      <t>Svenska noterade aktiebolag</t>
    </r>
    <r>
      <rPr>
        <sz val="10"/>
        <rFont val="Arial"/>
        <family val="2"/>
      </rPr>
      <t xml:space="preserve"> (marknadsvärde)</t>
    </r>
  </si>
  <si>
    <r>
      <t>Övriga svenska företag</t>
    </r>
    <r>
      <rPr>
        <sz val="10"/>
        <rFont val="Arial"/>
        <family val="0"/>
      </rPr>
      <t xml:space="preserve"> (bokfört värde)</t>
    </r>
  </si>
  <si>
    <t>Aktietransaktioner under räkenskapsåret</t>
  </si>
  <si>
    <t>Svenska  börsnoterade aktier</t>
  </si>
  <si>
    <r>
      <rPr>
        <sz val="10"/>
        <rFont val="Arial"/>
        <family val="2"/>
      </rPr>
      <t>Finansiella företag</t>
    </r>
  </si>
  <si>
    <t>Övriga svenska aktier</t>
  </si>
  <si>
    <t>Finansiella företag</t>
  </si>
  <si>
    <t>Utländska aktier</t>
  </si>
  <si>
    <r>
      <rPr>
        <sz val="10"/>
        <rFont val="Arial"/>
        <family val="2"/>
      </rPr>
      <t>Utländska börsnoterade aktier</t>
    </r>
  </si>
  <si>
    <t xml:space="preserve">Övriga bokslutsdispositioner </t>
  </si>
  <si>
    <t xml:space="preserve">Resultat före skatt </t>
  </si>
  <si>
    <t xml:space="preserve">Skatt på årets resultat </t>
  </si>
  <si>
    <t xml:space="preserve">Övriga skatter </t>
  </si>
  <si>
    <t>Årets resultat</t>
  </si>
  <si>
    <r>
      <t>Extraordinära intäkter</t>
    </r>
  </si>
  <si>
    <t>Likviderat belopp tecknat av</t>
  </si>
  <si>
    <t xml:space="preserve">   Svenska tecknare</t>
  </si>
  <si>
    <t xml:space="preserve">   Utländska tecknare</t>
  </si>
  <si>
    <t>Summa nyemitterat kapital</t>
  </si>
  <si>
    <t>Aktieinnehav i</t>
  </si>
  <si>
    <t xml:space="preserve">   Finansiella företag</t>
  </si>
  <si>
    <t xml:space="preserve">   Icke-finansiella företag</t>
  </si>
  <si>
    <t xml:space="preserve">   Utländska noterade företag* (marknadsvärde)</t>
  </si>
  <si>
    <t xml:space="preserve">   Övriga utländska företag (bokfört värde)</t>
  </si>
  <si>
    <t>Transaktionsvärden i TKR</t>
  </si>
  <si>
    <t>Likviderade nyteckningar och övriga köp</t>
  </si>
  <si>
    <t>Försäljningar</t>
  </si>
  <si>
    <t>Inlösen</t>
  </si>
  <si>
    <t>Lämnade aktieägartillskott</t>
  </si>
  <si>
    <t>Övriga transaktioner</t>
  </si>
  <si>
    <t>Icke-finansiella företag</t>
  </si>
  <si>
    <t>Icke-finansiella föreag</t>
  </si>
  <si>
    <t>Övriga utländska aktier</t>
  </si>
  <si>
    <t>Att arbeta i SCB:s blanketter för finansmarknadsstatistik:</t>
  </si>
  <si>
    <t>Övriga bokslutsdispositioner</t>
  </si>
  <si>
    <t xml:space="preserve"> Värdeförändring</t>
  </si>
  <si>
    <t>Realisationsförluster m.m.</t>
  </si>
  <si>
    <t>Realisationsvinster</t>
  </si>
  <si>
    <r>
      <t>Uppgifterna avser det räkenskapsår som gått till ända närmaste årsskiftet</t>
    </r>
    <r>
      <rPr>
        <b/>
        <sz val="9.5"/>
        <color indexed="10"/>
        <rFont val="Arial"/>
        <family val="2"/>
      </rPr>
      <t>.</t>
    </r>
  </si>
  <si>
    <t>Utländska låntagare/fordringar</t>
  </si>
  <si>
    <t>Obligationer och förlagsbevis samt konverteringslån</t>
  </si>
  <si>
    <t>Andelar i värdepappersfonder, varav utlandet</t>
  </si>
  <si>
    <t>Kassa och banktillgodohavanden</t>
  </si>
  <si>
    <t>Obeskattade reserver</t>
  </si>
  <si>
    <r>
      <t>c.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Skicka blankett till SCB</t>
    </r>
    <r>
      <rPr>
        <sz val="10"/>
        <rFont val="Arial"/>
        <family val="2"/>
      </rPr>
      <t>: användarnamn (institutnummer), lösenord och rapportperiod (kvartal, år) är obligatoriska uppgifter då data skall skickas in. Fyll även i kontaktperson samt kontaktuppgifter.</t>
    </r>
  </si>
  <si>
    <r>
      <t xml:space="preserve">2.        En dialogruta med en säkerhetsvarning kommer upp då filen öpnas, välj därför 'Aktivera makron'. Får man inget sådant måste man </t>
    </r>
    <r>
      <rPr>
        <b/>
        <sz val="10"/>
        <rFont val="Arial"/>
        <family val="2"/>
      </rPr>
      <t>sänka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säkerhetsnivån</t>
    </r>
    <r>
      <rPr>
        <sz val="10"/>
        <rFont val="Arial"/>
        <family val="2"/>
      </rPr>
      <t xml:space="preserve"> från hög till medel under Verktyg – Makro – Säkerhet. Stäng Excel och öppna blanketten på nytt. </t>
    </r>
  </si>
  <si>
    <r>
      <t>2.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nerladdad</t>
    </r>
    <r>
      <rPr>
        <sz val="10"/>
        <rFont val="Arial"/>
        <family val="2"/>
      </rPr>
      <t xml:space="preserve"> blankett fungerar som en </t>
    </r>
    <r>
      <rPr>
        <b/>
        <sz val="10"/>
        <rFont val="Arial"/>
        <family val="2"/>
      </rPr>
      <t>vanlig Excel arbetsbok</t>
    </r>
    <r>
      <rPr>
        <sz val="10"/>
        <rFont val="Arial"/>
        <family val="2"/>
      </rPr>
      <t xml:space="preserve"> och fylls i lokalt, dvs. man behöver inte vara uppkopplad mot SCB:s hemsida under inmatningen av uppgifter. </t>
    </r>
  </si>
  <si>
    <r>
      <t>3.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Inmatningen</t>
    </r>
    <r>
      <rPr>
        <sz val="10"/>
        <rFont val="Arial"/>
        <family val="2"/>
      </rPr>
      <t xml:space="preserve"> i blanketten sker manuellt direkt i det på den egna datorn sparade kalkylarket. Utförligare information om hur skall man arbeta med denna blankett finns i </t>
    </r>
    <r>
      <rPr>
        <b/>
        <sz val="10"/>
        <rFont val="Arial"/>
        <family val="2"/>
      </rPr>
      <t>dokumentet 'Elektronisk rapportering'</t>
    </r>
    <r>
      <rPr>
        <sz val="10"/>
        <rFont val="Arial"/>
        <family val="2"/>
      </rPr>
      <t xml:space="preserve"> på hemsidan.</t>
    </r>
  </si>
  <si>
    <r>
      <t>4.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innehåller </t>
    </r>
    <r>
      <rPr>
        <b/>
        <sz val="10"/>
        <rFont val="Arial"/>
        <family val="2"/>
      </rPr>
      <t>kontroller</t>
    </r>
    <r>
      <rPr>
        <sz val="10"/>
        <rFont val="Arial"/>
        <family val="2"/>
      </rPr>
      <t xml:space="preserve"> till stöd för rapporteringen. Genom kontrollfunktion i blanketten visas olika konsistensfel på skärmen. Dessa bör rättas innan blanketten sänds till SCB. </t>
    </r>
  </si>
  <si>
    <r>
      <t>5.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Ifylld blankett sparas</t>
    </r>
    <r>
      <rPr>
        <sz val="10"/>
        <rFont val="Arial"/>
        <family val="2"/>
      </rPr>
      <t xml:space="preserve"> som Excelfil </t>
    </r>
    <r>
      <rPr>
        <b/>
        <sz val="10"/>
        <rFont val="Arial"/>
        <family val="2"/>
      </rPr>
      <t>hos rapportören</t>
    </r>
    <r>
      <rPr>
        <sz val="10"/>
        <rFont val="Arial"/>
        <family val="2"/>
      </rPr>
      <t xml:space="preserve"> innan den sänds till SCB. </t>
    </r>
  </si>
  <si>
    <r>
      <t>6.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Färdig blankett sänds krypterad</t>
    </r>
    <r>
      <rPr>
        <sz val="10"/>
        <rFont val="Arial"/>
        <family val="2"/>
      </rPr>
      <t xml:space="preserve"> till SCB när rapportören trycker på knappen ’Skicka blankett till SCB’ på fliken Start. Då anropas SCB:s hemsida automatiskt av Excel och en inloggningsruta kommer upp där användarnamn och lösenord skall an</t>
    </r>
  </si>
  <si>
    <r>
      <t>7.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Tekniska krav</t>
    </r>
    <r>
      <rPr>
        <sz val="10"/>
        <rFont val="Arial"/>
        <family val="2"/>
      </rPr>
      <t xml:space="preserve"> hos rapportören är att arbetsstationen har normalt fungerande Internetuppkoppling, Microsoft Excel i lägst version Excel 97 och makro säkerhet på medel nivå.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</si>
  <si>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Blanketterna kan behöva uppdateras</t>
    </r>
    <r>
      <rPr>
        <sz val="10"/>
        <rFont val="Arial"/>
        <family val="2"/>
      </rPr>
      <t xml:space="preserve"> och bytas ut. Det är därför lämpligt att ta för vana att då rapporteringen skall göras </t>
    </r>
    <r>
      <rPr>
        <b/>
        <sz val="10"/>
        <rFont val="Arial"/>
        <family val="2"/>
      </rPr>
      <t>gå in på hemsidan</t>
    </r>
    <r>
      <rPr>
        <sz val="10"/>
        <rFont val="Arial"/>
        <family val="2"/>
      </rPr>
      <t xml:space="preserve"> och se om det har kommit upp </t>
    </r>
    <r>
      <rPr>
        <b/>
        <sz val="10"/>
        <rFont val="Arial"/>
        <family val="2"/>
      </rPr>
      <t>nya versioner</t>
    </r>
    <r>
      <rPr>
        <sz val="10"/>
        <rFont val="Arial"/>
        <family val="2"/>
      </rPr>
      <t xml:space="preserve"> av blanketterna.</t>
    </r>
  </si>
  <si>
    <r>
      <t>1.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kan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fyllas i direkt på hemsidan. </t>
    </r>
    <r>
      <rPr>
        <b/>
        <sz val="10"/>
        <rFont val="Arial"/>
        <family val="2"/>
      </rPr>
      <t>Spara filen lokalt på datorn</t>
    </r>
    <r>
      <rPr>
        <sz val="10"/>
        <rFont val="Arial"/>
        <family val="2"/>
      </rPr>
      <t>, stäng internetversionen och öppna den sparade blanketten via Excel.</t>
    </r>
  </si>
  <si>
    <r>
      <t>3.        Fliken</t>
    </r>
    <r>
      <rPr>
        <b/>
        <sz val="10"/>
        <rFont val="Arial"/>
        <family val="2"/>
      </rPr>
      <t xml:space="preserve"> 'Start' </t>
    </r>
    <r>
      <rPr>
        <sz val="10"/>
        <rFont val="Arial"/>
        <family val="2"/>
      </rPr>
      <t>innehåller tre knappar</t>
    </r>
  </si>
  <si>
    <r>
      <t>a.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Läs in textfilen till blanketten:</t>
    </r>
    <r>
      <rPr>
        <sz val="10"/>
        <rFont val="Arial"/>
        <family val="2"/>
      </rPr>
      <t xml:space="preserve"> Klicka och hämta upp filen med data för aktuell period. Tryck på öppna och automatisk inläsning påbörjar. </t>
    </r>
  </si>
  <si>
    <r>
      <t>b.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Kontrollera blankett</t>
    </r>
    <r>
      <rPr>
        <sz val="10"/>
        <rFont val="Arial"/>
        <family val="2"/>
      </rPr>
      <t>: Klicka så utförs kontroll av blanketten (se förklaringar nedan punkter 6-9).</t>
    </r>
  </si>
  <si>
    <r>
      <t xml:space="preserve">4.       Fliken </t>
    </r>
    <r>
      <rPr>
        <b/>
        <sz val="10"/>
        <rFont val="Arial"/>
        <family val="2"/>
      </rPr>
      <t>'Försättsblad'</t>
    </r>
    <r>
      <rPr>
        <sz val="10"/>
        <rFont val="Arial"/>
        <family val="2"/>
      </rPr>
      <t>: försättsblad ligger med i blankettfilerna för utskrift av kopia för eget bruk. Detta blad skickas ej med till SCB.</t>
    </r>
  </si>
  <si>
    <r>
      <t>5.       På fliken '</t>
    </r>
    <r>
      <rPr>
        <b/>
        <sz val="10"/>
        <rFont val="Arial"/>
        <family val="2"/>
      </rPr>
      <t>Blankett'</t>
    </r>
    <r>
      <rPr>
        <sz val="10"/>
        <rFont val="Arial"/>
        <family val="2"/>
      </rPr>
      <t xml:space="preserve"> sker inmatningen av resultaträkningsuppgifter.</t>
    </r>
  </si>
  <si>
    <r>
      <t>6.</t>
    </r>
    <r>
      <rPr>
        <sz val="7"/>
        <rFont val="Times New Roman"/>
        <family val="1"/>
      </rPr>
      <t>             </t>
    </r>
    <r>
      <rPr>
        <b/>
        <sz val="10"/>
        <rFont val="Arial"/>
        <family val="2"/>
      </rPr>
      <t>Blankettens kontroller</t>
    </r>
    <r>
      <rPr>
        <sz val="10"/>
        <rFont val="Arial"/>
        <family val="2"/>
      </rPr>
      <t xml:space="preserve"> kan utföras antingen genom att man klickar på knappen ‘Kontrollera blankett’ på fliken Start, eller genom att man högerklickar och väljer ‘Utför kontroll’. Högerklick fungerar var man än befinner sig i blanketten.</t>
    </r>
  </si>
  <si>
    <r>
      <t>7.</t>
    </r>
    <r>
      <rPr>
        <sz val="7"/>
        <rFont val="Times New Roman"/>
        <family val="1"/>
      </rPr>
      <t>            </t>
    </r>
    <r>
      <rPr>
        <sz val="10"/>
        <rFont val="Arial"/>
        <family val="2"/>
      </rPr>
      <t>Om ifyllda data inte klarar inlagda kontroller visas fönstret ‘</t>
    </r>
    <r>
      <rPr>
        <b/>
        <sz val="10"/>
        <rFont val="Arial"/>
        <family val="2"/>
      </rPr>
      <t>Felaktiga kontroller</t>
    </r>
    <r>
      <rPr>
        <sz val="10"/>
        <rFont val="Arial"/>
        <family val="2"/>
      </rPr>
      <t>’. I fönstrets vänstra del visas samtliga kontroller som lösts ut. Då en av kontrollerna markeras, visas cellkoordinaterna för de i kontrollen ingående celler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</si>
  <si>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I det gråa fältet i ‘Felaktiga kontroller’ visas </t>
    </r>
    <r>
      <rPr>
        <b/>
        <sz val="10"/>
        <rFont val="Arial"/>
        <family val="2"/>
      </rPr>
      <t>formeln</t>
    </r>
    <r>
      <rPr>
        <sz val="10"/>
        <rFont val="Arial"/>
        <family val="2"/>
      </rPr>
      <t xml:space="preserve"> för den kontroll som lösts ut. Man ser också ‘Delresultat’, dvs. de numeriska värdena på respektive sida om likhets-/större än- / mindre än -tecken i kontrollen.</t>
    </r>
  </si>
  <si>
    <r>
      <t>9.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För att </t>
    </r>
    <r>
      <rPr>
        <b/>
        <sz val="10"/>
        <rFont val="Arial"/>
        <family val="2"/>
      </rPr>
      <t>korrigera ett felaktigt värde</t>
    </r>
    <r>
      <rPr>
        <sz val="10"/>
        <rFont val="Arial"/>
        <family val="2"/>
      </rPr>
      <t xml:space="preserve"> i en kontroll, dubbelklicka på den cell som har felaktigt värde i den högra rutan i fönstret ‘Felaktig kontroll’. Rutan ‘Ändra värde’ kommer upp, fyll i rätt värde och klicka OK. För att se om kontrol</t>
    </r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</si>
  <si>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För att se vilken </t>
    </r>
    <r>
      <rPr>
        <b/>
        <sz val="10"/>
        <rFont val="Arial"/>
        <family val="2"/>
      </rPr>
      <t>variabelkod</t>
    </r>
    <r>
      <rPr>
        <sz val="10"/>
        <rFont val="Arial"/>
        <family val="2"/>
      </rPr>
      <t xml:space="preserve"> en viss cell har, ställ markören i cellen i blanketten och högerklicka. Välj ‘Visa/dölj cellens variabelkod’, så visas en kommentarsruta med variabelkoden. Gör om proceduren för att dölja den igen. Variabelkoden</t>
    </r>
  </si>
  <si>
    <r>
      <t>11.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Eventuella </t>
    </r>
    <r>
      <rPr>
        <b/>
        <sz val="10"/>
        <rFont val="Arial"/>
        <family val="2"/>
      </rPr>
      <t>värden på delraderna summeras automatiskt i de gula cellerna</t>
    </r>
    <r>
      <rPr>
        <sz val="10"/>
        <rFont val="Arial"/>
        <family val="2"/>
      </rPr>
      <t>.</t>
    </r>
  </si>
  <si>
    <t>ALLMÄNT</t>
  </si>
  <si>
    <t>Med investmentföretag avses här företag noterade på Stockholms fondbörs samt koncern-</t>
  </si>
  <si>
    <t>företag till dessa som är aktieförvaltande, bedriver värdepappers- handel eller annan</t>
  </si>
  <si>
    <t>finansiell verksamhet utan att stå under Finansinspektionens tillsyn.</t>
  </si>
  <si>
    <t xml:space="preserve">Alla värdeuppgifter skall avrundas till närmast högre eller lägre 1000-tal kronor. Belopp </t>
  </si>
  <si>
    <t>under 500 kronor anges med 0 och belopp på 500 kronor och därutöver höjs till närmaste</t>
  </si>
  <si>
    <t xml:space="preserve">1 000-tal. </t>
  </si>
  <si>
    <t xml:space="preserve">Realisationsvinster redovisas alltid på denna nivå. </t>
  </si>
  <si>
    <t xml:space="preserve">Realisationsförluster redovisas alltid på denna nivå. </t>
  </si>
  <si>
    <t>Avser förändring på innehav som finns kvar i utgående balans.</t>
  </si>
  <si>
    <t>Anges enligt företagets årsredovisning.</t>
  </si>
  <si>
    <t>Som utländska fordringar betraktas sådana fordringar där motparten har utländsk adress.</t>
  </si>
  <si>
    <t xml:space="preserve">Värdepapper utgivna av det egna företaget avdras motsvarande låneskuld. </t>
  </si>
  <si>
    <r>
      <t>Resultat före avskrivningar</t>
    </r>
    <r>
      <rPr>
        <b/>
        <sz val="7.5"/>
        <color indexed="8"/>
        <rFont val="Arial"/>
        <family val="2"/>
      </rPr>
      <t xml:space="preserve">  </t>
    </r>
  </si>
  <si>
    <t>Se raderna 241 och 243.</t>
  </si>
  <si>
    <t>Avser andelar i värdepappersfonder som är registrerade i utlandet.</t>
  </si>
  <si>
    <t>Outnyttjad del av checkräkningskredit och av byggnadskreditiv ingår inte.</t>
  </si>
  <si>
    <t xml:space="preserve">Här redovisas bl.a. periodiseringsfonder, ersättningsfond samt ackumulerade överav- </t>
  </si>
  <si>
    <t>skrivningar.</t>
  </si>
  <si>
    <t>INNEHAV AV AKTIER OCH ANDELAR PER BOKSLUTSDAGEN OCH TRANSAKTIONER UNDER RÄKENSKAPSÅRET</t>
  </si>
  <si>
    <t>försäkrings- och fondkommissionärsbolag.</t>
  </si>
  <si>
    <t>Aktietransaktionerna anges i kontantvärden (betalvärden).</t>
  </si>
  <si>
    <t xml:space="preserve">Med utländska företag avses företag som har sitt säte utanför Sverige. </t>
  </si>
  <si>
    <t xml:space="preserve">Detta innebär att även aktier </t>
  </si>
  <si>
    <t>i företag med utländskt säte noterade i Sverige redovisas som utländska aktier.</t>
  </si>
  <si>
    <t xml:space="preserve">Med utländska företag avses företag som har sitt säte utanför Sverige. Detta innebär att även aktier </t>
  </si>
  <si>
    <t xml:space="preserve">Med börsnoterade aktier avses de som är noterade på svensk eller utländsk marknads- </t>
  </si>
  <si>
    <t>plats.</t>
  </si>
  <si>
    <r>
      <t xml:space="preserve">Med </t>
    </r>
    <r>
      <rPr>
        <i/>
        <sz val="9.5"/>
        <color indexed="8"/>
        <rFont val="Arial"/>
        <family val="2"/>
      </rPr>
      <t>finansiella företag</t>
    </r>
    <r>
      <rPr>
        <sz val="9.5"/>
        <color indexed="8"/>
        <rFont val="Arial"/>
        <family val="2"/>
      </rPr>
      <t xml:space="preserve"> avses här andra investmentföretag samt banker, kreditmarknads-,</t>
    </r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</si>
  <si>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</si>
  <si>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</si>
  <si>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</si>
  <si>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</si>
  <si>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</si>
  <si>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</si>
  <si>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</si>
  <si>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</si>
  <si>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</si>
  <si>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</si>
  <si>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</si>
  <si>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</si>
  <si>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</si>
  <si>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</si>
  <si>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</si>
  <si>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</si>
  <si>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</si>
  <si>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</si>
  <si>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</si>
  <si>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</si>
  <si>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</si>
  <si>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color indexed="8"/>
        <rFont val="Arial"/>
        <family val="2"/>
      </rPr>
      <t xml:space="preserve"> i utländsk valuta  </t>
    </r>
  </si>
  <si>
    <r>
      <t xml:space="preserve">      </t>
    </r>
    <r>
      <rPr>
        <b/>
        <i/>
        <sz val="8"/>
        <color indexed="8"/>
        <rFont val="Arial"/>
        <family val="2"/>
      </rPr>
      <t xml:space="preserve">varav </t>
    </r>
    <r>
      <rPr>
        <i/>
        <sz val="8"/>
        <color indexed="8"/>
        <rFont val="Arial"/>
        <family val="2"/>
      </rPr>
      <t xml:space="preserve">i utländsk valuta  </t>
    </r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</si>
  <si>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rFont val="Arial"/>
        <family val="2"/>
      </rPr>
      <t xml:space="preserve"> upplupna räntor</t>
    </r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</si>
  <si>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rFont val="Arial"/>
        <family val="2"/>
      </rPr>
      <t xml:space="preserve"> avsatt till pensioner </t>
    </r>
  </si>
  <si>
    <r>
      <t xml:space="preserve">     </t>
    </r>
    <r>
      <rPr>
        <b/>
        <i/>
        <sz val="8"/>
        <rFont val="Arial"/>
        <family val="2"/>
      </rPr>
      <t xml:space="preserve"> varav</t>
    </r>
    <r>
      <rPr>
        <i/>
        <sz val="8"/>
        <rFont val="Arial"/>
        <family val="2"/>
      </rPr>
      <t xml:space="preserve"> finansiella företag</t>
    </r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</si>
  <si>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rFont val="Arial"/>
        <family val="2"/>
      </rPr>
      <t xml:space="preserve"> u</t>
    </r>
    <r>
      <rPr>
        <i/>
        <sz val="8"/>
        <color indexed="8"/>
        <rFont val="Arial"/>
        <family val="2"/>
      </rPr>
      <t xml:space="preserve">pplupna räntor  </t>
    </r>
  </si>
  <si>
    <t>Utdelning på aktier, (S1) Nationell ekon</t>
  </si>
  <si>
    <t>Resultat'!Inm_19991</t>
  </si>
  <si>
    <t>R</t>
  </si>
  <si>
    <t>C801</t>
  </si>
  <si>
    <t>X</t>
  </si>
  <si>
    <t>5J</t>
  </si>
  <si>
    <t>N</t>
  </si>
  <si>
    <t>V</t>
  </si>
  <si>
    <t>M</t>
  </si>
  <si>
    <t>A</t>
  </si>
  <si>
    <t>EJ_GRANSKN</t>
  </si>
  <si>
    <t>Ränteintäkter, (S1) Nationell ekon</t>
  </si>
  <si>
    <t>Resultat'!Inm_19990</t>
  </si>
  <si>
    <t>C802</t>
  </si>
  <si>
    <t>Valutadifferenser (, (S1) Nationell ekon</t>
  </si>
  <si>
    <t>Resultat'!Inm_19989</t>
  </si>
  <si>
    <t>C803</t>
  </si>
  <si>
    <t>Försäljning av värd, (S1) Nationell ekon</t>
  </si>
  <si>
    <t>Resultat'!Inm_19988</t>
  </si>
  <si>
    <t>C804</t>
  </si>
  <si>
    <t>Övriga finansiella , (S1) Nationell ekon</t>
  </si>
  <si>
    <t>Resultat'!Inm_19987</t>
  </si>
  <si>
    <t>C805</t>
  </si>
  <si>
    <t>Summa intäkter, (S1) Nationell ekon</t>
  </si>
  <si>
    <t>Resultat'!Inm_19986</t>
  </si>
  <si>
    <t>C810</t>
  </si>
  <si>
    <t>Räntekostnader, (S1) Nationell ekon</t>
  </si>
  <si>
    <t>Resultat'!Inm_19985</t>
  </si>
  <si>
    <t>C</t>
  </si>
  <si>
    <t>C811</t>
  </si>
  <si>
    <t>Resultat'!Inm_19984</t>
  </si>
  <si>
    <t>C812</t>
  </si>
  <si>
    <t>Köp av värdepapper, (S1) Nationell ekon</t>
  </si>
  <si>
    <t>Resultat'!Inm_19983</t>
  </si>
  <si>
    <t>C813</t>
  </si>
  <si>
    <t>Förvaltningskostand, (S1) Nationell ekon</t>
  </si>
  <si>
    <t>Resultat'!Inm_19982</t>
  </si>
  <si>
    <t>C814</t>
  </si>
  <si>
    <t>Övriga kostnader, (S1) Nationell ekon</t>
  </si>
  <si>
    <t>Resultat'!Inm_19981</t>
  </si>
  <si>
    <t>C815</t>
  </si>
  <si>
    <t>Summa rörelsekostna, (S1) Nationell ekon</t>
  </si>
  <si>
    <t>Resultat'!Inm_19980</t>
  </si>
  <si>
    <t>C820</t>
  </si>
  <si>
    <t>Resultat före avskr, (S1) Nationell ekon</t>
  </si>
  <si>
    <t>Resultat'!Inm_19979</t>
  </si>
  <si>
    <t>C830</t>
  </si>
  <si>
    <t>Avskrivningar mater, (S1) Nationell ekon</t>
  </si>
  <si>
    <t>Resultat'!Inm_19978</t>
  </si>
  <si>
    <t>C831</t>
  </si>
  <si>
    <t>Resultat före reali, (S1) Nationell ekon</t>
  </si>
  <si>
    <t>Resultat'!Inm_19977</t>
  </si>
  <si>
    <t>C840</t>
  </si>
  <si>
    <t>Realisationsvinster, (S1) Nationell ekon</t>
  </si>
  <si>
    <t>Resultat'!Inm_19976</t>
  </si>
  <si>
    <t>C841</t>
  </si>
  <si>
    <t>Resultat'!Inm_19975</t>
  </si>
  <si>
    <t>C842</t>
  </si>
  <si>
    <t>Extraordinära intäk, (S1) Nationell ekon</t>
  </si>
  <si>
    <t>Resultat'!Inm_19974</t>
  </si>
  <si>
    <t>C843</t>
  </si>
  <si>
    <t>Realisationsförlust, (S1) Nationell ekon</t>
  </si>
  <si>
    <t>Resultat'!Inm_19973</t>
  </si>
  <si>
    <t>C844</t>
  </si>
  <si>
    <t>Resultat'!Inm_19972</t>
  </si>
  <si>
    <t>C845</t>
  </si>
  <si>
    <t>Värdeförändringar a, (S1) Nationell ekon</t>
  </si>
  <si>
    <t>Resultat'!Inm_19971</t>
  </si>
  <si>
    <t>C846</t>
  </si>
  <si>
    <t>Värdeförändring and, (S1) Nationell ekon</t>
  </si>
  <si>
    <t>Resultat'!Inm_19970</t>
  </si>
  <si>
    <t>C847</t>
  </si>
  <si>
    <t>Extraordinära kostn, (S1) Nationell ekon</t>
  </si>
  <si>
    <t>Resultat'!Inm_19969</t>
  </si>
  <si>
    <t>C848</t>
  </si>
  <si>
    <t>Resultat före boksl, (S1) Nationell ekon</t>
  </si>
  <si>
    <t>Resultat'!Inm_19968</t>
  </si>
  <si>
    <t>C850</t>
  </si>
  <si>
    <t>Förändring av obesk, (S1) Nationell ekon</t>
  </si>
  <si>
    <t>Resultat'!Inm_19967</t>
  </si>
  <si>
    <t>C851</t>
  </si>
  <si>
    <t>Nedskrivning av akt, (S1) Nationell ekon</t>
  </si>
  <si>
    <t>Resultat'!Inm_19966</t>
  </si>
  <si>
    <t>C852</t>
  </si>
  <si>
    <t>Nedskrivn. av andra, (S1) Nationell ekon</t>
  </si>
  <si>
    <t>Resultat'!Inm_19965</t>
  </si>
  <si>
    <t>C853</t>
  </si>
  <si>
    <t>Koncernbidrag (erhå, (S1) Nationell ekon</t>
  </si>
  <si>
    <t>Resultat'!Inm_19964</t>
  </si>
  <si>
    <t>C854</t>
  </si>
  <si>
    <t>Koncernbidrag (lämn, (S1) Nationell ekon</t>
  </si>
  <si>
    <t>Resultat'!Inm_19963</t>
  </si>
  <si>
    <t>C855</t>
  </si>
  <si>
    <t>Aktieägartillskott, (S1) Nationell ekon</t>
  </si>
  <si>
    <t>Resultat'!Inm_19962</t>
  </si>
  <si>
    <t>C856</t>
  </si>
  <si>
    <t>Övriga bokslutsdisp, (S1) Nationell ekon</t>
  </si>
  <si>
    <t>Resultat'!Inm_19961</t>
  </si>
  <si>
    <t>C857</t>
  </si>
  <si>
    <t>Resultat före skatt, (S1) Nationell ekon</t>
  </si>
  <si>
    <t>Resultat'!Inm_19960</t>
  </si>
  <si>
    <t>C860</t>
  </si>
  <si>
    <t>Skatt på årets resu, (S1) Nationell ekon</t>
  </si>
  <si>
    <t>Resultat'!Inm_19959</t>
  </si>
  <si>
    <t>C861</t>
  </si>
  <si>
    <t>Övriga skatter, (S1) Nationell ekon</t>
  </si>
  <si>
    <t>Resultat'!Inm_19958</t>
  </si>
  <si>
    <t>C862</t>
  </si>
  <si>
    <t>Årets resultat, (S1) Nationell ekon</t>
  </si>
  <si>
    <t>Resultat'!Inm_19957</t>
  </si>
  <si>
    <t>C870</t>
  </si>
  <si>
    <t>Tecknat men ej inbe, (S1) Nationell ekon</t>
  </si>
  <si>
    <t>Balans'!Inm_20008</t>
  </si>
  <si>
    <t>C101</t>
  </si>
  <si>
    <t>Immateriella anlägg, (S1) Nationell ekon</t>
  </si>
  <si>
    <t>Balans'!Inm_20058</t>
  </si>
  <si>
    <t>C111</t>
  </si>
  <si>
    <t>Materiella anläggni, (S1) Nationell ekon</t>
  </si>
  <si>
    <t>Balans'!Inm_20009</t>
  </si>
  <si>
    <t>C112</t>
  </si>
  <si>
    <t>Konton hos Riksbank, (S1) Nationell ekon</t>
  </si>
  <si>
    <t>Balans'!Inm_20010</t>
  </si>
  <si>
    <t>C121</t>
  </si>
  <si>
    <t>Lån och låneväxlar, C130 Finansiella fö</t>
  </si>
  <si>
    <t>Balans'!Inm_20011</t>
  </si>
  <si>
    <t>C130</t>
  </si>
  <si>
    <t>N411</t>
  </si>
  <si>
    <t>Lån och låneväxlar, C130 Övriga företag</t>
  </si>
  <si>
    <t>Balans'!Inm_20012</t>
  </si>
  <si>
    <t>N412</t>
  </si>
  <si>
    <t>Lån och låneväxlar, C130 Övriga svenska</t>
  </si>
  <si>
    <t>Balans'!Inm_20013</t>
  </si>
  <si>
    <t>N413</t>
  </si>
  <si>
    <t>Lån och låneväxlar, C130 Utländska lånt</t>
  </si>
  <si>
    <t>Balans'!Inm_20057</t>
  </si>
  <si>
    <t>3P</t>
  </si>
  <si>
    <t>N414</t>
  </si>
  <si>
    <t>Fordringar mot konc, Koncernföretag</t>
  </si>
  <si>
    <t>Balans'!Inm_20056</t>
  </si>
  <si>
    <t>C135</t>
  </si>
  <si>
    <t>1E</t>
  </si>
  <si>
    <t>N1A1</t>
  </si>
  <si>
    <t>Fordringar mot konc, Varav finansiella f</t>
  </si>
  <si>
    <t>Balans'!Inm_20055</t>
  </si>
  <si>
    <t>N1A11</t>
  </si>
  <si>
    <t>Fordringar mot konc, (S1) Nationell ekon</t>
  </si>
  <si>
    <t>Balans'!Inm_20054</t>
  </si>
  <si>
    <t>Övriga fordringar, (S1) Nationell ekon</t>
  </si>
  <si>
    <t>Balans'!Inm_20053</t>
  </si>
  <si>
    <t>C137</t>
  </si>
  <si>
    <t>Förutbetalda kostn., (S1) Nationell ekon</t>
  </si>
  <si>
    <t>Balans'!Inm_20052</t>
  </si>
  <si>
    <t>C141</t>
  </si>
  <si>
    <t>Varav upplupna ränt, (S1) Nationell ekon</t>
  </si>
  <si>
    <t>Balans'!Inm_20051</t>
  </si>
  <si>
    <t>C1411</t>
  </si>
  <si>
    <t>Konverteringslån, (S1) Nationell ekon</t>
  </si>
  <si>
    <t>Balans'!Inm_20050</t>
  </si>
  <si>
    <t>C151</t>
  </si>
  <si>
    <t>Statsobligationer, (S1) Nationell ekon</t>
  </si>
  <si>
    <t>Balans'!Inm_20049</t>
  </si>
  <si>
    <t>C152</t>
  </si>
  <si>
    <t>Andra obligationer , (S1) Nationell ekon</t>
  </si>
  <si>
    <t>Balans'!Inm_20048</t>
  </si>
  <si>
    <t>C153</t>
  </si>
  <si>
    <t>Statsskuldväxlar, (S1) Nationell ekon</t>
  </si>
  <si>
    <t>Balans'!Inm_20047</t>
  </si>
  <si>
    <t>C154</t>
  </si>
  <si>
    <t>Kommuncertifikat, (S1) Nationell ekon</t>
  </si>
  <si>
    <t>Balans'!Inm_20046</t>
  </si>
  <si>
    <t>C155</t>
  </si>
  <si>
    <t>Företagscertifikat, (S1) Nationell ekon</t>
  </si>
  <si>
    <t>Balans'!Inm_20045</t>
  </si>
  <si>
    <t>C156</t>
  </si>
  <si>
    <t>Bankcertifikat, (S1) Nationell ekon</t>
  </si>
  <si>
    <t>Balans'!Inm_20044</t>
  </si>
  <si>
    <t>C157</t>
  </si>
  <si>
    <t>Andra certifikat, (S1) Nationell ekon</t>
  </si>
  <si>
    <t>Balans'!Inm_20043</t>
  </si>
  <si>
    <t>C158</t>
  </si>
  <si>
    <t>Dagslån, (S1) Nationell ekon</t>
  </si>
  <si>
    <t>Balans'!Inm_20042</t>
  </si>
  <si>
    <t>C161</t>
  </si>
  <si>
    <t>Finansiella derivat, (S1) Nationell ekon</t>
  </si>
  <si>
    <t>Balans'!Inm_20041</t>
  </si>
  <si>
    <t>C162</t>
  </si>
  <si>
    <t>Andelar i värdepapp, (S1) Nationell ekon</t>
  </si>
  <si>
    <t>Balans'!Inm_20040</t>
  </si>
  <si>
    <t>C163</t>
  </si>
  <si>
    <t>Balans'!Inm_20039</t>
  </si>
  <si>
    <t>Aktier och andelar, (S1) Nationell ekon</t>
  </si>
  <si>
    <t>Balans'!Inm_20038</t>
  </si>
  <si>
    <t>C171</t>
  </si>
  <si>
    <t>Kassa och bank, (S1) Nationell ekon</t>
  </si>
  <si>
    <t>Balans'!Inm_20037</t>
  </si>
  <si>
    <t>C181</t>
  </si>
  <si>
    <t>Balansomslutning, (S1) Nationell ekon</t>
  </si>
  <si>
    <t>Balans'!Inm_20073</t>
  </si>
  <si>
    <t>C192</t>
  </si>
  <si>
    <t>Balans'!Inm_20036</t>
  </si>
  <si>
    <t>VU</t>
  </si>
  <si>
    <t>Eget kapital, total, (S1) Nationell ekon</t>
  </si>
  <si>
    <t>Balans'!Inm_20035</t>
  </si>
  <si>
    <t>L</t>
  </si>
  <si>
    <t>C201</t>
  </si>
  <si>
    <t>Aktiekapital, (S1) Nationell ekon</t>
  </si>
  <si>
    <t>Balans'!Inm_20034</t>
  </si>
  <si>
    <t>C2011</t>
  </si>
  <si>
    <t>Bundna fonder, (S1) Nationell ekon</t>
  </si>
  <si>
    <t>Balans'!Inm_20033</t>
  </si>
  <si>
    <t>C2012</t>
  </si>
  <si>
    <t>fria fonder, balans, (S1) Nationell ekon</t>
  </si>
  <si>
    <t>Balans'!Inm_20032</t>
  </si>
  <si>
    <t>C2013</t>
  </si>
  <si>
    <t>Obeskattade reserve, (S1) Nationell ekon</t>
  </si>
  <si>
    <t>Balans'!Inm_20030</t>
  </si>
  <si>
    <t>C211</t>
  </si>
  <si>
    <t>Avsättningar, (S1) Nationell ekon</t>
  </si>
  <si>
    <t>Balans'!Inm_20029</t>
  </si>
  <si>
    <t>C221</t>
  </si>
  <si>
    <t>Varav avsatt till p, (S1) Nationell ekon</t>
  </si>
  <si>
    <t>Balans'!Inm_20028</t>
  </si>
  <si>
    <t>C2211</t>
  </si>
  <si>
    <t>Skulder till koncer, Koncernföretag</t>
  </si>
  <si>
    <t>Balans'!Inm_20027</t>
  </si>
  <si>
    <t>C231</t>
  </si>
  <si>
    <t>Skulder till koncer, Varav finansiella f</t>
  </si>
  <si>
    <t>Balans'!Inm_20026</t>
  </si>
  <si>
    <t>Balans'!Inm_20025</t>
  </si>
  <si>
    <t>Obligations och för, (S1) Nationell ekon</t>
  </si>
  <si>
    <t>Balans'!Inm_20024</t>
  </si>
  <si>
    <t>C241</t>
  </si>
  <si>
    <t>Certifikat, (S1) Nationell ekon</t>
  </si>
  <si>
    <t>Balans'!Inm_20023</t>
  </si>
  <si>
    <t>C242</t>
  </si>
  <si>
    <t>Balans'!Inm_20022</t>
  </si>
  <si>
    <t>C243</t>
  </si>
  <si>
    <t>Lån och låneväxlar, C251 Banker</t>
  </si>
  <si>
    <t>Balans'!Inm_20021</t>
  </si>
  <si>
    <t>C251</t>
  </si>
  <si>
    <t>N415</t>
  </si>
  <si>
    <t>Lån och låneväxlar, C251 Övriga finansi</t>
  </si>
  <si>
    <t>Balans'!Inm_20020</t>
  </si>
  <si>
    <t>N416</t>
  </si>
  <si>
    <t>Lån och låneväxlar, C251 Övriga icke.fi</t>
  </si>
  <si>
    <t>Balans'!Inm_20019</t>
  </si>
  <si>
    <t>N417</t>
  </si>
  <si>
    <t>Lån och låneväxlar, C251 Övriga långiva</t>
  </si>
  <si>
    <t>Balans'!Inm_20018</t>
  </si>
  <si>
    <t>N418</t>
  </si>
  <si>
    <t>Lån och låneväxlar, C251 Utländska lång</t>
  </si>
  <si>
    <t>Balans'!Inm_20017</t>
  </si>
  <si>
    <t>N419</t>
  </si>
  <si>
    <t>Bolagets skatteskul, (S1) Nationell ekon</t>
  </si>
  <si>
    <t>Balans'!Inm_20016</t>
  </si>
  <si>
    <t>C261</t>
  </si>
  <si>
    <t>Övriga skulder, (S1) Nationell ekon</t>
  </si>
  <si>
    <t>Balans'!Inm_20015</t>
  </si>
  <si>
    <t>C262</t>
  </si>
  <si>
    <t>Upplupna konstn. oc, (S1) Nationell ekon</t>
  </si>
  <si>
    <t>Balans'!Inm_20014</t>
  </si>
  <si>
    <t>C271</t>
  </si>
  <si>
    <t>Balans'!Inm_20059</t>
  </si>
  <si>
    <t>C2711</t>
  </si>
  <si>
    <t>Balans'!Inm_20060</t>
  </si>
  <si>
    <t>C281</t>
  </si>
  <si>
    <t>Balans'!Inm_20061</t>
  </si>
  <si>
    <t>C282</t>
  </si>
  <si>
    <t>Bokfört ingående eg, (S1) Nationell ekon</t>
  </si>
  <si>
    <t>Balans'!Inm_20063</t>
  </si>
  <si>
    <t>C401</t>
  </si>
  <si>
    <t>Effekt av nya redov, (S1) Nationell ekon</t>
  </si>
  <si>
    <t>Balans'!Inm_20071</t>
  </si>
  <si>
    <t>C402</t>
  </si>
  <si>
    <t>Marknadsvärdeföränd, (S1) Nationell ekon</t>
  </si>
  <si>
    <t>Balans'!Inm_20006</t>
  </si>
  <si>
    <t>C4031</t>
  </si>
  <si>
    <t>Realiserat via resu, (S1) Nationell ekon</t>
  </si>
  <si>
    <t>Balans'!Inm_20005</t>
  </si>
  <si>
    <t>C4032</t>
  </si>
  <si>
    <t>Nyemission inkl. öv, (S1) Nationell ekon</t>
  </si>
  <si>
    <t>Balans'!Inm_20004</t>
  </si>
  <si>
    <t>C411</t>
  </si>
  <si>
    <t>Avsättn. till uppsk, (S1) Nationell ekon</t>
  </si>
  <si>
    <t>Balans'!Inm_20003</t>
  </si>
  <si>
    <t>C421</t>
  </si>
  <si>
    <t>Balans'!Inm_20002</t>
  </si>
  <si>
    <t>C431</t>
  </si>
  <si>
    <t>Inlösen av egna akt, (S1) Nationell ekon</t>
  </si>
  <si>
    <t>Balans'!Inm_20001</t>
  </si>
  <si>
    <t>C432</t>
  </si>
  <si>
    <t>Utgifter för förvär, (S1) Nationell ekon</t>
  </si>
  <si>
    <t>Balans'!Inm_20000</t>
  </si>
  <si>
    <t>C435</t>
  </si>
  <si>
    <t>Inkomster från avyt, (S1) Nationell ekon</t>
  </si>
  <si>
    <t>Balans'!Inm_19999</t>
  </si>
  <si>
    <t>C436</t>
  </si>
  <si>
    <t>Utdelning, (S1) Nationell ekon</t>
  </si>
  <si>
    <t>Balans'!Inm_19998</t>
  </si>
  <si>
    <t>C441</t>
  </si>
  <si>
    <t>Koncernbidrag, (S1) Nationell ekon</t>
  </si>
  <si>
    <t>Balans'!Inm_19997</t>
  </si>
  <si>
    <t>C433</t>
  </si>
  <si>
    <t>Skatteefekter av ko, (S1) Nationell ekon</t>
  </si>
  <si>
    <t>Balans'!Inm_19996</t>
  </si>
  <si>
    <t>C434</t>
  </si>
  <si>
    <t>Övriga förändringar, (S1) Nationell ekon</t>
  </si>
  <si>
    <t>Balans'!Inm_19995</t>
  </si>
  <si>
    <t>C451</t>
  </si>
  <si>
    <t>Föreslagen utdelnin, (S1) Nationell ekon</t>
  </si>
  <si>
    <t>Balans'!Inm_19992</t>
  </si>
  <si>
    <t>C481</t>
  </si>
  <si>
    <t>Likviderat belopp a, (S1) Nationell ekon</t>
  </si>
  <si>
    <t>Aktier &amp; Andelar'!Inm_19956</t>
  </si>
  <si>
    <t>C301</t>
  </si>
  <si>
    <t>Aktier &amp; Andelar'!Inm_19955</t>
  </si>
  <si>
    <t>C302</t>
  </si>
  <si>
    <t>Summa nyemitterat k, (S1) Nationell ekon</t>
  </si>
  <si>
    <t>Aktier &amp; Andelar'!Inm_20072</t>
  </si>
  <si>
    <t>C30</t>
  </si>
  <si>
    <t>Aktieinnehav i svan, C5 Finansiella före</t>
  </si>
  <si>
    <t>Aktier &amp; Andelar'!Inm_19954</t>
  </si>
  <si>
    <t>C5</t>
  </si>
  <si>
    <t>N4211</t>
  </si>
  <si>
    <t>Aktieinnehav i svan, C5 Icke-finansiella</t>
  </si>
  <si>
    <t>Aktier &amp; Andelar'!Inm_19953</t>
  </si>
  <si>
    <t>N4212</t>
  </si>
  <si>
    <t>Aktieinnehav i övri, C6 Finansiella före</t>
  </si>
  <si>
    <t>Aktier &amp; Andelar'!Inm_19952</t>
  </si>
  <si>
    <t>C6</t>
  </si>
  <si>
    <t>N4221</t>
  </si>
  <si>
    <t>B</t>
  </si>
  <si>
    <t>Aktieinnehav i övri, C6 Icke-finansiella</t>
  </si>
  <si>
    <t>Aktier &amp; Andelar'!Inm_19951</t>
  </si>
  <si>
    <t>N4222</t>
  </si>
  <si>
    <t>Aktieinnehav i övri, C6 Utländska notera</t>
  </si>
  <si>
    <t>Aktier &amp; Andelar'!Inm_19950</t>
  </si>
  <si>
    <t>N4223</t>
  </si>
  <si>
    <t>Aktieinnehav i övri, C6 Övriga utländska</t>
  </si>
  <si>
    <t>Aktier &amp; Andelar'!Inm_19949</t>
  </si>
  <si>
    <t>N4224</t>
  </si>
  <si>
    <t>Svenska börsnoterad, 701 Finansiella för</t>
  </si>
  <si>
    <t>Aktier &amp; Andelar'!Inm_19948</t>
  </si>
  <si>
    <t>C701</t>
  </si>
  <si>
    <t>N4311</t>
  </si>
  <si>
    <t>Aktier &amp; Andelar'!Inm_19942</t>
  </si>
  <si>
    <t>Aktier &amp; Andelar'!Inm_19936</t>
  </si>
  <si>
    <t>Aktier &amp; Andelar'!Inm_19930</t>
  </si>
  <si>
    <t>31B</t>
  </si>
  <si>
    <t>Aktier &amp; Andelar'!Inm_19924</t>
  </si>
  <si>
    <t>Svenska börsnoterad, 701 Icke-finansiell</t>
  </si>
  <si>
    <t>Aktier &amp; Andelar'!Inm_19947</t>
  </si>
  <si>
    <t>N4312</t>
  </si>
  <si>
    <t>Aktier &amp; Andelar'!Inm_19941</t>
  </si>
  <si>
    <t>Aktier &amp; Andelar'!Inm_19935</t>
  </si>
  <si>
    <t>Aktier &amp; Andelar'!Inm_19929</t>
  </si>
  <si>
    <t>Aktier &amp; Andelar'!Inm_19923</t>
  </si>
  <si>
    <t>Övriga svenska akti, C703 Finansiella fö</t>
  </si>
  <si>
    <t>Aktier &amp; Andelar'!Inm_19946</t>
  </si>
  <si>
    <t>C703</t>
  </si>
  <si>
    <t>N4321</t>
  </si>
  <si>
    <t>Aktier &amp; Andelar'!Inm_19940</t>
  </si>
  <si>
    <t>Aktier &amp; Andelar'!Inm_19934</t>
  </si>
  <si>
    <t>Aktier &amp; Andelar'!Inm_19928</t>
  </si>
  <si>
    <t>Aktier &amp; Andelar'!Inm_19922</t>
  </si>
  <si>
    <t>Övriga svenska akti, C703 Icke-finansiel</t>
  </si>
  <si>
    <t>Aktier &amp; Andelar'!Inm_19945</t>
  </si>
  <si>
    <t>N4322</t>
  </si>
  <si>
    <t>Aktier &amp; Andelar'!Inm_19939</t>
  </si>
  <si>
    <t>Aktier &amp; Andelar'!Inm_19933</t>
  </si>
  <si>
    <t>Aktier &amp; Andelar'!Inm_19927</t>
  </si>
  <si>
    <t>Aktier &amp; Andelar'!Inm_19921</t>
  </si>
  <si>
    <t>Utländska börsnoter, 7051 Utländska börs</t>
  </si>
  <si>
    <t>Aktier &amp; Andelar'!Inm_19944</t>
  </si>
  <si>
    <t>C7051</t>
  </si>
  <si>
    <t>N4331</t>
  </si>
  <si>
    <t>Aktier &amp; Andelar'!Inm_19938</t>
  </si>
  <si>
    <t>Aktier &amp; Andelar'!Inm_19932</t>
  </si>
  <si>
    <t>Aktier &amp; Andelar'!Inm_19926</t>
  </si>
  <si>
    <t>Aktier &amp; Andelar'!Inm_19920</t>
  </si>
  <si>
    <t>Övriga utländska ak, 7052 Övriga utländs</t>
  </si>
  <si>
    <t>Aktier &amp; Andelar'!Inm_19943</t>
  </si>
  <si>
    <t>C7052</t>
  </si>
  <si>
    <t>N4332</t>
  </si>
  <si>
    <t>Aktier &amp; Andelar'!Inm_19937</t>
  </si>
  <si>
    <t>Aktier &amp; Andelar'!Inm_19931</t>
  </si>
  <si>
    <t>Aktier &amp; Andelar'!Inm_19925</t>
  </si>
  <si>
    <t>Aktier &amp; Andelar'!Inm_19919</t>
  </si>
  <si>
    <t>SUMMA INTÄKTER</t>
  </si>
  <si>
    <t>Summa intäkter</t>
  </si>
  <si>
    <t>Resultat</t>
  </si>
  <si>
    <t>010=001+002+003+004+005</t>
  </si>
  <si>
    <t>Summa rörelsekostnad</t>
  </si>
  <si>
    <t>020=011+012+013+014+015</t>
  </si>
  <si>
    <t>Resultat före avskrivningar</t>
  </si>
  <si>
    <t>030=010-020</t>
  </si>
  <si>
    <t>Resultat före skatt</t>
  </si>
  <si>
    <t>Resultat före realisationsresultat</t>
  </si>
  <si>
    <t>040=030-031</t>
  </si>
  <si>
    <t>050=040:048</t>
  </si>
  <si>
    <t>Resultat före bokslutsdisp och skatt</t>
  </si>
  <si>
    <t>070=060-061-062</t>
  </si>
  <si>
    <t>060=050:057</t>
  </si>
  <si>
    <t>Balans/Tillgångar</t>
  </si>
  <si>
    <t>135&gt;=138</t>
  </si>
  <si>
    <t>141&gt;=142</t>
  </si>
  <si>
    <t>163&gt;=164</t>
  </si>
  <si>
    <t>191&gt;=192</t>
  </si>
  <si>
    <t>Förutbetalda kostnader…</t>
  </si>
  <si>
    <t>Andelar i vp-fonder</t>
  </si>
  <si>
    <t>Balansomslutning</t>
  </si>
  <si>
    <t>Balansomslutning/Utländsk valuta</t>
  </si>
  <si>
    <t>Balans/Eget kapital och skulder</t>
  </si>
  <si>
    <t>Eget kapital</t>
  </si>
  <si>
    <t>Avsättningar</t>
  </si>
  <si>
    <t>Upplupna kostnader</t>
  </si>
  <si>
    <t>201=(202:205)</t>
  </si>
  <si>
    <t>191=(101:181)</t>
  </si>
  <si>
    <t>221&gt;=222</t>
  </si>
  <si>
    <t>231&gt;=233</t>
  </si>
  <si>
    <t>271&gt;=272</t>
  </si>
  <si>
    <t>Eget kapital UB</t>
  </si>
  <si>
    <t>471=(401:461)</t>
  </si>
  <si>
    <t>302=300+301</t>
  </si>
  <si>
    <t>Aktier &amp; Andelar</t>
  </si>
  <si>
    <t>Nyemitterat kapital</t>
  </si>
  <si>
    <t>Länk från Resultat rad 070</t>
  </si>
  <si>
    <t>Länk från rad 191</t>
  </si>
  <si>
    <t>Länk från rad 192</t>
  </si>
  <si>
    <t>Länk från rad 201</t>
  </si>
  <si>
    <t>Investmentföretag, ÅR</t>
  </si>
  <si>
    <t>Årsstatistik för Investmentföretag</t>
  </si>
  <si>
    <t>Investmentföretag, år</t>
  </si>
  <si>
    <t>Investmentföretag, År</t>
  </si>
  <si>
    <t>Anvisning om Rapporteringen av Investmentföretag, år elektroniskt till Statistiska centralbyrån (SCB).</t>
  </si>
  <si>
    <t>1.        Denna blankett tillhandahålls i Excelformat som hämtas och skickas in via Internet, på http://www.fmwebb.scb.se, Övrig finansmarknadsstatistik, Investmentföretag, år. Denna hemsida är öppen för alla och innehåller förutom blanketter information om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</si>
</sst>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000000"/>
    <numFmt numFmtId="179" formatCode="00000"/>
    <numFmt numFmtId="180" formatCode="#\ ###\ ###\ ##0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#,##0.0"/>
    <numFmt numFmtId="185" formatCode="[$€-2]\ #,##0.00_);[Red]\([$€-2]\ #,##0.00\)"/>
  </numFmts>
  <fonts count="57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b/>
      <sz val="10"/>
      <name val="Arial"/>
      <family val="2"/>
    </font>
    <font>
      <b/>
      <sz val="8"/>
      <color indexed="12"/>
      <name val="Helvetica"/>
      <family val="0"/>
    </font>
    <font>
      <sz val="8"/>
      <color indexed="12"/>
      <name val="Helvetica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0"/>
    </font>
    <font>
      <sz val="16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i/>
      <sz val="9.5"/>
      <color indexed="8"/>
      <name val="Arial"/>
      <family val="2"/>
    </font>
    <font>
      <b/>
      <sz val="9.5"/>
      <color indexed="10"/>
      <name val="Arial"/>
      <family val="2"/>
    </font>
    <font>
      <b/>
      <i/>
      <sz val="8"/>
      <color indexed="8"/>
      <name val="Arial"/>
      <family val="2"/>
    </font>
    <font>
      <b/>
      <sz val="7.5"/>
      <color indexed="8"/>
      <name val="Arial"/>
      <family val="2"/>
    </font>
    <font>
      <sz val="8"/>
      <name val="Tahoma"/>
      <family val="0"/>
    </font>
    <font>
      <i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0" fillId="4" borderId="1" applyNumberFormat="0" applyFont="0" applyAlignment="0" applyProtection="0"/>
    <xf numFmtId="0" fontId="18" fillId="2" borderId="2" applyNumberFormat="0" applyAlignment="0" applyProtection="0"/>
    <xf numFmtId="0" fontId="19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9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0" borderId="0" xfId="54">
      <alignment/>
      <protection/>
    </xf>
    <xf numFmtId="0" fontId="1" fillId="7" borderId="0" xfId="54" applyFill="1">
      <alignment/>
      <protection/>
    </xf>
    <xf numFmtId="0" fontId="1" fillId="11" borderId="0" xfId="54" applyFill="1">
      <alignment/>
      <protection/>
    </xf>
    <xf numFmtId="0" fontId="1" fillId="18" borderId="0" xfId="54" applyFill="1">
      <alignment/>
      <protection/>
    </xf>
    <xf numFmtId="0" fontId="1" fillId="19" borderId="0" xfId="54" applyFill="1">
      <alignment/>
      <protection/>
    </xf>
    <xf numFmtId="0" fontId="1" fillId="20" borderId="0" xfId="54" applyFill="1">
      <alignment/>
      <protection/>
    </xf>
    <xf numFmtId="0" fontId="1" fillId="9" borderId="0" xfId="54" applyFill="1">
      <alignment/>
      <protection/>
    </xf>
    <xf numFmtId="0" fontId="1" fillId="6" borderId="0" xfId="54" applyFill="1">
      <alignment/>
      <protection/>
    </xf>
    <xf numFmtId="0" fontId="0" fillId="0" borderId="0" xfId="52" applyFont="1">
      <alignment/>
      <protection/>
    </xf>
    <xf numFmtId="0" fontId="3" fillId="0" borderId="0" xfId="0" applyFont="1" applyAlignment="1">
      <alignment/>
    </xf>
    <xf numFmtId="0" fontId="6" fillId="19" borderId="0" xfId="54" applyFont="1" applyFill="1">
      <alignment/>
      <protection/>
    </xf>
    <xf numFmtId="0" fontId="6" fillId="20" borderId="0" xfId="54" applyFont="1" applyFill="1">
      <alignment/>
      <protection/>
    </xf>
    <xf numFmtId="0" fontId="6" fillId="7" borderId="0" xfId="54" applyFont="1" applyFill="1">
      <alignment/>
      <protection/>
    </xf>
    <xf numFmtId="0" fontId="6" fillId="11" borderId="0" xfId="54" applyFont="1" applyFill="1">
      <alignment/>
      <protection/>
    </xf>
    <xf numFmtId="0" fontId="6" fillId="18" borderId="0" xfId="54" applyFont="1" applyFill="1">
      <alignment/>
      <protection/>
    </xf>
    <xf numFmtId="0" fontId="6" fillId="9" borderId="0" xfId="54" applyFont="1" applyFill="1">
      <alignment/>
      <protection/>
    </xf>
    <xf numFmtId="0" fontId="6" fillId="6" borderId="0" xfId="54" applyFont="1" applyFill="1">
      <alignment/>
      <protection/>
    </xf>
    <xf numFmtId="0" fontId="6" fillId="0" borderId="0" xfId="54" applyFont="1">
      <alignment/>
      <protection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>
      <alignment wrapText="1"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22" fontId="12" fillId="2" borderId="0" xfId="0" applyNumberFormat="1" applyFont="1" applyFill="1" applyBorder="1" applyAlignment="1">
      <alignment horizontal="left"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2" borderId="0" xfId="0" applyFont="1" applyFill="1" applyBorder="1" applyAlignment="1" applyProtection="1">
      <alignment/>
      <protection/>
    </xf>
    <xf numFmtId="0" fontId="3" fillId="9" borderId="0" xfId="0" applyFont="1" applyFill="1" applyBorder="1" applyAlignment="1">
      <alignment wrapText="1"/>
    </xf>
    <xf numFmtId="0" fontId="15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14" fontId="5" fillId="2" borderId="17" xfId="0" applyNumberFormat="1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9" fillId="2" borderId="17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 horizontal="left"/>
      <protection/>
    </xf>
    <xf numFmtId="0" fontId="11" fillId="2" borderId="16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13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5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5" fillId="2" borderId="21" xfId="0" applyFont="1" applyFill="1" applyBorder="1" applyAlignment="1">
      <alignment/>
    </xf>
    <xf numFmtId="0" fontId="35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5" fillId="2" borderId="22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5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35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3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4" fillId="2" borderId="0" xfId="0" applyFont="1" applyFill="1" applyAlignment="1">
      <alignment/>
    </xf>
    <xf numFmtId="0" fontId="34" fillId="2" borderId="0" xfId="0" applyFont="1" applyFill="1" applyBorder="1" applyAlignment="1">
      <alignment/>
    </xf>
    <xf numFmtId="0" fontId="3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9" fillId="2" borderId="0" xfId="0" applyFont="1" applyFill="1" applyAlignment="1">
      <alignment/>
    </xf>
    <xf numFmtId="0" fontId="34" fillId="2" borderId="21" xfId="0" applyFont="1" applyFill="1" applyBorder="1" applyAlignment="1">
      <alignment/>
    </xf>
    <xf numFmtId="0" fontId="34" fillId="2" borderId="22" xfId="0" applyFont="1" applyFill="1" applyBorder="1" applyAlignment="1">
      <alignment/>
    </xf>
    <xf numFmtId="0" fontId="34" fillId="2" borderId="23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34" fillId="2" borderId="26" xfId="0" applyFont="1" applyFill="1" applyBorder="1" applyAlignment="1">
      <alignment/>
    </xf>
    <xf numFmtId="0" fontId="34" fillId="2" borderId="27" xfId="0" applyFont="1" applyFill="1" applyBorder="1" applyAlignment="1">
      <alignment/>
    </xf>
    <xf numFmtId="14" fontId="0" fillId="2" borderId="28" xfId="0" applyNumberFormat="1" applyFill="1" applyBorder="1" applyAlignment="1">
      <alignment/>
    </xf>
    <xf numFmtId="0" fontId="34" fillId="2" borderId="24" xfId="0" applyFont="1" applyFill="1" applyBorder="1" applyAlignment="1">
      <alignment/>
    </xf>
    <xf numFmtId="0" fontId="2" fillId="2" borderId="28" xfId="47" applyFill="1" applyBorder="1" applyAlignment="1" applyProtection="1">
      <alignment/>
      <protection/>
    </xf>
    <xf numFmtId="0" fontId="35" fillId="2" borderId="0" xfId="0" applyFont="1" applyFill="1" applyAlignment="1">
      <alignment textRotation="90"/>
    </xf>
    <xf numFmtId="0" fontId="35" fillId="2" borderId="22" xfId="53" applyFont="1" applyFill="1" applyBorder="1" applyAlignment="1" applyProtection="1">
      <alignment vertical="top" wrapText="1"/>
      <protection/>
    </xf>
    <xf numFmtId="0" fontId="35" fillId="2" borderId="22" xfId="53" applyFont="1" applyFill="1" applyBorder="1" applyAlignment="1" applyProtection="1">
      <alignment vertical="top"/>
      <protection/>
    </xf>
    <xf numFmtId="0" fontId="35" fillId="2" borderId="0" xfId="53" applyFont="1" applyFill="1" applyBorder="1" applyAlignment="1" applyProtection="1">
      <alignment vertical="top"/>
      <protection/>
    </xf>
    <xf numFmtId="0" fontId="0" fillId="2" borderId="0" xfId="53" applyFill="1" applyBorder="1" applyProtection="1">
      <alignment/>
      <protection/>
    </xf>
    <xf numFmtId="0" fontId="41" fillId="2" borderId="0" xfId="53" applyFont="1" applyFill="1" applyAlignment="1" applyProtection="1">
      <alignment vertical="top" wrapText="1"/>
      <protection/>
    </xf>
    <xf numFmtId="0" fontId="0" fillId="2" borderId="0" xfId="53" applyFont="1" applyFill="1" applyAlignment="1" applyProtection="1">
      <alignment/>
      <protection/>
    </xf>
    <xf numFmtId="0" fontId="41" fillId="2" borderId="0" xfId="53" applyFont="1" applyFill="1" applyAlignment="1" applyProtection="1">
      <alignment wrapText="1"/>
      <protection/>
    </xf>
    <xf numFmtId="0" fontId="41" fillId="2" borderId="0" xfId="53" applyFont="1" applyFill="1" applyAlignment="1" applyProtection="1">
      <alignment vertical="top"/>
      <protection/>
    </xf>
    <xf numFmtId="0" fontId="42" fillId="2" borderId="0" xfId="47" applyFont="1" applyFill="1" applyBorder="1" applyAlignment="1" applyProtection="1">
      <alignment vertical="top"/>
      <protection/>
    </xf>
    <xf numFmtId="0" fontId="34" fillId="2" borderId="0" xfId="53" applyFont="1" applyFill="1" applyBorder="1" applyAlignment="1" applyProtection="1">
      <alignment vertical="top"/>
      <protection/>
    </xf>
    <xf numFmtId="0" fontId="41" fillId="2" borderId="0" xfId="53" applyFont="1" applyFill="1" applyAlignment="1" applyProtection="1">
      <alignment horizontal="left" vertical="top" wrapText="1"/>
      <protection/>
    </xf>
    <xf numFmtId="0" fontId="0" fillId="2" borderId="0" xfId="53" applyFill="1" applyProtection="1">
      <alignment/>
      <protection/>
    </xf>
    <xf numFmtId="0" fontId="11" fillId="8" borderId="0" xfId="0" applyFont="1" applyFill="1" applyAlignment="1">
      <alignment horizontal="left"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3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0" fontId="0" fillId="19" borderId="29" xfId="0" applyFill="1" applyBorder="1" applyAlignment="1">
      <alignment/>
    </xf>
    <xf numFmtId="0" fontId="3" fillId="8" borderId="30" xfId="0" applyFont="1" applyFill="1" applyBorder="1" applyAlignment="1">
      <alignment horizontal="center"/>
    </xf>
    <xf numFmtId="0" fontId="11" fillId="19" borderId="31" xfId="0" applyFont="1" applyFill="1" applyBorder="1" applyAlignment="1">
      <alignment horizontal="center"/>
    </xf>
    <xf numFmtId="0" fontId="3" fillId="19" borderId="32" xfId="0" applyFont="1" applyFill="1" applyBorder="1" applyAlignment="1">
      <alignment/>
    </xf>
    <xf numFmtId="0" fontId="0" fillId="19" borderId="27" xfId="0" applyFill="1" applyBorder="1" applyAlignment="1">
      <alignment/>
    </xf>
    <xf numFmtId="0" fontId="3" fillId="8" borderId="12" xfId="0" applyFont="1" applyFill="1" applyBorder="1" applyAlignment="1">
      <alignment horizontal="center"/>
    </xf>
    <xf numFmtId="0" fontId="0" fillId="19" borderId="32" xfId="0" applyFill="1" applyBorder="1" applyAlignment="1">
      <alignment/>
    </xf>
    <xf numFmtId="0" fontId="0" fillId="19" borderId="32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4" fillId="19" borderId="32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0" xfId="0" applyFill="1" applyBorder="1" applyAlignment="1">
      <alignment/>
    </xf>
    <xf numFmtId="0" fontId="3" fillId="8" borderId="29" xfId="0" applyFont="1" applyFill="1" applyBorder="1" applyAlignment="1">
      <alignment/>
    </xf>
    <xf numFmtId="0" fontId="3" fillId="8" borderId="29" xfId="0" applyFont="1" applyFill="1" applyBorder="1" applyAlignment="1">
      <alignment horizontal="center"/>
    </xf>
    <xf numFmtId="0" fontId="0" fillId="8" borderId="29" xfId="0" applyFill="1" applyBorder="1" applyAlignment="1">
      <alignment/>
    </xf>
    <xf numFmtId="0" fontId="3" fillId="19" borderId="33" xfId="0" applyFont="1" applyFill="1" applyBorder="1" applyAlignment="1">
      <alignment/>
    </xf>
    <xf numFmtId="0" fontId="0" fillId="19" borderId="34" xfId="0" applyFill="1" applyBorder="1" applyAlignment="1">
      <alignment/>
    </xf>
    <xf numFmtId="0" fontId="44" fillId="19" borderId="10" xfId="0" applyFont="1" applyFill="1" applyBorder="1" applyAlignment="1">
      <alignment/>
    </xf>
    <xf numFmtId="0" fontId="3" fillId="8" borderId="11" xfId="0" applyFont="1" applyFill="1" applyBorder="1" applyAlignment="1">
      <alignment horizontal="center"/>
    </xf>
    <xf numFmtId="0" fontId="44" fillId="19" borderId="27" xfId="0" applyFont="1" applyFill="1" applyBorder="1" applyAlignment="1">
      <alignment/>
    </xf>
    <xf numFmtId="0" fontId="3" fillId="8" borderId="26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44" fillId="19" borderId="35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19" borderId="36" xfId="0" applyFill="1" applyBorder="1" applyAlignment="1">
      <alignment/>
    </xf>
    <xf numFmtId="0" fontId="3" fillId="19" borderId="34" xfId="0" applyFont="1" applyFill="1" applyBorder="1" applyAlignment="1">
      <alignment/>
    </xf>
    <xf numFmtId="0" fontId="3" fillId="8" borderId="37" xfId="0" applyFont="1" applyFill="1" applyBorder="1" applyAlignment="1">
      <alignment/>
    </xf>
    <xf numFmtId="0" fontId="0" fillId="8" borderId="37" xfId="0" applyFill="1" applyBorder="1" applyAlignment="1">
      <alignment/>
    </xf>
    <xf numFmtId="0" fontId="0" fillId="19" borderId="34" xfId="0" applyFont="1" applyFill="1" applyBorder="1" applyAlignment="1">
      <alignment/>
    </xf>
    <xf numFmtId="0" fontId="3" fillId="8" borderId="26" xfId="0" applyFont="1" applyFill="1" applyBorder="1" applyAlignment="1">
      <alignment/>
    </xf>
    <xf numFmtId="0" fontId="3" fillId="8" borderId="38" xfId="0" applyFont="1" applyFill="1" applyBorder="1" applyAlignment="1">
      <alignment/>
    </xf>
    <xf numFmtId="0" fontId="0" fillId="2" borderId="0" xfId="0" applyFill="1" applyAlignment="1">
      <alignment wrapText="1"/>
    </xf>
    <xf numFmtId="14" fontId="3" fillId="2" borderId="0" xfId="0" applyNumberFormat="1" applyFont="1" applyFill="1" applyAlignment="1">
      <alignment horizontal="left" wrapText="1"/>
    </xf>
    <xf numFmtId="0" fontId="47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47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 indent="8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0" fillId="19" borderId="39" xfId="0" applyFill="1" applyBorder="1" applyAlignment="1">
      <alignment/>
    </xf>
    <xf numFmtId="0" fontId="0" fillId="19" borderId="40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42" xfId="0" applyFill="1" applyBorder="1" applyAlignment="1">
      <alignment/>
    </xf>
    <xf numFmtId="0" fontId="0" fillId="19" borderId="43" xfId="0" applyFill="1" applyBorder="1" applyAlignment="1">
      <alignment/>
    </xf>
    <xf numFmtId="0" fontId="44" fillId="19" borderId="44" xfId="0" applyFont="1" applyFill="1" applyBorder="1" applyAlignment="1">
      <alignment/>
    </xf>
    <xf numFmtId="0" fontId="44" fillId="19" borderId="36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44" fillId="19" borderId="40" xfId="0" applyFont="1" applyFill="1" applyBorder="1" applyAlignment="1">
      <alignment/>
    </xf>
    <xf numFmtId="0" fontId="44" fillId="19" borderId="42" xfId="0" applyFont="1" applyFill="1" applyBorder="1" applyAlignment="1">
      <alignment/>
    </xf>
    <xf numFmtId="0" fontId="44" fillId="19" borderId="45" xfId="0" applyFont="1" applyFill="1" applyBorder="1" applyAlignment="1">
      <alignment/>
    </xf>
    <xf numFmtId="0" fontId="0" fillId="19" borderId="42" xfId="0" applyFont="1" applyFill="1" applyBorder="1" applyAlignment="1">
      <alignment/>
    </xf>
    <xf numFmtId="0" fontId="44" fillId="19" borderId="41" xfId="0" applyFont="1" applyFill="1" applyBorder="1" applyAlignment="1">
      <alignment/>
    </xf>
    <xf numFmtId="0" fontId="44" fillId="19" borderId="43" xfId="0" applyFont="1" applyFill="1" applyBorder="1" applyAlignment="1">
      <alignment/>
    </xf>
    <xf numFmtId="0" fontId="44" fillId="19" borderId="46" xfId="0" applyFont="1" applyFill="1" applyBorder="1" applyAlignment="1">
      <alignment/>
    </xf>
    <xf numFmtId="0" fontId="44" fillId="19" borderId="39" xfId="0" applyFont="1" applyFill="1" applyBorder="1" applyAlignment="1">
      <alignment/>
    </xf>
    <xf numFmtId="0" fontId="44" fillId="19" borderId="47" xfId="0" applyFont="1" applyFill="1" applyBorder="1" applyAlignment="1">
      <alignment/>
    </xf>
    <xf numFmtId="0" fontId="11" fillId="19" borderId="48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8" borderId="37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37" fillId="8" borderId="0" xfId="0" applyFont="1" applyFill="1" applyAlignment="1">
      <alignment/>
    </xf>
    <xf numFmtId="0" fontId="37" fillId="8" borderId="29" xfId="0" applyFont="1" applyFill="1" applyBorder="1" applyAlignment="1">
      <alignment/>
    </xf>
    <xf numFmtId="49" fontId="0" fillId="8" borderId="12" xfId="0" applyNumberFormat="1" applyFont="1" applyFill="1" applyBorder="1" applyAlignment="1">
      <alignment horizontal="center"/>
    </xf>
    <xf numFmtId="49" fontId="0" fillId="8" borderId="0" xfId="0" applyNumberFormat="1" applyFont="1" applyFill="1" applyAlignment="1">
      <alignment horizontal="center"/>
    </xf>
    <xf numFmtId="49" fontId="0" fillId="8" borderId="0" xfId="0" applyNumberFormat="1" applyFont="1" applyFill="1" applyAlignment="1">
      <alignment/>
    </xf>
    <xf numFmtId="49" fontId="0" fillId="8" borderId="30" xfId="0" applyNumberFormat="1" applyFont="1" applyFill="1" applyBorder="1" applyAlignment="1">
      <alignment horizontal="center"/>
    </xf>
    <xf numFmtId="49" fontId="0" fillId="8" borderId="11" xfId="0" applyNumberFormat="1" applyFont="1" applyFill="1" applyBorder="1" applyAlignment="1">
      <alignment horizontal="center"/>
    </xf>
    <xf numFmtId="49" fontId="0" fillId="8" borderId="0" xfId="0" applyNumberFormat="1" applyFont="1" applyFill="1" applyBorder="1" applyAlignment="1">
      <alignment horizontal="center"/>
    </xf>
    <xf numFmtId="0" fontId="3" fillId="19" borderId="39" xfId="0" applyFont="1" applyFill="1" applyBorder="1" applyAlignment="1">
      <alignment/>
    </xf>
    <xf numFmtId="0" fontId="45" fillId="19" borderId="40" xfId="0" applyFont="1" applyFill="1" applyBorder="1" applyAlignment="1">
      <alignment/>
    </xf>
    <xf numFmtId="0" fontId="0" fillId="8" borderId="38" xfId="0" applyFont="1" applyFill="1" applyBorder="1" applyAlignment="1">
      <alignment horizontal="center"/>
    </xf>
    <xf numFmtId="0" fontId="0" fillId="19" borderId="33" xfId="0" applyFont="1" applyFill="1" applyBorder="1" applyAlignment="1">
      <alignment/>
    </xf>
    <xf numFmtId="0" fontId="37" fillId="8" borderId="0" xfId="0" applyFont="1" applyFill="1" applyBorder="1" applyAlignment="1">
      <alignment/>
    </xf>
    <xf numFmtId="0" fontId="0" fillId="19" borderId="50" xfId="0" applyFill="1" applyBorder="1" applyAlignment="1">
      <alignment/>
    </xf>
    <xf numFmtId="0" fontId="3" fillId="19" borderId="51" xfId="0" applyFont="1" applyFill="1" applyBorder="1" applyAlignment="1">
      <alignment horizontal="left" wrapText="1"/>
    </xf>
    <xf numFmtId="0" fontId="11" fillId="19" borderId="29" xfId="0" applyFont="1" applyFill="1" applyBorder="1" applyAlignment="1">
      <alignment horizontal="left"/>
    </xf>
    <xf numFmtId="0" fontId="3" fillId="19" borderId="52" xfId="0" applyFont="1" applyFill="1" applyBorder="1" applyAlignment="1">
      <alignment horizontal="left" wrapText="1"/>
    </xf>
    <xf numFmtId="0" fontId="3" fillId="19" borderId="53" xfId="0" applyFont="1" applyFill="1" applyBorder="1" applyAlignment="1">
      <alignment horizontal="left" wrapText="1"/>
    </xf>
    <xf numFmtId="0" fontId="3" fillId="19" borderId="54" xfId="0" applyFont="1" applyFill="1" applyBorder="1" applyAlignment="1">
      <alignment horizontal="left" wrapText="1"/>
    </xf>
    <xf numFmtId="0" fontId="3" fillId="19" borderId="32" xfId="0" applyFont="1" applyFill="1" applyBorder="1" applyAlignment="1">
      <alignment horizontal="left" vertical="center"/>
    </xf>
    <xf numFmtId="0" fontId="0" fillId="19" borderId="34" xfId="0" applyFont="1" applyFill="1" applyBorder="1" applyAlignment="1">
      <alignment horizontal="left" vertical="center"/>
    </xf>
    <xf numFmtId="0" fontId="3" fillId="19" borderId="28" xfId="0" applyFont="1" applyFill="1" applyBorder="1" applyAlignment="1">
      <alignment horizontal="left" wrapText="1"/>
    </xf>
    <xf numFmtId="0" fontId="3" fillId="19" borderId="51" xfId="55" applyFont="1" applyFill="1" applyBorder="1" applyAlignment="1">
      <alignment horizontal="left" wrapText="1"/>
      <protection/>
    </xf>
    <xf numFmtId="3" fontId="47" fillId="7" borderId="55" xfId="0" applyNumberFormat="1" applyFont="1" applyFill="1" applyBorder="1" applyAlignment="1" applyProtection="1">
      <alignment horizontal="left"/>
      <protection locked="0"/>
    </xf>
    <xf numFmtId="0" fontId="1" fillId="20" borderId="0" xfId="54" applyFill="1" quotePrefix="1">
      <alignment/>
      <protection/>
    </xf>
    <xf numFmtId="3" fontId="0" fillId="19" borderId="56" xfId="0" applyNumberFormat="1" applyFont="1" applyFill="1" applyBorder="1" applyAlignment="1" applyProtection="1">
      <alignment horizontal="left"/>
      <protection locked="0"/>
    </xf>
    <xf numFmtId="3" fontId="0" fillId="19" borderId="57" xfId="0" applyNumberFormat="1" applyFont="1" applyFill="1" applyBorder="1" applyAlignment="1">
      <alignment horizontal="left"/>
    </xf>
    <xf numFmtId="3" fontId="47" fillId="19" borderId="58" xfId="0" applyNumberFormat="1" applyFont="1" applyFill="1" applyBorder="1" applyAlignment="1" applyProtection="1">
      <alignment horizontal="left"/>
      <protection locked="0"/>
    </xf>
    <xf numFmtId="3" fontId="47" fillId="19" borderId="59" xfId="0" applyNumberFormat="1" applyFont="1" applyFill="1" applyBorder="1" applyAlignment="1" applyProtection="1">
      <alignment horizontal="left"/>
      <protection locked="0"/>
    </xf>
    <xf numFmtId="3" fontId="0" fillId="19" borderId="60" xfId="0" applyNumberFormat="1" applyFont="1" applyFill="1" applyBorder="1" applyAlignment="1" applyProtection="1">
      <alignment horizontal="left"/>
      <protection locked="0"/>
    </xf>
    <xf numFmtId="3" fontId="0" fillId="19" borderId="61" xfId="0" applyNumberFormat="1" applyFont="1" applyFill="1" applyBorder="1" applyAlignment="1">
      <alignment horizontal="left"/>
    </xf>
    <xf numFmtId="3" fontId="0" fillId="19" borderId="61" xfId="0" applyNumberFormat="1" applyFont="1" applyFill="1" applyBorder="1" applyAlignment="1" applyProtection="1">
      <alignment horizontal="left"/>
      <protection locked="0"/>
    </xf>
    <xf numFmtId="3" fontId="0" fillId="19" borderId="62" xfId="0" applyNumberFormat="1" applyFont="1" applyFill="1" applyBorder="1" applyAlignment="1" applyProtection="1">
      <alignment horizontal="left"/>
      <protection locked="0"/>
    </xf>
    <xf numFmtId="3" fontId="0" fillId="19" borderId="63" xfId="0" applyNumberFormat="1" applyFont="1" applyFill="1" applyBorder="1" applyAlignment="1" applyProtection="1">
      <alignment horizontal="left"/>
      <protection locked="0"/>
    </xf>
    <xf numFmtId="3" fontId="0" fillId="19" borderId="11" xfId="0" applyNumberFormat="1" applyFont="1" applyFill="1" applyBorder="1" applyAlignment="1" applyProtection="1">
      <alignment horizontal="left"/>
      <protection locked="0"/>
    </xf>
    <xf numFmtId="3" fontId="0" fillId="19" borderId="55" xfId="0" applyNumberFormat="1" applyFont="1" applyFill="1" applyBorder="1" applyAlignment="1" applyProtection="1">
      <alignment horizontal="left"/>
      <protection locked="0"/>
    </xf>
    <xf numFmtId="3" fontId="0" fillId="19" borderId="56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 applyProtection="1">
      <alignment/>
      <protection locked="0"/>
    </xf>
    <xf numFmtId="0" fontId="11" fillId="8" borderId="0" xfId="0" applyFont="1" applyFill="1" applyAlignment="1" applyProtection="1">
      <alignment horizontal="left"/>
      <protection locked="0"/>
    </xf>
    <xf numFmtId="3" fontId="0" fillId="19" borderId="56" xfId="0" applyNumberFormat="1" applyFont="1" applyFill="1" applyBorder="1" applyAlignment="1" applyProtection="1">
      <alignment horizontal="left"/>
      <protection/>
    </xf>
    <xf numFmtId="3" fontId="47" fillId="7" borderId="56" xfId="0" applyNumberFormat="1" applyFont="1" applyFill="1" applyBorder="1" applyAlignment="1" applyProtection="1">
      <alignment horizontal="left"/>
      <protection locked="0"/>
    </xf>
    <xf numFmtId="3" fontId="47" fillId="7" borderId="60" xfId="0" applyNumberFormat="1" applyFont="1" applyFill="1" applyBorder="1" applyAlignment="1" applyProtection="1">
      <alignment horizontal="left"/>
      <protection locked="0"/>
    </xf>
    <xf numFmtId="0" fontId="56" fillId="8" borderId="0" xfId="0" applyFont="1" applyFill="1" applyAlignment="1">
      <alignment/>
    </xf>
    <xf numFmtId="0" fontId="1" fillId="8" borderId="0" xfId="54" applyFill="1">
      <alignment/>
      <protection/>
    </xf>
    <xf numFmtId="0" fontId="1" fillId="8" borderId="0" xfId="54" applyFont="1" applyFill="1">
      <alignment/>
      <protection/>
    </xf>
    <xf numFmtId="0" fontId="1" fillId="8" borderId="0" xfId="54" applyFill="1" applyAlignment="1">
      <alignment horizontal="left"/>
      <protection/>
    </xf>
    <xf numFmtId="0" fontId="1" fillId="11" borderId="0" xfId="54" applyFill="1" applyAlignment="1">
      <alignment horizontal="left"/>
      <protection/>
    </xf>
    <xf numFmtId="0" fontId="1" fillId="11" borderId="0" xfId="54" applyFont="1" applyFill="1" applyAlignment="1">
      <alignment horizontal="left"/>
      <protection/>
    </xf>
    <xf numFmtId="0" fontId="1" fillId="9" borderId="0" xfId="54" applyFont="1" applyFill="1">
      <alignment/>
      <protection/>
    </xf>
    <xf numFmtId="0" fontId="1" fillId="9" borderId="0" xfId="54" applyFill="1" applyAlignment="1">
      <alignment horizontal="left"/>
      <protection/>
    </xf>
    <xf numFmtId="0" fontId="1" fillId="16" borderId="0" xfId="54" applyFill="1">
      <alignment/>
      <protection/>
    </xf>
    <xf numFmtId="0" fontId="1" fillId="16" borderId="0" xfId="54" applyFont="1" applyFill="1">
      <alignment/>
      <protection/>
    </xf>
    <xf numFmtId="0" fontId="1" fillId="16" borderId="0" xfId="54" applyFill="1" applyAlignment="1">
      <alignment horizontal="left"/>
      <protection/>
    </xf>
    <xf numFmtId="0" fontId="40" fillId="2" borderId="0" xfId="0" applyFont="1" applyFill="1" applyBorder="1" applyAlignment="1">
      <alignment horizontal="center" vertical="center" wrapText="1"/>
    </xf>
    <xf numFmtId="0" fontId="43" fillId="2" borderId="0" xfId="46" applyFont="1" applyFill="1" applyBorder="1" applyAlignment="1" applyProtection="1">
      <alignment vertical="top"/>
      <protection/>
    </xf>
    <xf numFmtId="0" fontId="34" fillId="2" borderId="0" xfId="53" applyFont="1" applyFill="1" applyBorder="1" applyAlignment="1" applyProtection="1">
      <alignment vertical="top"/>
      <protection/>
    </xf>
    <xf numFmtId="0" fontId="34" fillId="2" borderId="28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4" fillId="2" borderId="28" xfId="0" applyFont="1" applyFill="1" applyBorder="1" applyAlignment="1">
      <alignment horizontal="right"/>
    </xf>
    <xf numFmtId="0" fontId="34" fillId="2" borderId="24" xfId="0" applyFont="1" applyFill="1" applyBorder="1" applyAlignment="1">
      <alignment horizontal="right"/>
    </xf>
    <xf numFmtId="0" fontId="0" fillId="2" borderId="28" xfId="0" applyFill="1" applyBorder="1" applyAlignment="1">
      <alignment/>
    </xf>
    <xf numFmtId="0" fontId="41" fillId="2" borderId="0" xfId="0" applyFont="1" applyFill="1" applyAlignment="1">
      <alignment/>
    </xf>
    <xf numFmtId="0" fontId="35" fillId="2" borderId="22" xfId="53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/>
    </xf>
    <xf numFmtId="0" fontId="0" fillId="2" borderId="0" xfId="0" applyFill="1" applyAlignment="1">
      <alignment/>
    </xf>
    <xf numFmtId="0" fontId="34" fillId="2" borderId="26" xfId="0" applyFont="1" applyFill="1" applyBorder="1" applyAlignment="1">
      <alignment/>
    </xf>
    <xf numFmtId="0" fontId="0" fillId="2" borderId="0" xfId="0" applyFill="1" applyBorder="1" applyAlignment="1">
      <alignment/>
    </xf>
    <xf numFmtId="0" fontId="3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19" borderId="59" xfId="0" applyNumberFormat="1" applyFont="1" applyFill="1" applyBorder="1" applyAlignment="1" applyProtection="1">
      <alignment horizontal="right"/>
      <protection locked="0"/>
    </xf>
    <xf numFmtId="3" fontId="47" fillId="19" borderId="56" xfId="0" applyNumberFormat="1" applyFont="1" applyFill="1" applyBorder="1" applyAlignment="1" applyProtection="1">
      <alignment horizontal="right"/>
      <protection locked="0"/>
    </xf>
    <xf numFmtId="3" fontId="0" fillId="19" borderId="67" xfId="0" applyNumberFormat="1" applyFont="1" applyFill="1" applyBorder="1" applyAlignment="1" applyProtection="1">
      <alignment horizontal="right"/>
      <protection locked="0"/>
    </xf>
    <xf numFmtId="3" fontId="47" fillId="19" borderId="60" xfId="0" applyNumberFormat="1" applyFont="1" applyFill="1" applyBorder="1" applyAlignment="1" applyProtection="1">
      <alignment horizontal="right"/>
      <protection locked="0"/>
    </xf>
    <xf numFmtId="3" fontId="47" fillId="19" borderId="58" xfId="0" applyNumberFormat="1" applyFont="1" applyFill="1" applyBorder="1" applyAlignment="1" applyProtection="1">
      <alignment horizontal="right"/>
      <protection locked="0"/>
    </xf>
    <xf numFmtId="3" fontId="47" fillId="19" borderId="61" xfId="0" applyNumberFormat="1" applyFont="1" applyFill="1" applyBorder="1" applyAlignment="1" applyProtection="1">
      <alignment horizontal="right"/>
      <protection locked="0"/>
    </xf>
    <xf numFmtId="3" fontId="0" fillId="19" borderId="59" xfId="0" applyNumberFormat="1" applyFont="1" applyFill="1" applyBorder="1" applyAlignment="1" applyProtection="1">
      <alignment horizontal="left"/>
      <protection locked="0"/>
    </xf>
    <xf numFmtId="3" fontId="47" fillId="19" borderId="56" xfId="0" applyNumberFormat="1" applyFont="1" applyFill="1" applyBorder="1" applyAlignment="1" applyProtection="1">
      <alignment horizontal="left"/>
      <protection locked="0"/>
    </xf>
    <xf numFmtId="0" fontId="0" fillId="19" borderId="32" xfId="0" applyFill="1" applyBorder="1" applyAlignment="1">
      <alignment horizontal="left" wrapText="1"/>
    </xf>
    <xf numFmtId="0" fontId="0" fillId="19" borderId="27" xfId="0" applyFill="1" applyBorder="1" applyAlignment="1">
      <alignment horizontal="left" wrapText="1"/>
    </xf>
    <xf numFmtId="0" fontId="0" fillId="19" borderId="39" xfId="0" applyFill="1" applyBorder="1" applyAlignment="1">
      <alignment horizontal="left" wrapText="1"/>
    </xf>
    <xf numFmtId="0" fontId="0" fillId="19" borderId="40" xfId="0" applyFill="1" applyBorder="1" applyAlignment="1">
      <alignment horizontal="left" wrapText="1"/>
    </xf>
    <xf numFmtId="0" fontId="0" fillId="8" borderId="12" xfId="0" applyFont="1" applyFill="1" applyBorder="1" applyAlignment="1">
      <alignment horizontal="center"/>
    </xf>
    <xf numFmtId="3" fontId="47" fillId="7" borderId="59" xfId="0" applyNumberFormat="1" applyFont="1" applyFill="1" applyBorder="1" applyAlignment="1" applyProtection="1">
      <alignment horizontal="left"/>
      <protection locked="0"/>
    </xf>
    <xf numFmtId="3" fontId="47" fillId="7" borderId="56" xfId="0" applyNumberFormat="1" applyFont="1" applyFill="1" applyBorder="1" applyAlignment="1" applyProtection="1">
      <alignment horizontal="left"/>
      <protection locked="0"/>
    </xf>
    <xf numFmtId="3" fontId="0" fillId="19" borderId="52" xfId="0" applyNumberFormat="1" applyFont="1" applyFill="1" applyBorder="1" applyAlignment="1" applyProtection="1">
      <alignment horizontal="left"/>
      <protection locked="0"/>
    </xf>
    <xf numFmtId="3" fontId="0" fillId="19" borderId="67" xfId="0" applyNumberFormat="1" applyFont="1" applyFill="1" applyBorder="1" applyAlignment="1" applyProtection="1">
      <alignment horizontal="left"/>
      <protection locked="0"/>
    </xf>
    <xf numFmtId="3" fontId="47" fillId="19" borderId="60" xfId="0" applyNumberFormat="1" applyFont="1" applyFill="1" applyBorder="1" applyAlignment="1" applyProtection="1">
      <alignment horizontal="left"/>
      <protection locked="0"/>
    </xf>
    <xf numFmtId="3" fontId="47" fillId="19" borderId="58" xfId="0" applyNumberFormat="1" applyFont="1" applyFill="1" applyBorder="1" applyAlignment="1" applyProtection="1">
      <alignment horizontal="left"/>
      <protection locked="0"/>
    </xf>
    <xf numFmtId="0" fontId="3" fillId="19" borderId="33" xfId="0" applyFont="1" applyFill="1" applyBorder="1" applyAlignment="1">
      <alignment horizontal="left" wrapText="1"/>
    </xf>
    <xf numFmtId="0" fontId="3" fillId="19" borderId="29" xfId="0" applyFont="1" applyFill="1" applyBorder="1" applyAlignment="1">
      <alignment horizontal="left" wrapText="1"/>
    </xf>
    <xf numFmtId="0" fontId="3" fillId="19" borderId="68" xfId="0" applyFont="1" applyFill="1" applyBorder="1" applyAlignment="1">
      <alignment horizontal="left" wrapText="1"/>
    </xf>
    <xf numFmtId="3" fontId="0" fillId="19" borderId="69" xfId="0" applyNumberFormat="1" applyFont="1" applyFill="1" applyBorder="1" applyAlignment="1" applyProtection="1">
      <alignment horizontal="left"/>
      <protection locked="0"/>
    </xf>
    <xf numFmtId="3" fontId="47" fillId="19" borderId="70" xfId="0" applyNumberFormat="1" applyFont="1" applyFill="1" applyBorder="1" applyAlignment="1" applyProtection="1">
      <alignment horizontal="left"/>
      <protection locked="0"/>
    </xf>
  </cellXfs>
  <cellStyles count="5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_BASTkv3031" xfId="46"/>
    <cellStyle name="Hyperlänk_InvBol_År1" xfId="47"/>
    <cellStyle name="Indata" xfId="48"/>
    <cellStyle name="Kontrollcell" xfId="49"/>
    <cellStyle name="Länkad cell" xfId="50"/>
    <cellStyle name="Neutral" xfId="51"/>
    <cellStyle name="Normal_AdminAppl" xfId="52"/>
    <cellStyle name="Normal_BASTkv3031" xfId="53"/>
    <cellStyle name="Normal_BIS del 4 9903" xfId="54"/>
    <cellStyle name="Normal_Blad1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BIA" xfId="64"/>
    <cellStyle name="Comma [0]" xfId="65"/>
    <cellStyle name="Utdata" xfId="66"/>
    <cellStyle name="Currency" xfId="67"/>
    <cellStyle name="Valuta (0)_BIA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13</xdr:row>
      <xdr:rowOff>47625</xdr:rowOff>
    </xdr:from>
    <xdr:to>
      <xdr:col>1</xdr:col>
      <xdr:colOff>1771650</xdr:colOff>
      <xdr:row>14</xdr:row>
      <xdr:rowOff>133350</xdr:rowOff>
    </xdr:to>
    <xdr:pic>
      <xdr:nvPicPr>
        <xdr:cNvPr id="5" name="cmdValfri1_Hamta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4765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3</xdr:col>
      <xdr:colOff>571500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009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1" bestFit="1" customWidth="1"/>
    <col min="2" max="2" width="12.28125" style="11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spans="1:5" ht="12">
      <c r="A1" s="237" t="str">
        <f>IF(ABS(Inm_19986-(Inm_19991+Inm_19990+Inm_19989+Inm_19988+Inm_19987))&lt;10,"OK","Resultat;Summafel")</f>
        <v>OK</v>
      </c>
      <c r="B1" s="238" t="s">
        <v>692</v>
      </c>
      <c r="C1" s="238" t="s">
        <v>691</v>
      </c>
      <c r="D1" s="238" t="s">
        <v>690</v>
      </c>
      <c r="E1" s="239">
        <v>1</v>
      </c>
    </row>
    <row r="2" spans="1:5" ht="12">
      <c r="A2" s="237" t="str">
        <f>IF(ABS(Inm_19980-(Inm_19985+Inm_19984+Inm_19983+Inm_19982+Inm_19981))&lt;10,"OK","Resultat;Summafel")</f>
        <v>OK</v>
      </c>
      <c r="B2" s="238" t="s">
        <v>694</v>
      </c>
      <c r="C2" s="238" t="s">
        <v>691</v>
      </c>
      <c r="D2" s="238" t="s">
        <v>693</v>
      </c>
      <c r="E2" s="239">
        <v>2</v>
      </c>
    </row>
    <row r="3" spans="1:5" ht="12">
      <c r="A3" s="237" t="str">
        <f>IF(ABS(Inm_19979-(Inm_19986+Inm_19980))&lt;10,"OK","Resultat;Summafel")</f>
        <v>OK</v>
      </c>
      <c r="B3" s="238" t="s">
        <v>696</v>
      </c>
      <c r="C3" s="238" t="s">
        <v>691</v>
      </c>
      <c r="D3" s="238" t="s">
        <v>695</v>
      </c>
      <c r="E3" s="239">
        <v>3</v>
      </c>
    </row>
    <row r="4" spans="1:5" ht="12">
      <c r="A4" s="237" t="str">
        <f>IF(ABS(Inm_19977-(Inm_19979+Inm_19978))&lt;10,"OK","Resultat;Summafel")</f>
        <v>OK</v>
      </c>
      <c r="B4" s="238" t="s">
        <v>699</v>
      </c>
      <c r="C4" s="238" t="s">
        <v>691</v>
      </c>
      <c r="D4" s="238" t="s">
        <v>698</v>
      </c>
      <c r="E4" s="239">
        <v>4</v>
      </c>
    </row>
    <row r="5" spans="1:5" ht="12">
      <c r="A5" s="237" t="str">
        <f>IF(ABS(Inm_19968-(Inm_19977+Inm_19976+Inm_19975+Inm_19974+Inm_19973+Inm_19972+Inm_19971+Inm_19970+Inm_19969))&lt;10,"OK","Resultat;Summafel")</f>
        <v>OK</v>
      </c>
      <c r="B5" s="238" t="s">
        <v>700</v>
      </c>
      <c r="C5" s="238" t="s">
        <v>691</v>
      </c>
      <c r="D5" s="238" t="s">
        <v>701</v>
      </c>
      <c r="E5" s="239">
        <v>5</v>
      </c>
    </row>
    <row r="6" spans="1:5" ht="12">
      <c r="A6" s="237" t="str">
        <f>IF(ABS(Inm_19960-(Inm_19968+Inm_19967+Inm_19966+Inm_19965+Inm_19964+Inm_19963+Inm_19962+Inm_19961))&lt;10,"OK","Resultat;Summafel")</f>
        <v>OK</v>
      </c>
      <c r="B6" s="238" t="s">
        <v>703</v>
      </c>
      <c r="C6" s="238" t="s">
        <v>691</v>
      </c>
      <c r="D6" s="238" t="s">
        <v>697</v>
      </c>
      <c r="E6" s="239">
        <v>6</v>
      </c>
    </row>
    <row r="7" spans="1:5" ht="12">
      <c r="A7" s="237" t="str">
        <f>IF(ABS(Inm_19957-(Inm_19960+Inm_19959+Inm_19958))&lt;10,"OK","Resultat;Summafel")</f>
        <v>OK</v>
      </c>
      <c r="B7" s="238" t="s">
        <v>702</v>
      </c>
      <c r="C7" s="238" t="s">
        <v>691</v>
      </c>
      <c r="D7" s="238" t="s">
        <v>193</v>
      </c>
      <c r="E7" s="239">
        <v>7</v>
      </c>
    </row>
    <row r="8" spans="1:5" ht="12">
      <c r="A8" s="240" t="str">
        <f>IF((Inm_20056&gt;Inm_20055-10),"OK","Balans_Tillgångar;Varavposten rad 135 är större än totalen rad 138")</f>
        <v>OK</v>
      </c>
      <c r="B8" s="241" t="s">
        <v>705</v>
      </c>
      <c r="C8" s="241" t="s">
        <v>704</v>
      </c>
      <c r="D8" s="241" t="s">
        <v>45</v>
      </c>
      <c r="E8" s="240">
        <v>8</v>
      </c>
    </row>
    <row r="9" spans="1:5" ht="12">
      <c r="A9" s="240" t="str">
        <f>IF((Inm_20052&gt;Inm_20051-10),"OK","Balans_Tillgångar;Varavposten rad 142 är större än totalen rad 141")</f>
        <v>OK</v>
      </c>
      <c r="B9" s="241" t="s">
        <v>706</v>
      </c>
      <c r="C9" s="241" t="s">
        <v>704</v>
      </c>
      <c r="D9" s="241" t="s">
        <v>709</v>
      </c>
      <c r="E9" s="240">
        <v>9</v>
      </c>
    </row>
    <row r="10" spans="1:5" ht="12">
      <c r="A10" s="240" t="str">
        <f>IF((Inm_20040&gt;Inm_20039-10),"OK","Balans_Tillgångar;Varavposten rad 164 är större än totalen rad 163")</f>
        <v>OK</v>
      </c>
      <c r="B10" s="241" t="s">
        <v>707</v>
      </c>
      <c r="C10" s="241" t="s">
        <v>704</v>
      </c>
      <c r="D10" s="241" t="s">
        <v>710</v>
      </c>
      <c r="E10" s="240">
        <v>10</v>
      </c>
    </row>
    <row r="11" spans="1:5" ht="12">
      <c r="A11" s="241" t="str">
        <f>IF(ABS(Inm_20073-(Inm_20008+Inm_20058+Inm_20009+Inm_20010+Inm_20011+Inm_20012+Inm_20013+Inm_20057+Inm_20056+Inm_20054+Inm_20053+Inm_20052+Inm_20050+Inm_20049+Inm_20048+Inm_20047+Inm_20046+Inm_20045+Inm_20044+Inm_20043+Inm_20042+Inm_20041+Inm_20040+Inm_20038+Inm_20040+Inm_20037))&lt;10,"OK","Balans/Tillgångar;Summafel")</f>
        <v>OK</v>
      </c>
      <c r="B11" s="241" t="s">
        <v>718</v>
      </c>
      <c r="C11" s="241" t="s">
        <v>704</v>
      </c>
      <c r="D11" s="241" t="s">
        <v>711</v>
      </c>
      <c r="E11" s="240">
        <v>11</v>
      </c>
    </row>
    <row r="12" spans="1:5" ht="12">
      <c r="A12" s="240" t="str">
        <f>IF((Inm_20073&gt;Inm_20036-10),"OK","Balans_Tillgångar;Varavposten rad 192 är större än totalen rad 191")</f>
        <v>OK</v>
      </c>
      <c r="B12" s="241" t="s">
        <v>708</v>
      </c>
      <c r="C12" s="241" t="s">
        <v>704</v>
      </c>
      <c r="D12" s="241" t="s">
        <v>712</v>
      </c>
      <c r="E12" s="240">
        <v>12</v>
      </c>
    </row>
    <row r="13" spans="1:5" ht="12">
      <c r="A13" s="9" t="str">
        <f>IF(ABS(Inm_20035-(Inm_20034+Inm_20033+Inm_20032+Inm_19957))&lt;10,"OK","Balans/Eget kapital;Summafel")</f>
        <v>OK</v>
      </c>
      <c r="B13" s="242" t="s">
        <v>717</v>
      </c>
      <c r="C13" s="242" t="s">
        <v>713</v>
      </c>
      <c r="D13" s="242" t="s">
        <v>714</v>
      </c>
      <c r="E13" s="243">
        <v>13</v>
      </c>
    </row>
    <row r="14" spans="1:5" ht="12">
      <c r="A14" s="9" t="str">
        <f>IF((Inm_20029&gt;Inm_20028-10),"OK","Balans_Eget kapital;Varavposten rad 222 är större än totalen rad 221")</f>
        <v>OK</v>
      </c>
      <c r="B14" s="242" t="s">
        <v>719</v>
      </c>
      <c r="C14" s="242" t="s">
        <v>713</v>
      </c>
      <c r="D14" s="242" t="s">
        <v>715</v>
      </c>
      <c r="E14" s="243">
        <v>14</v>
      </c>
    </row>
    <row r="15" spans="1:5" ht="12">
      <c r="A15" s="9" t="str">
        <f>IF((Inm_20027&gt;Inm_20026-10),"OK","Balans_Eget kapital;Varavposten rad 233 är större än totalen rad 231")</f>
        <v>OK</v>
      </c>
      <c r="B15" s="242" t="s">
        <v>720</v>
      </c>
      <c r="C15" s="242" t="s">
        <v>713</v>
      </c>
      <c r="D15" s="242" t="s">
        <v>73</v>
      </c>
      <c r="E15" s="243">
        <v>15</v>
      </c>
    </row>
    <row r="16" spans="1:5" ht="12">
      <c r="A16" s="9" t="str">
        <f>IF((Inm_20014&gt;Inm_20059-10),"OK","Balans_Eget kapital;Varavposten rad 272 är större än totalen rad 271")</f>
        <v>OK</v>
      </c>
      <c r="B16" s="242" t="s">
        <v>721</v>
      </c>
      <c r="C16" s="242" t="s">
        <v>713</v>
      </c>
      <c r="D16" s="242" t="s">
        <v>716</v>
      </c>
      <c r="E16" s="243">
        <v>16</v>
      </c>
    </row>
    <row r="17" spans="1:5" ht="12">
      <c r="A17" s="9" t="str">
        <f>IF(ABS(Inm_20035-(Inm_20063+Inm_20071+Inm_20006+Inm_20005+Inm_20004+Inm_20003+Inm_20002+Inm_20001+Inm_20000+Inm_19999+Inm_19998+Inm_19997+Inm_19996+Inm_19995))&lt;10,"OK","Eget kapital;Summafel")</f>
        <v>OK</v>
      </c>
      <c r="B17" s="242" t="s">
        <v>723</v>
      </c>
      <c r="C17" s="242" t="s">
        <v>713</v>
      </c>
      <c r="D17" s="242" t="s">
        <v>722</v>
      </c>
      <c r="E17" s="243">
        <v>17</v>
      </c>
    </row>
    <row r="18" spans="1:5" ht="12">
      <c r="A18" s="244" t="str">
        <f>IF(ABS(Inm_20072-(Inm_19956+Inm_19955))&lt;10,"OK","Aktier &amp; Andelar;Summafel")</f>
        <v>OK</v>
      </c>
      <c r="B18" s="245" t="s">
        <v>724</v>
      </c>
      <c r="C18" s="245" t="s">
        <v>725</v>
      </c>
      <c r="D18" s="245" t="s">
        <v>726</v>
      </c>
      <c r="E18" s="246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T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7" customWidth="1"/>
    <col min="2" max="2" width="9.140625" style="7" customWidth="1"/>
    <col min="3" max="3" width="33.7109375" style="8" customWidth="1"/>
    <col min="4" max="4" width="21.140625" style="8" customWidth="1"/>
    <col min="5" max="15" width="6.7109375" style="4" customWidth="1"/>
    <col min="16" max="16" width="18.421875" style="5" customWidth="1"/>
    <col min="17" max="17" width="9.140625" style="6" customWidth="1"/>
    <col min="18" max="18" width="9.140625" style="9" customWidth="1"/>
    <col min="19" max="19" width="35.7109375" style="10" customWidth="1"/>
    <col min="20" max="20" width="10.421875" style="4" customWidth="1"/>
    <col min="21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0" s="20" customFormat="1" ht="12">
      <c r="A1" s="13" t="s">
        <v>276</v>
      </c>
      <c r="B1" s="13" t="s">
        <v>277</v>
      </c>
      <c r="C1" s="14" t="s">
        <v>289</v>
      </c>
      <c r="D1" s="14" t="s">
        <v>290</v>
      </c>
      <c r="E1" s="15" t="s">
        <v>278</v>
      </c>
      <c r="F1" s="15" t="s">
        <v>279</v>
      </c>
      <c r="G1" s="15" t="s">
        <v>280</v>
      </c>
      <c r="H1" s="15" t="s">
        <v>281</v>
      </c>
      <c r="I1" s="15" t="s">
        <v>282</v>
      </c>
      <c r="J1" s="15" t="s">
        <v>283</v>
      </c>
      <c r="K1" s="15" t="s">
        <v>284</v>
      </c>
      <c r="L1" s="15" t="s">
        <v>285</v>
      </c>
      <c r="M1" s="15" t="s">
        <v>286</v>
      </c>
      <c r="N1" s="15" t="s">
        <v>287</v>
      </c>
      <c r="O1" s="15" t="s">
        <v>288</v>
      </c>
      <c r="P1" s="16" t="s">
        <v>291</v>
      </c>
      <c r="Q1" s="17" t="s">
        <v>293</v>
      </c>
      <c r="R1" s="18" t="s">
        <v>292</v>
      </c>
      <c r="S1" s="19" t="s">
        <v>274</v>
      </c>
      <c r="T1" s="15" t="s">
        <v>0</v>
      </c>
    </row>
    <row r="2" spans="1:20" ht="12">
      <c r="A2" s="7">
        <f>IF(ISBLANK(Inm_19991),"",$T$2*Inm_19991)</f>
      </c>
      <c r="B2" s="7">
        <v>19991</v>
      </c>
      <c r="C2" s="8" t="s">
        <v>301</v>
      </c>
      <c r="D2" s="218" t="s">
        <v>302</v>
      </c>
      <c r="E2" s="4">
        <v>8</v>
      </c>
      <c r="F2" s="4" t="s">
        <v>303</v>
      </c>
      <c r="G2" s="4" t="s">
        <v>304</v>
      </c>
      <c r="H2" s="4" t="s">
        <v>305</v>
      </c>
      <c r="I2" s="4" t="s">
        <v>305</v>
      </c>
      <c r="J2" s="4" t="s">
        <v>305</v>
      </c>
      <c r="K2" s="4" t="s">
        <v>306</v>
      </c>
      <c r="L2" s="4" t="s">
        <v>307</v>
      </c>
      <c r="M2" s="4" t="s">
        <v>308</v>
      </c>
      <c r="N2" s="4" t="s">
        <v>309</v>
      </c>
      <c r="O2" s="4" t="s">
        <v>310</v>
      </c>
      <c r="P2" s="5" t="e">
        <f>VLOOKUP(B2,Import!A$1:B$20000,2,FALSE)</f>
        <v>#N/A</v>
      </c>
      <c r="Q2" s="6" t="s">
        <v>311</v>
      </c>
      <c r="R2" s="9" t="e">
        <f>VLOOKUP(S2,Import!A$1:B$20000,2,FALSE)</f>
        <v>#N/A</v>
      </c>
      <c r="S2" s="10" t="str">
        <f aca="true" t="shared" si="0" ref="S2:S33">CONCATENATE(E2,"_",F2,"_",G2,"_",H2,"_",I2,"_",J2,"_",K2,"_",L2,"_",M2,"_",N2,"_",O2)</f>
        <v>8_R_C801_X_X_X_5J_N_V_M_A</v>
      </c>
      <c r="T2" s="4">
        <v>1000</v>
      </c>
    </row>
    <row r="3" spans="1:20" ht="12">
      <c r="A3" s="7">
        <f>IF(ISBLANK(Inm_19990),"",$T$3*Inm_19990)</f>
      </c>
      <c r="B3" s="7">
        <v>19990</v>
      </c>
      <c r="C3" s="8" t="s">
        <v>312</v>
      </c>
      <c r="D3" s="218" t="s">
        <v>313</v>
      </c>
      <c r="E3" s="4">
        <v>8</v>
      </c>
      <c r="F3" s="4" t="s">
        <v>303</v>
      </c>
      <c r="G3" s="4" t="s">
        <v>314</v>
      </c>
      <c r="H3" s="4" t="s">
        <v>305</v>
      </c>
      <c r="I3" s="4" t="s">
        <v>305</v>
      </c>
      <c r="J3" s="4" t="s">
        <v>305</v>
      </c>
      <c r="K3" s="4" t="s">
        <v>306</v>
      </c>
      <c r="L3" s="4" t="s">
        <v>307</v>
      </c>
      <c r="M3" s="4" t="s">
        <v>308</v>
      </c>
      <c r="N3" s="4" t="s">
        <v>309</v>
      </c>
      <c r="O3" s="4" t="s">
        <v>310</v>
      </c>
      <c r="P3" s="5" t="e">
        <f>VLOOKUP(B3,Import!A$1:B$20000,2,FALSE)</f>
        <v>#N/A</v>
      </c>
      <c r="Q3" s="6" t="s">
        <v>311</v>
      </c>
      <c r="R3" s="9" t="e">
        <f>VLOOKUP(S3,Import!A$1:B$20000,2,FALSE)</f>
        <v>#N/A</v>
      </c>
      <c r="S3" s="10" t="str">
        <f t="shared" si="0"/>
        <v>8_R_C802_X_X_X_5J_N_V_M_A</v>
      </c>
      <c r="T3" s="4">
        <v>1000</v>
      </c>
    </row>
    <row r="4" spans="1:20" ht="12">
      <c r="A4" s="7">
        <f>IF(ISBLANK(Inm_19989),"",$T$4*Inm_19989)</f>
      </c>
      <c r="B4" s="7">
        <v>19989</v>
      </c>
      <c r="C4" s="8" t="s">
        <v>315</v>
      </c>
      <c r="D4" s="218" t="s">
        <v>316</v>
      </c>
      <c r="E4" s="4">
        <v>8</v>
      </c>
      <c r="F4" s="4" t="s">
        <v>303</v>
      </c>
      <c r="G4" s="4" t="s">
        <v>317</v>
      </c>
      <c r="H4" s="4" t="s">
        <v>305</v>
      </c>
      <c r="I4" s="4" t="s">
        <v>305</v>
      </c>
      <c r="J4" s="4" t="s">
        <v>305</v>
      </c>
      <c r="K4" s="4" t="s">
        <v>306</v>
      </c>
      <c r="L4" s="4" t="s">
        <v>307</v>
      </c>
      <c r="M4" s="4" t="s">
        <v>308</v>
      </c>
      <c r="N4" s="4" t="s">
        <v>309</v>
      </c>
      <c r="O4" s="4" t="s">
        <v>310</v>
      </c>
      <c r="P4" s="5" t="e">
        <f>VLOOKUP(B4,Import!A$1:B$20000,2,FALSE)</f>
        <v>#N/A</v>
      </c>
      <c r="Q4" s="6" t="s">
        <v>311</v>
      </c>
      <c r="R4" s="9" t="e">
        <f>VLOOKUP(S4,Import!A$1:B$20000,2,FALSE)</f>
        <v>#N/A</v>
      </c>
      <c r="S4" s="10" t="str">
        <f t="shared" si="0"/>
        <v>8_R_C803_X_X_X_5J_N_V_M_A</v>
      </c>
      <c r="T4" s="4">
        <v>1000</v>
      </c>
    </row>
    <row r="5" spans="1:20" ht="12">
      <c r="A5" s="7">
        <f>IF(ISBLANK(Inm_19988),"",$T$5*Inm_19988)</f>
      </c>
      <c r="B5" s="7">
        <v>19988</v>
      </c>
      <c r="C5" s="8" t="s">
        <v>318</v>
      </c>
      <c r="D5" s="218" t="s">
        <v>319</v>
      </c>
      <c r="E5" s="4">
        <v>8</v>
      </c>
      <c r="F5" s="4" t="s">
        <v>303</v>
      </c>
      <c r="G5" s="4" t="s">
        <v>320</v>
      </c>
      <c r="H5" s="4" t="s">
        <v>305</v>
      </c>
      <c r="I5" s="4" t="s">
        <v>305</v>
      </c>
      <c r="J5" s="4" t="s">
        <v>305</v>
      </c>
      <c r="K5" s="4" t="s">
        <v>306</v>
      </c>
      <c r="L5" s="4" t="s">
        <v>307</v>
      </c>
      <c r="M5" s="4" t="s">
        <v>308</v>
      </c>
      <c r="N5" s="4" t="s">
        <v>309</v>
      </c>
      <c r="O5" s="4" t="s">
        <v>310</v>
      </c>
      <c r="P5" s="5" t="e">
        <f>VLOOKUP(B5,Import!A$1:B$20000,2,FALSE)</f>
        <v>#N/A</v>
      </c>
      <c r="Q5" s="6" t="s">
        <v>311</v>
      </c>
      <c r="R5" s="9" t="e">
        <f>VLOOKUP(S5,Import!A$1:B$20000,2,FALSE)</f>
        <v>#N/A</v>
      </c>
      <c r="S5" s="10" t="str">
        <f t="shared" si="0"/>
        <v>8_R_C804_X_X_X_5J_N_V_M_A</v>
      </c>
      <c r="T5" s="4">
        <v>1000</v>
      </c>
    </row>
    <row r="6" spans="1:20" ht="12">
      <c r="A6" s="7">
        <f>IF(ISBLANK(Inm_19987),"",$T$6*Inm_19987)</f>
      </c>
      <c r="B6" s="7">
        <v>19987</v>
      </c>
      <c r="C6" s="8" t="s">
        <v>321</v>
      </c>
      <c r="D6" s="218" t="s">
        <v>322</v>
      </c>
      <c r="E6" s="4">
        <v>8</v>
      </c>
      <c r="F6" s="4" t="s">
        <v>303</v>
      </c>
      <c r="G6" s="4" t="s">
        <v>323</v>
      </c>
      <c r="H6" s="4" t="s">
        <v>305</v>
      </c>
      <c r="I6" s="4" t="s">
        <v>305</v>
      </c>
      <c r="J6" s="4" t="s">
        <v>305</v>
      </c>
      <c r="K6" s="4" t="s">
        <v>306</v>
      </c>
      <c r="L6" s="4" t="s">
        <v>307</v>
      </c>
      <c r="M6" s="4" t="s">
        <v>308</v>
      </c>
      <c r="N6" s="4" t="s">
        <v>309</v>
      </c>
      <c r="O6" s="4" t="s">
        <v>310</v>
      </c>
      <c r="P6" s="5" t="e">
        <f>VLOOKUP(B6,Import!A$1:B$20000,2,FALSE)</f>
        <v>#N/A</v>
      </c>
      <c r="Q6" s="6" t="s">
        <v>311</v>
      </c>
      <c r="R6" s="9" t="e">
        <f>VLOOKUP(S6,Import!A$1:B$20000,2,FALSE)</f>
        <v>#N/A</v>
      </c>
      <c r="S6" s="10" t="str">
        <f t="shared" si="0"/>
        <v>8_R_C805_X_X_X_5J_N_V_M_A</v>
      </c>
      <c r="T6" s="4">
        <v>1000</v>
      </c>
    </row>
    <row r="7" spans="1:20" ht="12">
      <c r="A7" s="7">
        <f>IF(ISBLANK(Inm_19986),"",$T$7*Inm_19986)</f>
      </c>
      <c r="B7" s="7">
        <v>19986</v>
      </c>
      <c r="C7" s="8" t="s">
        <v>324</v>
      </c>
      <c r="D7" s="218" t="s">
        <v>325</v>
      </c>
      <c r="E7" s="4">
        <v>8</v>
      </c>
      <c r="F7" s="4" t="s">
        <v>303</v>
      </c>
      <c r="G7" s="4" t="s">
        <v>326</v>
      </c>
      <c r="H7" s="4" t="s">
        <v>305</v>
      </c>
      <c r="I7" s="4" t="s">
        <v>305</v>
      </c>
      <c r="J7" s="4" t="s">
        <v>305</v>
      </c>
      <c r="K7" s="4" t="s">
        <v>306</v>
      </c>
      <c r="L7" s="4" t="s">
        <v>307</v>
      </c>
      <c r="M7" s="4" t="s">
        <v>308</v>
      </c>
      <c r="N7" s="4" t="s">
        <v>309</v>
      </c>
      <c r="O7" s="4" t="s">
        <v>310</v>
      </c>
      <c r="P7" s="5" t="e">
        <f>VLOOKUP(B7,Import!A$1:B$20000,2,FALSE)</f>
        <v>#N/A</v>
      </c>
      <c r="Q7" s="6" t="s">
        <v>311</v>
      </c>
      <c r="R7" s="9" t="e">
        <f>VLOOKUP(S7,Import!A$1:B$20000,2,FALSE)</f>
        <v>#N/A</v>
      </c>
      <c r="S7" s="10" t="str">
        <f t="shared" si="0"/>
        <v>8_R_C810_X_X_X_5J_N_V_M_A</v>
      </c>
      <c r="T7" s="4">
        <v>1000</v>
      </c>
    </row>
    <row r="8" spans="1:20" ht="12">
      <c r="A8" s="7">
        <f>IF(ISBLANK(Inm_19985),"",$T$8*Inm_19985)</f>
      </c>
      <c r="B8" s="7">
        <v>19985</v>
      </c>
      <c r="C8" s="8" t="s">
        <v>327</v>
      </c>
      <c r="D8" s="218" t="s">
        <v>328</v>
      </c>
      <c r="E8" s="4">
        <v>8</v>
      </c>
      <c r="F8" s="4" t="s">
        <v>329</v>
      </c>
      <c r="G8" s="4" t="s">
        <v>330</v>
      </c>
      <c r="H8" s="4" t="s">
        <v>305</v>
      </c>
      <c r="I8" s="4" t="s">
        <v>305</v>
      </c>
      <c r="J8" s="4" t="s">
        <v>305</v>
      </c>
      <c r="K8" s="4" t="s">
        <v>306</v>
      </c>
      <c r="L8" s="4" t="s">
        <v>307</v>
      </c>
      <c r="M8" s="4" t="s">
        <v>308</v>
      </c>
      <c r="N8" s="4" t="s">
        <v>309</v>
      </c>
      <c r="O8" s="4" t="s">
        <v>310</v>
      </c>
      <c r="P8" s="5" t="e">
        <f>VLOOKUP(B8,Import!A$1:B$20000,2,FALSE)</f>
        <v>#N/A</v>
      </c>
      <c r="Q8" s="6" t="s">
        <v>311</v>
      </c>
      <c r="R8" s="9" t="e">
        <f>VLOOKUP(S8,Import!A$1:B$20000,2,FALSE)</f>
        <v>#N/A</v>
      </c>
      <c r="S8" s="10" t="str">
        <f t="shared" si="0"/>
        <v>8_C_C811_X_X_X_5J_N_V_M_A</v>
      </c>
      <c r="T8" s="4">
        <v>1000</v>
      </c>
    </row>
    <row r="9" spans="1:20" ht="12">
      <c r="A9" s="7">
        <f>IF(ISBLANK(Inm_19984),"",$T$9*Inm_19984)</f>
      </c>
      <c r="B9" s="7">
        <v>19984</v>
      </c>
      <c r="C9" s="8" t="s">
        <v>321</v>
      </c>
      <c r="D9" s="218" t="s">
        <v>331</v>
      </c>
      <c r="E9" s="4">
        <v>8</v>
      </c>
      <c r="F9" s="4" t="s">
        <v>329</v>
      </c>
      <c r="G9" s="4" t="s">
        <v>332</v>
      </c>
      <c r="H9" s="4" t="s">
        <v>305</v>
      </c>
      <c r="I9" s="4" t="s">
        <v>305</v>
      </c>
      <c r="J9" s="4" t="s">
        <v>305</v>
      </c>
      <c r="K9" s="4" t="s">
        <v>306</v>
      </c>
      <c r="L9" s="4" t="s">
        <v>307</v>
      </c>
      <c r="M9" s="4" t="s">
        <v>308</v>
      </c>
      <c r="N9" s="4" t="s">
        <v>309</v>
      </c>
      <c r="O9" s="4" t="s">
        <v>310</v>
      </c>
      <c r="P9" s="5" t="e">
        <f>VLOOKUP(B9,Import!A$1:B$20000,2,FALSE)</f>
        <v>#N/A</v>
      </c>
      <c r="Q9" s="6" t="s">
        <v>311</v>
      </c>
      <c r="R9" s="9" t="e">
        <f>VLOOKUP(S9,Import!A$1:B$20000,2,FALSE)</f>
        <v>#N/A</v>
      </c>
      <c r="S9" s="10" t="str">
        <f t="shared" si="0"/>
        <v>8_C_C812_X_X_X_5J_N_V_M_A</v>
      </c>
      <c r="T9" s="4">
        <v>1000</v>
      </c>
    </row>
    <row r="10" spans="1:20" ht="12">
      <c r="A10" s="7">
        <f>IF(ISBLANK(Inm_19983),"",$T$10*Inm_19983)</f>
      </c>
      <c r="B10" s="7">
        <v>19983</v>
      </c>
      <c r="C10" s="8" t="s">
        <v>333</v>
      </c>
      <c r="D10" s="218" t="s">
        <v>334</v>
      </c>
      <c r="E10" s="4">
        <v>8</v>
      </c>
      <c r="F10" s="4" t="s">
        <v>329</v>
      </c>
      <c r="G10" s="4" t="s">
        <v>335</v>
      </c>
      <c r="H10" s="4" t="s">
        <v>305</v>
      </c>
      <c r="I10" s="4" t="s">
        <v>305</v>
      </c>
      <c r="J10" s="4" t="s">
        <v>305</v>
      </c>
      <c r="K10" s="4" t="s">
        <v>306</v>
      </c>
      <c r="L10" s="4" t="s">
        <v>307</v>
      </c>
      <c r="M10" s="4" t="s">
        <v>308</v>
      </c>
      <c r="N10" s="4" t="s">
        <v>309</v>
      </c>
      <c r="O10" s="4" t="s">
        <v>310</v>
      </c>
      <c r="P10" s="5" t="e">
        <f>VLOOKUP(B10,Import!A$1:B$20000,2,FALSE)</f>
        <v>#N/A</v>
      </c>
      <c r="Q10" s="6" t="s">
        <v>311</v>
      </c>
      <c r="R10" s="9" t="e">
        <f>VLOOKUP(S10,Import!A$1:B$20000,2,FALSE)</f>
        <v>#N/A</v>
      </c>
      <c r="S10" s="10" t="str">
        <f t="shared" si="0"/>
        <v>8_C_C813_X_X_X_5J_N_V_M_A</v>
      </c>
      <c r="T10" s="4">
        <v>1000</v>
      </c>
    </row>
    <row r="11" spans="1:20" ht="12">
      <c r="A11" s="7">
        <f>IF(ISBLANK(Inm_19982),"",$T$11*Inm_19982)</f>
      </c>
      <c r="B11" s="7">
        <v>19982</v>
      </c>
      <c r="C11" s="8" t="s">
        <v>336</v>
      </c>
      <c r="D11" s="218" t="s">
        <v>337</v>
      </c>
      <c r="E11" s="4">
        <v>8</v>
      </c>
      <c r="F11" s="4" t="s">
        <v>329</v>
      </c>
      <c r="G11" s="4" t="s">
        <v>338</v>
      </c>
      <c r="H11" s="4" t="s">
        <v>305</v>
      </c>
      <c r="I11" s="4" t="s">
        <v>305</v>
      </c>
      <c r="J11" s="4" t="s">
        <v>305</v>
      </c>
      <c r="K11" s="4" t="s">
        <v>306</v>
      </c>
      <c r="L11" s="4" t="s">
        <v>307</v>
      </c>
      <c r="M11" s="4" t="s">
        <v>308</v>
      </c>
      <c r="N11" s="4" t="s">
        <v>309</v>
      </c>
      <c r="O11" s="4" t="s">
        <v>310</v>
      </c>
      <c r="P11" s="5" t="e">
        <f>VLOOKUP(B11,Import!A$1:B$20000,2,FALSE)</f>
        <v>#N/A</v>
      </c>
      <c r="Q11" s="6" t="s">
        <v>311</v>
      </c>
      <c r="R11" s="9" t="e">
        <f>VLOOKUP(S11,Import!A$1:B$20000,2,FALSE)</f>
        <v>#N/A</v>
      </c>
      <c r="S11" s="10" t="str">
        <f t="shared" si="0"/>
        <v>8_C_C814_X_X_X_5J_N_V_M_A</v>
      </c>
      <c r="T11" s="4">
        <v>1000</v>
      </c>
    </row>
    <row r="12" spans="1:20" ht="12">
      <c r="A12" s="7">
        <f>IF(ISBLANK(Inm_19981),"",$T$12*Inm_19981)</f>
      </c>
      <c r="B12" s="7">
        <v>19981</v>
      </c>
      <c r="C12" s="8" t="s">
        <v>339</v>
      </c>
      <c r="D12" s="218" t="s">
        <v>340</v>
      </c>
      <c r="E12" s="4">
        <v>8</v>
      </c>
      <c r="F12" s="4" t="s">
        <v>329</v>
      </c>
      <c r="G12" s="4" t="s">
        <v>341</v>
      </c>
      <c r="H12" s="4" t="s">
        <v>305</v>
      </c>
      <c r="I12" s="4" t="s">
        <v>305</v>
      </c>
      <c r="J12" s="4" t="s">
        <v>305</v>
      </c>
      <c r="K12" s="4" t="s">
        <v>306</v>
      </c>
      <c r="L12" s="4" t="s">
        <v>307</v>
      </c>
      <c r="M12" s="4" t="s">
        <v>308</v>
      </c>
      <c r="N12" s="4" t="s">
        <v>309</v>
      </c>
      <c r="O12" s="4" t="s">
        <v>310</v>
      </c>
      <c r="P12" s="5" t="e">
        <f>VLOOKUP(B12,Import!A$1:B$20000,2,FALSE)</f>
        <v>#N/A</v>
      </c>
      <c r="Q12" s="6" t="s">
        <v>311</v>
      </c>
      <c r="R12" s="9" t="e">
        <f>VLOOKUP(S12,Import!A$1:B$20000,2,FALSE)</f>
        <v>#N/A</v>
      </c>
      <c r="S12" s="10" t="str">
        <f t="shared" si="0"/>
        <v>8_C_C815_X_X_X_5J_N_V_M_A</v>
      </c>
      <c r="T12" s="4">
        <v>1000</v>
      </c>
    </row>
    <row r="13" spans="1:20" ht="12">
      <c r="A13" s="7">
        <f>IF(ISBLANK(Inm_19980),"",$T$13*Inm_19980)</f>
      </c>
      <c r="B13" s="7">
        <v>19980</v>
      </c>
      <c r="C13" s="8" t="s">
        <v>342</v>
      </c>
      <c r="D13" s="218" t="s">
        <v>343</v>
      </c>
      <c r="E13" s="4">
        <v>8</v>
      </c>
      <c r="F13" s="4" t="s">
        <v>329</v>
      </c>
      <c r="G13" s="4" t="s">
        <v>344</v>
      </c>
      <c r="H13" s="4" t="s">
        <v>305</v>
      </c>
      <c r="I13" s="4" t="s">
        <v>305</v>
      </c>
      <c r="J13" s="4" t="s">
        <v>305</v>
      </c>
      <c r="K13" s="4" t="s">
        <v>306</v>
      </c>
      <c r="L13" s="4" t="s">
        <v>307</v>
      </c>
      <c r="M13" s="4" t="s">
        <v>308</v>
      </c>
      <c r="N13" s="4" t="s">
        <v>309</v>
      </c>
      <c r="O13" s="4" t="s">
        <v>310</v>
      </c>
      <c r="P13" s="5" t="e">
        <f>VLOOKUP(B13,Import!A$1:B$20000,2,FALSE)</f>
        <v>#N/A</v>
      </c>
      <c r="Q13" s="6" t="s">
        <v>311</v>
      </c>
      <c r="R13" s="9" t="e">
        <f>VLOOKUP(S13,Import!A$1:B$20000,2,FALSE)</f>
        <v>#N/A</v>
      </c>
      <c r="S13" s="10" t="str">
        <f t="shared" si="0"/>
        <v>8_C_C820_X_X_X_5J_N_V_M_A</v>
      </c>
      <c r="T13" s="4">
        <v>1000</v>
      </c>
    </row>
    <row r="14" spans="1:20" ht="12">
      <c r="A14" s="7">
        <f>IF(ISBLANK(Inm_19979),"",$T$14*Inm_19979)</f>
      </c>
      <c r="B14" s="7">
        <v>19979</v>
      </c>
      <c r="C14" s="8" t="s">
        <v>345</v>
      </c>
      <c r="D14" s="218" t="s">
        <v>346</v>
      </c>
      <c r="E14" s="4">
        <v>8</v>
      </c>
      <c r="F14" s="4" t="s">
        <v>305</v>
      </c>
      <c r="G14" s="4" t="s">
        <v>347</v>
      </c>
      <c r="H14" s="4" t="s">
        <v>305</v>
      </c>
      <c r="I14" s="4" t="s">
        <v>305</v>
      </c>
      <c r="J14" s="4" t="s">
        <v>305</v>
      </c>
      <c r="K14" s="4" t="s">
        <v>306</v>
      </c>
      <c r="L14" s="4" t="s">
        <v>307</v>
      </c>
      <c r="M14" s="4" t="s">
        <v>308</v>
      </c>
      <c r="N14" s="4" t="s">
        <v>309</v>
      </c>
      <c r="O14" s="4" t="s">
        <v>310</v>
      </c>
      <c r="P14" s="5" t="e">
        <f>VLOOKUP(B14,Import!A$1:B$20000,2,FALSE)</f>
        <v>#N/A</v>
      </c>
      <c r="Q14" s="6" t="s">
        <v>311</v>
      </c>
      <c r="R14" s="9" t="e">
        <f>VLOOKUP(S14,Import!A$1:B$20000,2,FALSE)</f>
        <v>#N/A</v>
      </c>
      <c r="S14" s="10" t="str">
        <f t="shared" si="0"/>
        <v>8_X_C830_X_X_X_5J_N_V_M_A</v>
      </c>
      <c r="T14" s="4">
        <v>1000</v>
      </c>
    </row>
    <row r="15" spans="1:20" ht="12">
      <c r="A15" s="7">
        <f>IF(ISBLANK(Inm_19978),"",$T$15*Inm_19978)</f>
      </c>
      <c r="B15" s="7">
        <v>19978</v>
      </c>
      <c r="C15" s="8" t="s">
        <v>348</v>
      </c>
      <c r="D15" s="218" t="s">
        <v>349</v>
      </c>
      <c r="E15" s="4">
        <v>8</v>
      </c>
      <c r="F15" s="4" t="s">
        <v>305</v>
      </c>
      <c r="G15" s="4" t="s">
        <v>350</v>
      </c>
      <c r="H15" s="4" t="s">
        <v>305</v>
      </c>
      <c r="I15" s="4" t="s">
        <v>305</v>
      </c>
      <c r="J15" s="4" t="s">
        <v>305</v>
      </c>
      <c r="K15" s="4" t="s">
        <v>306</v>
      </c>
      <c r="L15" s="4" t="s">
        <v>307</v>
      </c>
      <c r="M15" s="4" t="s">
        <v>308</v>
      </c>
      <c r="N15" s="4" t="s">
        <v>309</v>
      </c>
      <c r="O15" s="4" t="s">
        <v>310</v>
      </c>
      <c r="P15" s="5" t="e">
        <f>VLOOKUP(B15,Import!A$1:B$20000,2,FALSE)</f>
        <v>#N/A</v>
      </c>
      <c r="Q15" s="6" t="s">
        <v>311</v>
      </c>
      <c r="R15" s="9" t="e">
        <f>VLOOKUP(S15,Import!A$1:B$20000,2,FALSE)</f>
        <v>#N/A</v>
      </c>
      <c r="S15" s="10" t="str">
        <f t="shared" si="0"/>
        <v>8_X_C831_X_X_X_5J_N_V_M_A</v>
      </c>
      <c r="T15" s="4">
        <v>1000</v>
      </c>
    </row>
    <row r="16" spans="1:20" ht="12">
      <c r="A16" s="7">
        <f>IF(ISBLANK(Inm_19977),"",$T$16*Inm_19977)</f>
      </c>
      <c r="B16" s="7">
        <v>19977</v>
      </c>
      <c r="C16" s="8" t="s">
        <v>351</v>
      </c>
      <c r="D16" s="218" t="s">
        <v>352</v>
      </c>
      <c r="E16" s="4">
        <v>8</v>
      </c>
      <c r="F16" s="4" t="s">
        <v>305</v>
      </c>
      <c r="G16" s="4" t="s">
        <v>353</v>
      </c>
      <c r="H16" s="4" t="s">
        <v>305</v>
      </c>
      <c r="I16" s="4" t="s">
        <v>305</v>
      </c>
      <c r="J16" s="4" t="s">
        <v>305</v>
      </c>
      <c r="K16" s="4" t="s">
        <v>306</v>
      </c>
      <c r="L16" s="4" t="s">
        <v>307</v>
      </c>
      <c r="M16" s="4" t="s">
        <v>308</v>
      </c>
      <c r="N16" s="4" t="s">
        <v>309</v>
      </c>
      <c r="O16" s="4" t="s">
        <v>310</v>
      </c>
      <c r="P16" s="5" t="e">
        <f>VLOOKUP(B16,Import!A$1:B$20000,2,FALSE)</f>
        <v>#N/A</v>
      </c>
      <c r="Q16" s="6" t="s">
        <v>311</v>
      </c>
      <c r="R16" s="9" t="e">
        <f>VLOOKUP(S16,Import!A$1:B$20000,2,FALSE)</f>
        <v>#N/A</v>
      </c>
      <c r="S16" s="10" t="str">
        <f t="shared" si="0"/>
        <v>8_X_C840_X_X_X_5J_N_V_M_A</v>
      </c>
      <c r="T16" s="4">
        <v>1000</v>
      </c>
    </row>
    <row r="17" spans="1:20" ht="12">
      <c r="A17" s="7">
        <f>IF(ISBLANK(Inm_19976),"",$T$17*Inm_19976)</f>
      </c>
      <c r="B17" s="7">
        <v>19976</v>
      </c>
      <c r="C17" s="8" t="s">
        <v>354</v>
      </c>
      <c r="D17" s="218" t="s">
        <v>355</v>
      </c>
      <c r="E17" s="4">
        <v>8</v>
      </c>
      <c r="F17" s="4" t="s">
        <v>305</v>
      </c>
      <c r="G17" s="4" t="s">
        <v>356</v>
      </c>
      <c r="H17" s="4" t="s">
        <v>305</v>
      </c>
      <c r="I17" s="4" t="s">
        <v>305</v>
      </c>
      <c r="J17" s="4" t="s">
        <v>305</v>
      </c>
      <c r="K17" s="4" t="s">
        <v>306</v>
      </c>
      <c r="L17" s="4" t="s">
        <v>307</v>
      </c>
      <c r="M17" s="4" t="s">
        <v>308</v>
      </c>
      <c r="N17" s="4" t="s">
        <v>309</v>
      </c>
      <c r="O17" s="4" t="s">
        <v>310</v>
      </c>
      <c r="P17" s="5" t="e">
        <f>VLOOKUP(B17,Import!A$1:B$20000,2,FALSE)</f>
        <v>#N/A</v>
      </c>
      <c r="Q17" s="6" t="s">
        <v>311</v>
      </c>
      <c r="R17" s="9" t="e">
        <f>VLOOKUP(S17,Import!A$1:B$20000,2,FALSE)</f>
        <v>#N/A</v>
      </c>
      <c r="S17" s="10" t="str">
        <f t="shared" si="0"/>
        <v>8_X_C841_X_X_X_5J_N_V_M_A</v>
      </c>
      <c r="T17" s="4">
        <v>1000</v>
      </c>
    </row>
    <row r="18" spans="1:20" ht="12">
      <c r="A18" s="7">
        <f>IF(ISBLANK(Inm_19975),"",$T$18*Inm_19975)</f>
      </c>
      <c r="B18" s="7">
        <v>19975</v>
      </c>
      <c r="C18" s="8" t="s">
        <v>354</v>
      </c>
      <c r="D18" s="218" t="s">
        <v>357</v>
      </c>
      <c r="E18" s="4">
        <v>8</v>
      </c>
      <c r="F18" s="4" t="s">
        <v>305</v>
      </c>
      <c r="G18" s="4" t="s">
        <v>358</v>
      </c>
      <c r="H18" s="4" t="s">
        <v>305</v>
      </c>
      <c r="I18" s="4" t="s">
        <v>305</v>
      </c>
      <c r="J18" s="4" t="s">
        <v>305</v>
      </c>
      <c r="K18" s="4" t="s">
        <v>306</v>
      </c>
      <c r="L18" s="4" t="s">
        <v>307</v>
      </c>
      <c r="M18" s="4" t="s">
        <v>308</v>
      </c>
      <c r="N18" s="4" t="s">
        <v>309</v>
      </c>
      <c r="O18" s="4" t="s">
        <v>310</v>
      </c>
      <c r="P18" s="5" t="e">
        <f>VLOOKUP(B18,Import!A$1:B$20000,2,FALSE)</f>
        <v>#N/A</v>
      </c>
      <c r="Q18" s="6" t="s">
        <v>311</v>
      </c>
      <c r="R18" s="9" t="e">
        <f>VLOOKUP(S18,Import!A$1:B$20000,2,FALSE)</f>
        <v>#N/A</v>
      </c>
      <c r="S18" s="10" t="str">
        <f t="shared" si="0"/>
        <v>8_X_C842_X_X_X_5J_N_V_M_A</v>
      </c>
      <c r="T18" s="4">
        <v>1000</v>
      </c>
    </row>
    <row r="19" spans="1:20" ht="12">
      <c r="A19" s="7">
        <f>IF(ISBLANK(Inm_19974),"",$T$19*Inm_19974)</f>
      </c>
      <c r="B19" s="7">
        <v>19974</v>
      </c>
      <c r="C19" s="8" t="s">
        <v>359</v>
      </c>
      <c r="D19" s="218" t="s">
        <v>360</v>
      </c>
      <c r="E19" s="4">
        <v>8</v>
      </c>
      <c r="F19" s="4" t="s">
        <v>305</v>
      </c>
      <c r="G19" s="4" t="s">
        <v>361</v>
      </c>
      <c r="H19" s="4" t="s">
        <v>305</v>
      </c>
      <c r="I19" s="4" t="s">
        <v>305</v>
      </c>
      <c r="J19" s="4" t="s">
        <v>305</v>
      </c>
      <c r="K19" s="4" t="s">
        <v>306</v>
      </c>
      <c r="L19" s="4" t="s">
        <v>307</v>
      </c>
      <c r="M19" s="4" t="s">
        <v>308</v>
      </c>
      <c r="N19" s="4" t="s">
        <v>309</v>
      </c>
      <c r="O19" s="4" t="s">
        <v>310</v>
      </c>
      <c r="P19" s="5" t="e">
        <f>VLOOKUP(B19,Import!A$1:B$20000,2,FALSE)</f>
        <v>#N/A</v>
      </c>
      <c r="Q19" s="6" t="s">
        <v>311</v>
      </c>
      <c r="R19" s="9" t="e">
        <f>VLOOKUP(S19,Import!A$1:B$20000,2,FALSE)</f>
        <v>#N/A</v>
      </c>
      <c r="S19" s="10" t="str">
        <f t="shared" si="0"/>
        <v>8_X_C843_X_X_X_5J_N_V_M_A</v>
      </c>
      <c r="T19" s="4">
        <v>1000</v>
      </c>
    </row>
    <row r="20" spans="1:20" ht="12">
      <c r="A20" s="7">
        <f>IF(ISBLANK(Inm_19973),"",$T$20*Inm_19973)</f>
      </c>
      <c r="B20" s="7">
        <v>19973</v>
      </c>
      <c r="C20" s="8" t="s">
        <v>362</v>
      </c>
      <c r="D20" s="218" t="s">
        <v>363</v>
      </c>
      <c r="E20" s="4">
        <v>8</v>
      </c>
      <c r="F20" s="4" t="s">
        <v>305</v>
      </c>
      <c r="G20" s="4" t="s">
        <v>364</v>
      </c>
      <c r="H20" s="4" t="s">
        <v>305</v>
      </c>
      <c r="I20" s="4" t="s">
        <v>305</v>
      </c>
      <c r="J20" s="4" t="s">
        <v>305</v>
      </c>
      <c r="K20" s="4" t="s">
        <v>306</v>
      </c>
      <c r="L20" s="4" t="s">
        <v>307</v>
      </c>
      <c r="M20" s="4" t="s">
        <v>308</v>
      </c>
      <c r="N20" s="4" t="s">
        <v>309</v>
      </c>
      <c r="O20" s="4" t="s">
        <v>310</v>
      </c>
      <c r="P20" s="5" t="e">
        <f>VLOOKUP(B20,Import!A$1:B$20000,2,FALSE)</f>
        <v>#N/A</v>
      </c>
      <c r="Q20" s="6" t="s">
        <v>311</v>
      </c>
      <c r="R20" s="9" t="e">
        <f>VLOOKUP(S20,Import!A$1:B$20000,2,FALSE)</f>
        <v>#N/A</v>
      </c>
      <c r="S20" s="10" t="str">
        <f t="shared" si="0"/>
        <v>8_X_C844_X_X_X_5J_N_V_M_A</v>
      </c>
      <c r="T20" s="4">
        <v>1000</v>
      </c>
    </row>
    <row r="21" spans="1:20" ht="12">
      <c r="A21" s="7">
        <f>IF(ISBLANK(Inm_19972),"",$T$21*Inm_19972)</f>
      </c>
      <c r="B21" s="7">
        <v>19972</v>
      </c>
      <c r="C21" s="8" t="s">
        <v>362</v>
      </c>
      <c r="D21" s="218" t="s">
        <v>365</v>
      </c>
      <c r="E21" s="4">
        <v>8</v>
      </c>
      <c r="F21" s="4" t="s">
        <v>305</v>
      </c>
      <c r="G21" s="4" t="s">
        <v>366</v>
      </c>
      <c r="H21" s="4" t="s">
        <v>305</v>
      </c>
      <c r="I21" s="4" t="s">
        <v>305</v>
      </c>
      <c r="J21" s="4" t="s">
        <v>305</v>
      </c>
      <c r="K21" s="4" t="s">
        <v>306</v>
      </c>
      <c r="L21" s="4" t="s">
        <v>307</v>
      </c>
      <c r="M21" s="4" t="s">
        <v>308</v>
      </c>
      <c r="N21" s="4" t="s">
        <v>309</v>
      </c>
      <c r="O21" s="4" t="s">
        <v>310</v>
      </c>
      <c r="P21" s="5" t="e">
        <f>VLOOKUP(B21,Import!A$1:B$20000,2,FALSE)</f>
        <v>#N/A</v>
      </c>
      <c r="Q21" s="6" t="s">
        <v>311</v>
      </c>
      <c r="R21" s="9" t="e">
        <f>VLOOKUP(S21,Import!A$1:B$20000,2,FALSE)</f>
        <v>#N/A</v>
      </c>
      <c r="S21" s="10" t="str">
        <f t="shared" si="0"/>
        <v>8_X_C845_X_X_X_5J_N_V_M_A</v>
      </c>
      <c r="T21" s="4">
        <v>1000</v>
      </c>
    </row>
    <row r="22" spans="1:20" ht="12">
      <c r="A22" s="7">
        <f>IF(ISBLANK(Inm_19971),"",$T$22*Inm_19971)</f>
      </c>
      <c r="B22" s="7">
        <v>19971</v>
      </c>
      <c r="C22" s="8" t="s">
        <v>367</v>
      </c>
      <c r="D22" s="218" t="s">
        <v>368</v>
      </c>
      <c r="E22" s="4">
        <v>8</v>
      </c>
      <c r="F22" s="4" t="s">
        <v>305</v>
      </c>
      <c r="G22" s="4" t="s">
        <v>369</v>
      </c>
      <c r="H22" s="4" t="s">
        <v>305</v>
      </c>
      <c r="I22" s="4" t="s">
        <v>305</v>
      </c>
      <c r="J22" s="4" t="s">
        <v>305</v>
      </c>
      <c r="K22" s="4" t="s">
        <v>306</v>
      </c>
      <c r="L22" s="4" t="s">
        <v>307</v>
      </c>
      <c r="M22" s="4" t="s">
        <v>308</v>
      </c>
      <c r="N22" s="4" t="s">
        <v>309</v>
      </c>
      <c r="O22" s="4" t="s">
        <v>310</v>
      </c>
      <c r="P22" s="5" t="e">
        <f>VLOOKUP(B22,Import!A$1:B$20000,2,FALSE)</f>
        <v>#N/A</v>
      </c>
      <c r="Q22" s="6" t="s">
        <v>311</v>
      </c>
      <c r="R22" s="9" t="e">
        <f>VLOOKUP(S22,Import!A$1:B$20000,2,FALSE)</f>
        <v>#N/A</v>
      </c>
      <c r="S22" s="10" t="str">
        <f t="shared" si="0"/>
        <v>8_X_C846_X_X_X_5J_N_V_M_A</v>
      </c>
      <c r="T22" s="4">
        <v>1000</v>
      </c>
    </row>
    <row r="23" spans="1:20" ht="12">
      <c r="A23" s="7">
        <f>IF(ISBLANK(Inm_19970),"",$T$23*Inm_19970)</f>
      </c>
      <c r="B23" s="7">
        <v>19970</v>
      </c>
      <c r="C23" s="8" t="s">
        <v>370</v>
      </c>
      <c r="D23" s="218" t="s">
        <v>371</v>
      </c>
      <c r="E23" s="4">
        <v>8</v>
      </c>
      <c r="F23" s="4" t="s">
        <v>305</v>
      </c>
      <c r="G23" s="4" t="s">
        <v>372</v>
      </c>
      <c r="H23" s="4" t="s">
        <v>305</v>
      </c>
      <c r="I23" s="4" t="s">
        <v>305</v>
      </c>
      <c r="J23" s="4" t="s">
        <v>305</v>
      </c>
      <c r="K23" s="4" t="s">
        <v>306</v>
      </c>
      <c r="L23" s="4" t="s">
        <v>307</v>
      </c>
      <c r="M23" s="4" t="s">
        <v>308</v>
      </c>
      <c r="N23" s="4" t="s">
        <v>309</v>
      </c>
      <c r="O23" s="4" t="s">
        <v>310</v>
      </c>
      <c r="P23" s="5" t="e">
        <f>VLOOKUP(B23,Import!A$1:B$20000,2,FALSE)</f>
        <v>#N/A</v>
      </c>
      <c r="Q23" s="6" t="s">
        <v>311</v>
      </c>
      <c r="R23" s="9" t="e">
        <f>VLOOKUP(S23,Import!A$1:B$20000,2,FALSE)</f>
        <v>#N/A</v>
      </c>
      <c r="S23" s="10" t="str">
        <f t="shared" si="0"/>
        <v>8_X_C847_X_X_X_5J_N_V_M_A</v>
      </c>
      <c r="T23" s="4">
        <v>1000</v>
      </c>
    </row>
    <row r="24" spans="1:20" ht="12">
      <c r="A24" s="7">
        <f>IF(ISBLANK(Inm_19969),"",$T$24*Inm_19969)</f>
      </c>
      <c r="B24" s="7">
        <v>19969</v>
      </c>
      <c r="C24" s="8" t="s">
        <v>373</v>
      </c>
      <c r="D24" s="218" t="s">
        <v>374</v>
      </c>
      <c r="E24" s="4">
        <v>8</v>
      </c>
      <c r="F24" s="4" t="s">
        <v>305</v>
      </c>
      <c r="G24" s="4" t="s">
        <v>375</v>
      </c>
      <c r="H24" s="4" t="s">
        <v>305</v>
      </c>
      <c r="I24" s="4" t="s">
        <v>305</v>
      </c>
      <c r="J24" s="4" t="s">
        <v>305</v>
      </c>
      <c r="K24" s="4" t="s">
        <v>306</v>
      </c>
      <c r="L24" s="4" t="s">
        <v>307</v>
      </c>
      <c r="M24" s="4" t="s">
        <v>308</v>
      </c>
      <c r="N24" s="4" t="s">
        <v>309</v>
      </c>
      <c r="O24" s="4" t="s">
        <v>310</v>
      </c>
      <c r="P24" s="5" t="e">
        <f>VLOOKUP(B24,Import!A$1:B$20000,2,FALSE)</f>
        <v>#N/A</v>
      </c>
      <c r="Q24" s="6" t="s">
        <v>311</v>
      </c>
      <c r="R24" s="9" t="e">
        <f>VLOOKUP(S24,Import!A$1:B$20000,2,FALSE)</f>
        <v>#N/A</v>
      </c>
      <c r="S24" s="10" t="str">
        <f t="shared" si="0"/>
        <v>8_X_C848_X_X_X_5J_N_V_M_A</v>
      </c>
      <c r="T24" s="4">
        <v>1000</v>
      </c>
    </row>
    <row r="25" spans="1:20" ht="12">
      <c r="A25" s="7">
        <f>IF(ISBLANK(Inm_19968),"",$T$25*Inm_19968)</f>
      </c>
      <c r="B25" s="7">
        <v>19968</v>
      </c>
      <c r="C25" s="8" t="s">
        <v>376</v>
      </c>
      <c r="D25" s="218" t="s">
        <v>377</v>
      </c>
      <c r="E25" s="4">
        <v>8</v>
      </c>
      <c r="F25" s="4" t="s">
        <v>305</v>
      </c>
      <c r="G25" s="4" t="s">
        <v>378</v>
      </c>
      <c r="H25" s="4" t="s">
        <v>305</v>
      </c>
      <c r="I25" s="4" t="s">
        <v>305</v>
      </c>
      <c r="J25" s="4" t="s">
        <v>305</v>
      </c>
      <c r="K25" s="4" t="s">
        <v>306</v>
      </c>
      <c r="L25" s="4" t="s">
        <v>307</v>
      </c>
      <c r="M25" s="4" t="s">
        <v>308</v>
      </c>
      <c r="N25" s="4" t="s">
        <v>309</v>
      </c>
      <c r="O25" s="4" t="s">
        <v>310</v>
      </c>
      <c r="P25" s="5" t="e">
        <f>VLOOKUP(B25,Import!A$1:B$20000,2,FALSE)</f>
        <v>#N/A</v>
      </c>
      <c r="Q25" s="6" t="s">
        <v>311</v>
      </c>
      <c r="R25" s="9" t="e">
        <f>VLOOKUP(S25,Import!A$1:B$20000,2,FALSE)</f>
        <v>#N/A</v>
      </c>
      <c r="S25" s="10" t="str">
        <f t="shared" si="0"/>
        <v>8_X_C850_X_X_X_5J_N_V_M_A</v>
      </c>
      <c r="T25" s="4">
        <v>1000</v>
      </c>
    </row>
    <row r="26" spans="1:20" ht="12">
      <c r="A26" s="7">
        <f>IF(ISBLANK(Inm_19967),"",$T$26*Inm_19967)</f>
      </c>
      <c r="B26" s="7">
        <v>19967</v>
      </c>
      <c r="C26" s="8" t="s">
        <v>379</v>
      </c>
      <c r="D26" s="218" t="s">
        <v>380</v>
      </c>
      <c r="E26" s="4">
        <v>8</v>
      </c>
      <c r="F26" s="4" t="s">
        <v>305</v>
      </c>
      <c r="G26" s="4" t="s">
        <v>381</v>
      </c>
      <c r="H26" s="4" t="s">
        <v>305</v>
      </c>
      <c r="I26" s="4" t="s">
        <v>305</v>
      </c>
      <c r="J26" s="4" t="s">
        <v>305</v>
      </c>
      <c r="K26" s="4" t="s">
        <v>306</v>
      </c>
      <c r="L26" s="4" t="s">
        <v>307</v>
      </c>
      <c r="M26" s="4" t="s">
        <v>308</v>
      </c>
      <c r="N26" s="4" t="s">
        <v>309</v>
      </c>
      <c r="O26" s="4" t="s">
        <v>310</v>
      </c>
      <c r="P26" s="5" t="e">
        <f>VLOOKUP(B26,Import!A$1:B$20000,2,FALSE)</f>
        <v>#N/A</v>
      </c>
      <c r="Q26" s="6" t="s">
        <v>311</v>
      </c>
      <c r="R26" s="9" t="e">
        <f>VLOOKUP(S26,Import!A$1:B$20000,2,FALSE)</f>
        <v>#N/A</v>
      </c>
      <c r="S26" s="10" t="str">
        <f t="shared" si="0"/>
        <v>8_X_C851_X_X_X_5J_N_V_M_A</v>
      </c>
      <c r="T26" s="4">
        <v>1000</v>
      </c>
    </row>
    <row r="27" spans="1:20" ht="12">
      <c r="A27" s="7">
        <f>IF(ISBLANK(Inm_19966),"",$T$27*Inm_19966)</f>
      </c>
      <c r="B27" s="7">
        <v>19966</v>
      </c>
      <c r="C27" s="8" t="s">
        <v>382</v>
      </c>
      <c r="D27" s="218" t="s">
        <v>383</v>
      </c>
      <c r="E27" s="4">
        <v>8</v>
      </c>
      <c r="F27" s="4" t="s">
        <v>305</v>
      </c>
      <c r="G27" s="4" t="s">
        <v>384</v>
      </c>
      <c r="H27" s="4" t="s">
        <v>305</v>
      </c>
      <c r="I27" s="4" t="s">
        <v>305</v>
      </c>
      <c r="J27" s="4" t="s">
        <v>305</v>
      </c>
      <c r="K27" s="4" t="s">
        <v>306</v>
      </c>
      <c r="L27" s="4" t="s">
        <v>307</v>
      </c>
      <c r="M27" s="4" t="s">
        <v>308</v>
      </c>
      <c r="N27" s="4" t="s">
        <v>309</v>
      </c>
      <c r="O27" s="4" t="s">
        <v>310</v>
      </c>
      <c r="P27" s="5" t="e">
        <f>VLOOKUP(B27,Import!A$1:B$20000,2,FALSE)</f>
        <v>#N/A</v>
      </c>
      <c r="Q27" s="6" t="s">
        <v>311</v>
      </c>
      <c r="R27" s="9" t="e">
        <f>VLOOKUP(S27,Import!A$1:B$20000,2,FALSE)</f>
        <v>#N/A</v>
      </c>
      <c r="S27" s="10" t="str">
        <f t="shared" si="0"/>
        <v>8_X_C852_X_X_X_5J_N_V_M_A</v>
      </c>
      <c r="T27" s="4">
        <v>1000</v>
      </c>
    </row>
    <row r="28" spans="1:20" ht="12">
      <c r="A28" s="7">
        <f>IF(ISBLANK(Inm_19965),"",$T$28*Inm_19965)</f>
      </c>
      <c r="B28" s="7">
        <v>19965</v>
      </c>
      <c r="C28" s="8" t="s">
        <v>385</v>
      </c>
      <c r="D28" s="218" t="s">
        <v>386</v>
      </c>
      <c r="E28" s="4">
        <v>8</v>
      </c>
      <c r="F28" s="4" t="s">
        <v>305</v>
      </c>
      <c r="G28" s="4" t="s">
        <v>387</v>
      </c>
      <c r="H28" s="4" t="s">
        <v>305</v>
      </c>
      <c r="I28" s="4" t="s">
        <v>305</v>
      </c>
      <c r="J28" s="4" t="s">
        <v>305</v>
      </c>
      <c r="K28" s="4" t="s">
        <v>306</v>
      </c>
      <c r="L28" s="4" t="s">
        <v>307</v>
      </c>
      <c r="M28" s="4" t="s">
        <v>308</v>
      </c>
      <c r="N28" s="4" t="s">
        <v>309</v>
      </c>
      <c r="O28" s="4" t="s">
        <v>310</v>
      </c>
      <c r="P28" s="5" t="e">
        <f>VLOOKUP(B28,Import!A$1:B$20000,2,FALSE)</f>
        <v>#N/A</v>
      </c>
      <c r="Q28" s="6" t="s">
        <v>311</v>
      </c>
      <c r="R28" s="9" t="e">
        <f>VLOOKUP(S28,Import!A$1:B$20000,2,FALSE)</f>
        <v>#N/A</v>
      </c>
      <c r="S28" s="10" t="str">
        <f t="shared" si="0"/>
        <v>8_X_C853_X_X_X_5J_N_V_M_A</v>
      </c>
      <c r="T28" s="4">
        <v>1000</v>
      </c>
    </row>
    <row r="29" spans="1:20" ht="12">
      <c r="A29" s="7">
        <f>IF(ISBLANK(Inm_19964),"",$T$29*Inm_19964)</f>
      </c>
      <c r="B29" s="7">
        <v>19964</v>
      </c>
      <c r="C29" s="8" t="s">
        <v>388</v>
      </c>
      <c r="D29" s="218" t="s">
        <v>389</v>
      </c>
      <c r="E29" s="4">
        <v>8</v>
      </c>
      <c r="F29" s="4" t="s">
        <v>305</v>
      </c>
      <c r="G29" s="4" t="s">
        <v>390</v>
      </c>
      <c r="H29" s="4" t="s">
        <v>305</v>
      </c>
      <c r="I29" s="4" t="s">
        <v>305</v>
      </c>
      <c r="J29" s="4" t="s">
        <v>305</v>
      </c>
      <c r="K29" s="4" t="s">
        <v>306</v>
      </c>
      <c r="L29" s="4" t="s">
        <v>307</v>
      </c>
      <c r="M29" s="4" t="s">
        <v>308</v>
      </c>
      <c r="N29" s="4" t="s">
        <v>309</v>
      </c>
      <c r="O29" s="4" t="s">
        <v>310</v>
      </c>
      <c r="P29" s="5" t="e">
        <f>VLOOKUP(B29,Import!A$1:B$20000,2,FALSE)</f>
        <v>#N/A</v>
      </c>
      <c r="Q29" s="6" t="s">
        <v>311</v>
      </c>
      <c r="R29" s="9" t="e">
        <f>VLOOKUP(S29,Import!A$1:B$20000,2,FALSE)</f>
        <v>#N/A</v>
      </c>
      <c r="S29" s="10" t="str">
        <f t="shared" si="0"/>
        <v>8_X_C854_X_X_X_5J_N_V_M_A</v>
      </c>
      <c r="T29" s="4">
        <v>1000</v>
      </c>
    </row>
    <row r="30" spans="1:20" ht="12">
      <c r="A30" s="7">
        <f>IF(ISBLANK(Inm_19963),"",$T$30*Inm_19963)</f>
      </c>
      <c r="B30" s="7">
        <v>19963</v>
      </c>
      <c r="C30" s="8" t="s">
        <v>391</v>
      </c>
      <c r="D30" s="218" t="s">
        <v>392</v>
      </c>
      <c r="E30" s="4">
        <v>8</v>
      </c>
      <c r="F30" s="4" t="s">
        <v>305</v>
      </c>
      <c r="G30" s="4" t="s">
        <v>393</v>
      </c>
      <c r="H30" s="4" t="s">
        <v>305</v>
      </c>
      <c r="I30" s="4" t="s">
        <v>305</v>
      </c>
      <c r="J30" s="4" t="s">
        <v>305</v>
      </c>
      <c r="K30" s="4" t="s">
        <v>306</v>
      </c>
      <c r="L30" s="4" t="s">
        <v>307</v>
      </c>
      <c r="M30" s="4" t="s">
        <v>308</v>
      </c>
      <c r="N30" s="4" t="s">
        <v>309</v>
      </c>
      <c r="O30" s="4" t="s">
        <v>310</v>
      </c>
      <c r="P30" s="5" t="e">
        <f>VLOOKUP(B30,Import!A$1:B$20000,2,FALSE)</f>
        <v>#N/A</v>
      </c>
      <c r="Q30" s="6" t="s">
        <v>311</v>
      </c>
      <c r="R30" s="9" t="e">
        <f>VLOOKUP(S30,Import!A$1:B$20000,2,FALSE)</f>
        <v>#N/A</v>
      </c>
      <c r="S30" s="10" t="str">
        <f t="shared" si="0"/>
        <v>8_X_C855_X_X_X_5J_N_V_M_A</v>
      </c>
      <c r="T30" s="4">
        <v>1000</v>
      </c>
    </row>
    <row r="31" spans="1:20" ht="12">
      <c r="A31" s="7">
        <f>IF(ISBLANK(Inm_19962),"",$T$31*Inm_19962)</f>
      </c>
      <c r="B31" s="7">
        <v>19962</v>
      </c>
      <c r="C31" s="8" t="s">
        <v>394</v>
      </c>
      <c r="D31" s="218" t="s">
        <v>395</v>
      </c>
      <c r="E31" s="4">
        <v>8</v>
      </c>
      <c r="F31" s="4" t="s">
        <v>305</v>
      </c>
      <c r="G31" s="4" t="s">
        <v>396</v>
      </c>
      <c r="H31" s="4" t="s">
        <v>305</v>
      </c>
      <c r="I31" s="4" t="s">
        <v>305</v>
      </c>
      <c r="J31" s="4" t="s">
        <v>305</v>
      </c>
      <c r="K31" s="4" t="s">
        <v>306</v>
      </c>
      <c r="L31" s="4" t="s">
        <v>307</v>
      </c>
      <c r="M31" s="4" t="s">
        <v>308</v>
      </c>
      <c r="N31" s="4" t="s">
        <v>309</v>
      </c>
      <c r="O31" s="4" t="s">
        <v>310</v>
      </c>
      <c r="P31" s="5" t="e">
        <f>VLOOKUP(B31,Import!A$1:B$20000,2,FALSE)</f>
        <v>#N/A</v>
      </c>
      <c r="Q31" s="6" t="s">
        <v>311</v>
      </c>
      <c r="R31" s="9" t="e">
        <f>VLOOKUP(S31,Import!A$1:B$20000,2,FALSE)</f>
        <v>#N/A</v>
      </c>
      <c r="S31" s="10" t="str">
        <f t="shared" si="0"/>
        <v>8_X_C856_X_X_X_5J_N_V_M_A</v>
      </c>
      <c r="T31" s="4">
        <v>1000</v>
      </c>
    </row>
    <row r="32" spans="1:20" ht="12">
      <c r="A32" s="7">
        <f>IF(ISBLANK(Inm_19961),"",$T$32*Inm_19961)</f>
      </c>
      <c r="B32" s="7">
        <v>19961</v>
      </c>
      <c r="C32" s="8" t="s">
        <v>397</v>
      </c>
      <c r="D32" s="218" t="s">
        <v>398</v>
      </c>
      <c r="E32" s="4">
        <v>8</v>
      </c>
      <c r="F32" s="4" t="s">
        <v>305</v>
      </c>
      <c r="G32" s="4" t="s">
        <v>399</v>
      </c>
      <c r="H32" s="4" t="s">
        <v>305</v>
      </c>
      <c r="I32" s="4" t="s">
        <v>305</v>
      </c>
      <c r="J32" s="4" t="s">
        <v>305</v>
      </c>
      <c r="K32" s="4" t="s">
        <v>306</v>
      </c>
      <c r="L32" s="4" t="s">
        <v>307</v>
      </c>
      <c r="M32" s="4" t="s">
        <v>308</v>
      </c>
      <c r="N32" s="4" t="s">
        <v>309</v>
      </c>
      <c r="O32" s="4" t="s">
        <v>310</v>
      </c>
      <c r="P32" s="5" t="e">
        <f>VLOOKUP(B32,Import!A$1:B$20000,2,FALSE)</f>
        <v>#N/A</v>
      </c>
      <c r="Q32" s="6" t="s">
        <v>311</v>
      </c>
      <c r="R32" s="9" t="e">
        <f>VLOOKUP(S32,Import!A$1:B$20000,2,FALSE)</f>
        <v>#N/A</v>
      </c>
      <c r="S32" s="10" t="str">
        <f t="shared" si="0"/>
        <v>8_X_C857_X_X_X_5J_N_V_M_A</v>
      </c>
      <c r="T32" s="4">
        <v>1000</v>
      </c>
    </row>
    <row r="33" spans="1:20" ht="12">
      <c r="A33" s="7">
        <f>IF(ISBLANK(Inm_19960),"",$T$33*Inm_19960)</f>
      </c>
      <c r="B33" s="7">
        <v>19960</v>
      </c>
      <c r="C33" s="8" t="s">
        <v>400</v>
      </c>
      <c r="D33" s="218" t="s">
        <v>401</v>
      </c>
      <c r="E33" s="4">
        <v>8</v>
      </c>
      <c r="F33" s="4" t="s">
        <v>305</v>
      </c>
      <c r="G33" s="4" t="s">
        <v>402</v>
      </c>
      <c r="H33" s="4" t="s">
        <v>305</v>
      </c>
      <c r="I33" s="4" t="s">
        <v>305</v>
      </c>
      <c r="J33" s="4" t="s">
        <v>305</v>
      </c>
      <c r="K33" s="4" t="s">
        <v>306</v>
      </c>
      <c r="L33" s="4" t="s">
        <v>307</v>
      </c>
      <c r="M33" s="4" t="s">
        <v>308</v>
      </c>
      <c r="N33" s="4" t="s">
        <v>309</v>
      </c>
      <c r="O33" s="4" t="s">
        <v>310</v>
      </c>
      <c r="P33" s="5" t="e">
        <f>VLOOKUP(B33,Import!A$1:B$20000,2,FALSE)</f>
        <v>#N/A</v>
      </c>
      <c r="Q33" s="6" t="s">
        <v>311</v>
      </c>
      <c r="R33" s="9" t="e">
        <f>VLOOKUP(S33,Import!A$1:B$20000,2,FALSE)</f>
        <v>#N/A</v>
      </c>
      <c r="S33" s="10" t="str">
        <f t="shared" si="0"/>
        <v>8_X_C860_X_X_X_5J_N_V_M_A</v>
      </c>
      <c r="T33" s="4">
        <v>1000</v>
      </c>
    </row>
    <row r="34" spans="1:20" ht="12">
      <c r="A34" s="7">
        <f>IF(ISBLANK(Inm_19959),"",$T$34*Inm_19959)</f>
      </c>
      <c r="B34" s="7">
        <v>19959</v>
      </c>
      <c r="C34" s="8" t="s">
        <v>403</v>
      </c>
      <c r="D34" s="218" t="s">
        <v>404</v>
      </c>
      <c r="E34" s="4">
        <v>8</v>
      </c>
      <c r="F34" s="4" t="s">
        <v>305</v>
      </c>
      <c r="G34" s="4" t="s">
        <v>405</v>
      </c>
      <c r="H34" s="4" t="s">
        <v>305</v>
      </c>
      <c r="I34" s="4" t="s">
        <v>305</v>
      </c>
      <c r="J34" s="4" t="s">
        <v>305</v>
      </c>
      <c r="K34" s="4" t="s">
        <v>306</v>
      </c>
      <c r="L34" s="4" t="s">
        <v>307</v>
      </c>
      <c r="M34" s="4" t="s">
        <v>308</v>
      </c>
      <c r="N34" s="4" t="s">
        <v>309</v>
      </c>
      <c r="O34" s="4" t="s">
        <v>310</v>
      </c>
      <c r="P34" s="5" t="e">
        <f>VLOOKUP(B34,Import!A$1:B$20000,2,FALSE)</f>
        <v>#N/A</v>
      </c>
      <c r="Q34" s="6" t="s">
        <v>311</v>
      </c>
      <c r="R34" s="9" t="e">
        <f>VLOOKUP(S34,Import!A$1:B$20000,2,FALSE)</f>
        <v>#N/A</v>
      </c>
      <c r="S34" s="10" t="str">
        <f aca="true" t="shared" si="1" ref="S34:S65">CONCATENATE(E34,"_",F34,"_",G34,"_",H34,"_",I34,"_",J34,"_",K34,"_",L34,"_",M34,"_",N34,"_",O34)</f>
        <v>8_X_C861_X_X_X_5J_N_V_M_A</v>
      </c>
      <c r="T34" s="4">
        <v>1000</v>
      </c>
    </row>
    <row r="35" spans="1:20" ht="12">
      <c r="A35" s="7">
        <f>IF(ISBLANK(Inm_19958),"",$T$35*Inm_19958)</f>
      </c>
      <c r="B35" s="7">
        <v>19958</v>
      </c>
      <c r="C35" s="8" t="s">
        <v>406</v>
      </c>
      <c r="D35" s="218" t="s">
        <v>407</v>
      </c>
      <c r="E35" s="4">
        <v>8</v>
      </c>
      <c r="F35" s="4" t="s">
        <v>305</v>
      </c>
      <c r="G35" s="4" t="s">
        <v>408</v>
      </c>
      <c r="H35" s="4" t="s">
        <v>305</v>
      </c>
      <c r="I35" s="4" t="s">
        <v>305</v>
      </c>
      <c r="J35" s="4" t="s">
        <v>305</v>
      </c>
      <c r="K35" s="4" t="s">
        <v>306</v>
      </c>
      <c r="L35" s="4" t="s">
        <v>307</v>
      </c>
      <c r="M35" s="4" t="s">
        <v>308</v>
      </c>
      <c r="N35" s="4" t="s">
        <v>309</v>
      </c>
      <c r="O35" s="4" t="s">
        <v>310</v>
      </c>
      <c r="P35" s="5" t="e">
        <f>VLOOKUP(B35,Import!A$1:B$20000,2,FALSE)</f>
        <v>#N/A</v>
      </c>
      <c r="Q35" s="6" t="s">
        <v>311</v>
      </c>
      <c r="R35" s="9" t="e">
        <f>VLOOKUP(S35,Import!A$1:B$20000,2,FALSE)</f>
        <v>#N/A</v>
      </c>
      <c r="S35" s="10" t="str">
        <f t="shared" si="1"/>
        <v>8_X_C862_X_X_X_5J_N_V_M_A</v>
      </c>
      <c r="T35" s="4">
        <v>1000</v>
      </c>
    </row>
    <row r="36" spans="1:20" ht="12">
      <c r="A36" s="7">
        <f>IF(ISBLANK(Inm_19957),"",$T$36*Inm_19957)</f>
      </c>
      <c r="B36" s="7">
        <v>19957</v>
      </c>
      <c r="C36" s="8" t="s">
        <v>409</v>
      </c>
      <c r="D36" s="218" t="s">
        <v>410</v>
      </c>
      <c r="E36" s="4">
        <v>8</v>
      </c>
      <c r="F36" s="4" t="s">
        <v>305</v>
      </c>
      <c r="G36" s="4" t="s">
        <v>411</v>
      </c>
      <c r="H36" s="4" t="s">
        <v>305</v>
      </c>
      <c r="I36" s="4" t="s">
        <v>305</v>
      </c>
      <c r="J36" s="4" t="s">
        <v>305</v>
      </c>
      <c r="K36" s="4" t="s">
        <v>306</v>
      </c>
      <c r="L36" s="4" t="s">
        <v>307</v>
      </c>
      <c r="M36" s="4" t="s">
        <v>308</v>
      </c>
      <c r="N36" s="4" t="s">
        <v>309</v>
      </c>
      <c r="O36" s="4" t="s">
        <v>310</v>
      </c>
      <c r="P36" s="5" t="e">
        <f>VLOOKUP(B36,Import!A$1:B$20000,2,FALSE)</f>
        <v>#N/A</v>
      </c>
      <c r="Q36" s="6" t="s">
        <v>311</v>
      </c>
      <c r="R36" s="9" t="e">
        <f>VLOOKUP(S36,Import!A$1:B$20000,2,FALSE)</f>
        <v>#N/A</v>
      </c>
      <c r="S36" s="10" t="str">
        <f t="shared" si="1"/>
        <v>8_X_C870_X_X_X_5J_N_V_M_A</v>
      </c>
      <c r="T36" s="4">
        <v>1000</v>
      </c>
    </row>
    <row r="37" spans="1:20" ht="12">
      <c r="A37" s="7">
        <f>IF(ISBLANK(Inm_20008),"",$T$37*Inm_20008)</f>
      </c>
      <c r="B37" s="7">
        <v>20008</v>
      </c>
      <c r="C37" s="8" t="s">
        <v>412</v>
      </c>
      <c r="D37" s="218" t="s">
        <v>413</v>
      </c>
      <c r="E37" s="4">
        <v>5</v>
      </c>
      <c r="F37" s="4" t="s">
        <v>310</v>
      </c>
      <c r="G37" s="4" t="s">
        <v>414</v>
      </c>
      <c r="H37" s="4" t="s">
        <v>305</v>
      </c>
      <c r="I37" s="4" t="s">
        <v>305</v>
      </c>
      <c r="J37" s="4" t="s">
        <v>305</v>
      </c>
      <c r="K37" s="4" t="s">
        <v>306</v>
      </c>
      <c r="L37" s="4" t="s">
        <v>307</v>
      </c>
      <c r="M37" s="4" t="s">
        <v>308</v>
      </c>
      <c r="N37" s="4" t="s">
        <v>309</v>
      </c>
      <c r="O37" s="4" t="s">
        <v>310</v>
      </c>
      <c r="P37" s="5" t="e">
        <f>VLOOKUP(B37,Import!A$1:B$20000,2,FALSE)</f>
        <v>#N/A</v>
      </c>
      <c r="Q37" s="6" t="s">
        <v>311</v>
      </c>
      <c r="R37" s="9" t="e">
        <f>VLOOKUP(S37,Import!A$1:B$20000,2,FALSE)</f>
        <v>#N/A</v>
      </c>
      <c r="S37" s="10" t="str">
        <f t="shared" si="1"/>
        <v>5_A_C101_X_X_X_5J_N_V_M_A</v>
      </c>
      <c r="T37" s="4">
        <v>1000</v>
      </c>
    </row>
    <row r="38" spans="1:20" ht="12">
      <c r="A38" s="7">
        <f>IF(ISBLANK(Inm_20058),"",$T$38*Inm_20058)</f>
      </c>
      <c r="B38" s="7">
        <v>20058</v>
      </c>
      <c r="C38" s="8" t="s">
        <v>415</v>
      </c>
      <c r="D38" s="218" t="s">
        <v>416</v>
      </c>
      <c r="E38" s="4">
        <v>5</v>
      </c>
      <c r="F38" s="4" t="s">
        <v>310</v>
      </c>
      <c r="G38" s="4" t="s">
        <v>417</v>
      </c>
      <c r="H38" s="4" t="s">
        <v>305</v>
      </c>
      <c r="I38" s="4" t="s">
        <v>305</v>
      </c>
      <c r="J38" s="4" t="s">
        <v>305</v>
      </c>
      <c r="K38" s="4" t="s">
        <v>306</v>
      </c>
      <c r="L38" s="4" t="s">
        <v>307</v>
      </c>
      <c r="M38" s="4" t="s">
        <v>308</v>
      </c>
      <c r="N38" s="4" t="s">
        <v>309</v>
      </c>
      <c r="O38" s="4" t="s">
        <v>310</v>
      </c>
      <c r="P38" s="5" t="e">
        <f>VLOOKUP(B38,Import!A$1:B$20000,2,FALSE)</f>
        <v>#N/A</v>
      </c>
      <c r="Q38" s="6" t="s">
        <v>311</v>
      </c>
      <c r="R38" s="9" t="e">
        <f>VLOOKUP(S38,Import!A$1:B$20000,2,FALSE)</f>
        <v>#N/A</v>
      </c>
      <c r="S38" s="10" t="str">
        <f t="shared" si="1"/>
        <v>5_A_C111_X_X_X_5J_N_V_M_A</v>
      </c>
      <c r="T38" s="4">
        <v>1000</v>
      </c>
    </row>
    <row r="39" spans="1:20" ht="12">
      <c r="A39" s="7">
        <f>IF(ISBLANK(Inm_20009),"",$T$39*Inm_20009)</f>
      </c>
      <c r="B39" s="7">
        <v>20009</v>
      </c>
      <c r="C39" s="8" t="s">
        <v>418</v>
      </c>
      <c r="D39" s="218" t="s">
        <v>419</v>
      </c>
      <c r="E39" s="4">
        <v>5</v>
      </c>
      <c r="F39" s="4" t="s">
        <v>310</v>
      </c>
      <c r="G39" s="4" t="s">
        <v>420</v>
      </c>
      <c r="H39" s="4" t="s">
        <v>305</v>
      </c>
      <c r="I39" s="4" t="s">
        <v>305</v>
      </c>
      <c r="J39" s="4" t="s">
        <v>305</v>
      </c>
      <c r="K39" s="4" t="s">
        <v>306</v>
      </c>
      <c r="L39" s="4" t="s">
        <v>307</v>
      </c>
      <c r="M39" s="4" t="s">
        <v>308</v>
      </c>
      <c r="N39" s="4" t="s">
        <v>309</v>
      </c>
      <c r="O39" s="4" t="s">
        <v>310</v>
      </c>
      <c r="P39" s="5" t="e">
        <f>VLOOKUP(B39,Import!A$1:B$20000,2,FALSE)</f>
        <v>#N/A</v>
      </c>
      <c r="Q39" s="6" t="s">
        <v>311</v>
      </c>
      <c r="R39" s="9" t="e">
        <f>VLOOKUP(S39,Import!A$1:B$20000,2,FALSE)</f>
        <v>#N/A</v>
      </c>
      <c r="S39" s="10" t="str">
        <f t="shared" si="1"/>
        <v>5_A_C112_X_X_X_5J_N_V_M_A</v>
      </c>
      <c r="T39" s="4">
        <v>1000</v>
      </c>
    </row>
    <row r="40" spans="1:20" ht="12">
      <c r="A40" s="7">
        <f>IF(ISBLANK(Inm_20010),"",$T$40*Inm_20010)</f>
      </c>
      <c r="B40" s="7">
        <v>20010</v>
      </c>
      <c r="C40" s="8" t="s">
        <v>421</v>
      </c>
      <c r="D40" s="218" t="s">
        <v>422</v>
      </c>
      <c r="E40" s="4">
        <v>5</v>
      </c>
      <c r="F40" s="4" t="s">
        <v>310</v>
      </c>
      <c r="G40" s="4" t="s">
        <v>423</v>
      </c>
      <c r="H40" s="4" t="s">
        <v>305</v>
      </c>
      <c r="I40" s="4" t="s">
        <v>305</v>
      </c>
      <c r="J40" s="4" t="s">
        <v>305</v>
      </c>
      <c r="K40" s="4" t="s">
        <v>306</v>
      </c>
      <c r="L40" s="4" t="s">
        <v>307</v>
      </c>
      <c r="M40" s="4" t="s">
        <v>308</v>
      </c>
      <c r="N40" s="4" t="s">
        <v>309</v>
      </c>
      <c r="O40" s="4" t="s">
        <v>310</v>
      </c>
      <c r="P40" s="5" t="e">
        <f>VLOOKUP(B40,Import!A$1:B$20000,2,FALSE)</f>
        <v>#N/A</v>
      </c>
      <c r="Q40" s="6" t="s">
        <v>311</v>
      </c>
      <c r="R40" s="9" t="e">
        <f>VLOOKUP(S40,Import!A$1:B$20000,2,FALSE)</f>
        <v>#N/A</v>
      </c>
      <c r="S40" s="10" t="str">
        <f t="shared" si="1"/>
        <v>5_A_C121_X_X_X_5J_N_V_M_A</v>
      </c>
      <c r="T40" s="4">
        <v>1000</v>
      </c>
    </row>
    <row r="41" spans="1:20" ht="12">
      <c r="A41" s="7">
        <f>IF(ISBLANK(Inm_20011),"",$T$41*Inm_20011)</f>
      </c>
      <c r="B41" s="7">
        <v>20011</v>
      </c>
      <c r="C41" s="8" t="s">
        <v>424</v>
      </c>
      <c r="D41" s="218" t="s">
        <v>425</v>
      </c>
      <c r="E41" s="4">
        <v>5</v>
      </c>
      <c r="F41" s="4" t="s">
        <v>310</v>
      </c>
      <c r="G41" s="4" t="s">
        <v>426</v>
      </c>
      <c r="H41" s="4" t="s">
        <v>305</v>
      </c>
      <c r="I41" s="4" t="s">
        <v>305</v>
      </c>
      <c r="J41" s="4" t="s">
        <v>305</v>
      </c>
      <c r="K41" s="4" t="s">
        <v>306</v>
      </c>
      <c r="L41" s="4" t="s">
        <v>427</v>
      </c>
      <c r="M41" s="4" t="s">
        <v>308</v>
      </c>
      <c r="N41" s="4" t="s">
        <v>309</v>
      </c>
      <c r="O41" s="4" t="s">
        <v>310</v>
      </c>
      <c r="P41" s="5" t="e">
        <f>VLOOKUP(B41,Import!A$1:B$20000,2,FALSE)</f>
        <v>#N/A</v>
      </c>
      <c r="Q41" s="6" t="s">
        <v>311</v>
      </c>
      <c r="R41" s="9" t="e">
        <f>VLOOKUP(S41,Import!A$1:B$20000,2,FALSE)</f>
        <v>#N/A</v>
      </c>
      <c r="S41" s="10" t="str">
        <f t="shared" si="1"/>
        <v>5_A_C130_X_X_X_5J_N411_V_M_A</v>
      </c>
      <c r="T41" s="4">
        <v>1000</v>
      </c>
    </row>
    <row r="42" spans="1:20" ht="12">
      <c r="A42" s="7">
        <f>IF(ISBLANK(Inm_20012),"",$T$42*Inm_20012)</f>
      </c>
      <c r="B42" s="7">
        <v>20012</v>
      </c>
      <c r="C42" s="8" t="s">
        <v>428</v>
      </c>
      <c r="D42" s="218" t="s">
        <v>429</v>
      </c>
      <c r="E42" s="4">
        <v>5</v>
      </c>
      <c r="F42" s="4" t="s">
        <v>310</v>
      </c>
      <c r="G42" s="4" t="s">
        <v>426</v>
      </c>
      <c r="H42" s="4" t="s">
        <v>305</v>
      </c>
      <c r="I42" s="4" t="s">
        <v>305</v>
      </c>
      <c r="J42" s="4" t="s">
        <v>305</v>
      </c>
      <c r="K42" s="4" t="s">
        <v>306</v>
      </c>
      <c r="L42" s="4" t="s">
        <v>430</v>
      </c>
      <c r="M42" s="4" t="s">
        <v>308</v>
      </c>
      <c r="N42" s="4" t="s">
        <v>309</v>
      </c>
      <c r="O42" s="4" t="s">
        <v>310</v>
      </c>
      <c r="P42" s="5" t="e">
        <f>VLOOKUP(B42,Import!A$1:B$20000,2,FALSE)</f>
        <v>#N/A</v>
      </c>
      <c r="Q42" s="6" t="s">
        <v>311</v>
      </c>
      <c r="R42" s="9" t="e">
        <f>VLOOKUP(S42,Import!A$1:B$20000,2,FALSE)</f>
        <v>#N/A</v>
      </c>
      <c r="S42" s="10" t="str">
        <f t="shared" si="1"/>
        <v>5_A_C130_X_X_X_5J_N412_V_M_A</v>
      </c>
      <c r="T42" s="4">
        <v>1000</v>
      </c>
    </row>
    <row r="43" spans="1:20" ht="12">
      <c r="A43" s="7">
        <f>IF(ISBLANK(Inm_20013),"",$T$43*Inm_20013)</f>
      </c>
      <c r="B43" s="7">
        <v>20013</v>
      </c>
      <c r="C43" s="8" t="s">
        <v>431</v>
      </c>
      <c r="D43" s="218" t="s">
        <v>432</v>
      </c>
      <c r="E43" s="4">
        <v>5</v>
      </c>
      <c r="F43" s="4" t="s">
        <v>310</v>
      </c>
      <c r="G43" s="4" t="s">
        <v>426</v>
      </c>
      <c r="H43" s="4" t="s">
        <v>305</v>
      </c>
      <c r="I43" s="4" t="s">
        <v>305</v>
      </c>
      <c r="J43" s="4" t="s">
        <v>305</v>
      </c>
      <c r="K43" s="4" t="s">
        <v>306</v>
      </c>
      <c r="L43" s="4" t="s">
        <v>433</v>
      </c>
      <c r="M43" s="4" t="s">
        <v>308</v>
      </c>
      <c r="N43" s="4" t="s">
        <v>309</v>
      </c>
      <c r="O43" s="4" t="s">
        <v>310</v>
      </c>
      <c r="P43" s="5" t="e">
        <f>VLOOKUP(B43,Import!A$1:B$20000,2,FALSE)</f>
        <v>#N/A</v>
      </c>
      <c r="Q43" s="6" t="s">
        <v>311</v>
      </c>
      <c r="R43" s="9" t="e">
        <f>VLOOKUP(S43,Import!A$1:B$20000,2,FALSE)</f>
        <v>#N/A</v>
      </c>
      <c r="S43" s="10" t="str">
        <f t="shared" si="1"/>
        <v>5_A_C130_X_X_X_5J_N413_V_M_A</v>
      </c>
      <c r="T43" s="4">
        <v>1000</v>
      </c>
    </row>
    <row r="44" spans="1:20" ht="12">
      <c r="A44" s="7">
        <f>IF(ISBLANK(Inm_20057),"",$T$44*Inm_20057)</f>
      </c>
      <c r="B44" s="7">
        <v>20057</v>
      </c>
      <c r="C44" s="8" t="s">
        <v>434</v>
      </c>
      <c r="D44" s="218" t="s">
        <v>435</v>
      </c>
      <c r="E44" s="4">
        <v>5</v>
      </c>
      <c r="F44" s="4" t="s">
        <v>310</v>
      </c>
      <c r="G44" s="4" t="s">
        <v>426</v>
      </c>
      <c r="H44" s="4" t="s">
        <v>305</v>
      </c>
      <c r="I44" s="4" t="s">
        <v>305</v>
      </c>
      <c r="J44" s="4" t="s">
        <v>305</v>
      </c>
      <c r="K44" s="4" t="s">
        <v>436</v>
      </c>
      <c r="L44" s="4" t="s">
        <v>437</v>
      </c>
      <c r="M44" s="4" t="s">
        <v>308</v>
      </c>
      <c r="N44" s="4" t="s">
        <v>309</v>
      </c>
      <c r="O44" s="4" t="s">
        <v>310</v>
      </c>
      <c r="P44" s="5" t="e">
        <f>VLOOKUP(B44,Import!A$1:B$20000,2,FALSE)</f>
        <v>#N/A</v>
      </c>
      <c r="Q44" s="6" t="s">
        <v>311</v>
      </c>
      <c r="R44" s="9" t="e">
        <f>VLOOKUP(S44,Import!A$1:B$20000,2,FALSE)</f>
        <v>#N/A</v>
      </c>
      <c r="S44" s="10" t="str">
        <f t="shared" si="1"/>
        <v>5_A_C130_X_X_X_3P_N414_V_M_A</v>
      </c>
      <c r="T44" s="4">
        <v>1000</v>
      </c>
    </row>
    <row r="45" spans="1:20" ht="12">
      <c r="A45" s="7">
        <f>IF(ISBLANK(Inm_20056),"",$T$45*Inm_20056)</f>
      </c>
      <c r="B45" s="7">
        <v>20056</v>
      </c>
      <c r="C45" s="8" t="s">
        <v>438</v>
      </c>
      <c r="D45" s="218" t="s">
        <v>439</v>
      </c>
      <c r="E45" s="4">
        <v>5</v>
      </c>
      <c r="F45" s="4" t="s">
        <v>310</v>
      </c>
      <c r="G45" s="4" t="s">
        <v>440</v>
      </c>
      <c r="H45" s="4" t="s">
        <v>305</v>
      </c>
      <c r="I45" s="4" t="s">
        <v>305</v>
      </c>
      <c r="J45" s="4" t="s">
        <v>305</v>
      </c>
      <c r="K45" s="4" t="s">
        <v>441</v>
      </c>
      <c r="L45" s="4" t="s">
        <v>442</v>
      </c>
      <c r="M45" s="4" t="s">
        <v>308</v>
      </c>
      <c r="N45" s="4" t="s">
        <v>309</v>
      </c>
      <c r="O45" s="4" t="s">
        <v>310</v>
      </c>
      <c r="P45" s="5" t="e">
        <f>VLOOKUP(B45,Import!A$1:B$20000,2,FALSE)</f>
        <v>#N/A</v>
      </c>
      <c r="Q45" s="6" t="s">
        <v>311</v>
      </c>
      <c r="R45" s="9" t="e">
        <f>VLOOKUP(S45,Import!A$1:B$20000,2,FALSE)</f>
        <v>#N/A</v>
      </c>
      <c r="S45" s="10" t="str">
        <f t="shared" si="1"/>
        <v>5_A_C135_X_X_X_1E_N1A1_V_M_A</v>
      </c>
      <c r="T45" s="4">
        <v>1000</v>
      </c>
    </row>
    <row r="46" spans="1:20" ht="12">
      <c r="A46" s="7">
        <f>IF(ISBLANK(Inm_20055),"",$T$46*Inm_20055)</f>
      </c>
      <c r="B46" s="7">
        <v>20055</v>
      </c>
      <c r="C46" s="8" t="s">
        <v>443</v>
      </c>
      <c r="D46" s="218" t="s">
        <v>444</v>
      </c>
      <c r="E46" s="4">
        <v>5</v>
      </c>
      <c r="F46" s="4" t="s">
        <v>310</v>
      </c>
      <c r="G46" s="4" t="s">
        <v>440</v>
      </c>
      <c r="H46" s="4" t="s">
        <v>305</v>
      </c>
      <c r="I46" s="4" t="s">
        <v>305</v>
      </c>
      <c r="J46" s="4" t="s">
        <v>305</v>
      </c>
      <c r="K46" s="4" t="s">
        <v>441</v>
      </c>
      <c r="L46" s="4" t="s">
        <v>445</v>
      </c>
      <c r="M46" s="4" t="s">
        <v>308</v>
      </c>
      <c r="N46" s="4" t="s">
        <v>309</v>
      </c>
      <c r="O46" s="4" t="s">
        <v>310</v>
      </c>
      <c r="P46" s="5" t="e">
        <f>VLOOKUP(B46,Import!A$1:B$20000,2,FALSE)</f>
        <v>#N/A</v>
      </c>
      <c r="Q46" s="6" t="s">
        <v>311</v>
      </c>
      <c r="R46" s="9" t="e">
        <f>VLOOKUP(S46,Import!A$1:B$20000,2,FALSE)</f>
        <v>#N/A</v>
      </c>
      <c r="S46" s="10" t="str">
        <f t="shared" si="1"/>
        <v>5_A_C135_X_X_X_1E_N1A11_V_M_A</v>
      </c>
      <c r="T46" s="4">
        <v>1000</v>
      </c>
    </row>
    <row r="47" spans="1:20" ht="12">
      <c r="A47" s="7">
        <f>IF(ISBLANK(Inm_20054),"",$T$47*Inm_20054)</f>
      </c>
      <c r="B47" s="7">
        <v>20054</v>
      </c>
      <c r="C47" s="8" t="s">
        <v>446</v>
      </c>
      <c r="D47" s="218" t="s">
        <v>447</v>
      </c>
      <c r="E47" s="4">
        <v>5</v>
      </c>
      <c r="F47" s="4" t="s">
        <v>310</v>
      </c>
      <c r="G47" s="4" t="s">
        <v>440</v>
      </c>
      <c r="H47" s="4" t="s">
        <v>305</v>
      </c>
      <c r="I47" s="4" t="s">
        <v>305</v>
      </c>
      <c r="J47" s="4" t="s">
        <v>305</v>
      </c>
      <c r="K47" s="4" t="s">
        <v>436</v>
      </c>
      <c r="L47" s="4" t="s">
        <v>307</v>
      </c>
      <c r="M47" s="4" t="s">
        <v>308</v>
      </c>
      <c r="N47" s="4" t="s">
        <v>309</v>
      </c>
      <c r="O47" s="4" t="s">
        <v>310</v>
      </c>
      <c r="P47" s="5" t="e">
        <f>VLOOKUP(B47,Import!A$1:B$20000,2,FALSE)</f>
        <v>#N/A</v>
      </c>
      <c r="Q47" s="6" t="s">
        <v>311</v>
      </c>
      <c r="R47" s="9" t="e">
        <f>VLOOKUP(S47,Import!A$1:B$20000,2,FALSE)</f>
        <v>#N/A</v>
      </c>
      <c r="S47" s="10" t="str">
        <f t="shared" si="1"/>
        <v>5_A_C135_X_X_X_3P_N_V_M_A</v>
      </c>
      <c r="T47" s="4">
        <v>1000</v>
      </c>
    </row>
    <row r="48" spans="1:20" ht="12">
      <c r="A48" s="7">
        <f>IF(ISBLANK(Inm_20053),"",$T$48*Inm_20053)</f>
      </c>
      <c r="B48" s="7">
        <v>20053</v>
      </c>
      <c r="C48" s="8" t="s">
        <v>448</v>
      </c>
      <c r="D48" s="218" t="s">
        <v>449</v>
      </c>
      <c r="E48" s="4">
        <v>5</v>
      </c>
      <c r="F48" s="4" t="s">
        <v>310</v>
      </c>
      <c r="G48" s="4" t="s">
        <v>450</v>
      </c>
      <c r="H48" s="4" t="s">
        <v>305</v>
      </c>
      <c r="I48" s="4" t="s">
        <v>305</v>
      </c>
      <c r="J48" s="4" t="s">
        <v>305</v>
      </c>
      <c r="K48" s="4" t="s">
        <v>306</v>
      </c>
      <c r="L48" s="4" t="s">
        <v>307</v>
      </c>
      <c r="M48" s="4" t="s">
        <v>308</v>
      </c>
      <c r="N48" s="4" t="s">
        <v>309</v>
      </c>
      <c r="O48" s="4" t="s">
        <v>310</v>
      </c>
      <c r="P48" s="5" t="e">
        <f>VLOOKUP(B48,Import!A$1:B$20000,2,FALSE)</f>
        <v>#N/A</v>
      </c>
      <c r="Q48" s="6" t="s">
        <v>311</v>
      </c>
      <c r="R48" s="9" t="e">
        <f>VLOOKUP(S48,Import!A$1:B$20000,2,FALSE)</f>
        <v>#N/A</v>
      </c>
      <c r="S48" s="10" t="str">
        <f t="shared" si="1"/>
        <v>5_A_C137_X_X_X_5J_N_V_M_A</v>
      </c>
      <c r="T48" s="4">
        <v>1000</v>
      </c>
    </row>
    <row r="49" spans="1:20" ht="12">
      <c r="A49" s="7">
        <f>IF(ISBLANK(Inm_20052),"",$T$49*Inm_20052)</f>
      </c>
      <c r="B49" s="7">
        <v>20052</v>
      </c>
      <c r="C49" s="8" t="s">
        <v>451</v>
      </c>
      <c r="D49" s="218" t="s">
        <v>452</v>
      </c>
      <c r="E49" s="4">
        <v>5</v>
      </c>
      <c r="F49" s="4" t="s">
        <v>310</v>
      </c>
      <c r="G49" s="4" t="s">
        <v>453</v>
      </c>
      <c r="H49" s="4" t="s">
        <v>305</v>
      </c>
      <c r="I49" s="4" t="s">
        <v>305</v>
      </c>
      <c r="J49" s="4" t="s">
        <v>305</v>
      </c>
      <c r="K49" s="4" t="s">
        <v>306</v>
      </c>
      <c r="L49" s="4" t="s">
        <v>307</v>
      </c>
      <c r="M49" s="4" t="s">
        <v>308</v>
      </c>
      <c r="N49" s="4" t="s">
        <v>309</v>
      </c>
      <c r="O49" s="4" t="s">
        <v>310</v>
      </c>
      <c r="P49" s="5" t="e">
        <f>VLOOKUP(B49,Import!A$1:B$20000,2,FALSE)</f>
        <v>#N/A</v>
      </c>
      <c r="Q49" s="6" t="s">
        <v>311</v>
      </c>
      <c r="R49" s="9" t="e">
        <f>VLOOKUP(S49,Import!A$1:B$20000,2,FALSE)</f>
        <v>#N/A</v>
      </c>
      <c r="S49" s="10" t="str">
        <f t="shared" si="1"/>
        <v>5_A_C141_X_X_X_5J_N_V_M_A</v>
      </c>
      <c r="T49" s="4">
        <v>1000</v>
      </c>
    </row>
    <row r="50" spans="1:20" ht="12">
      <c r="A50" s="7">
        <f>IF(ISBLANK(Inm_20051),"",$T$50*Inm_20051)</f>
      </c>
      <c r="B50" s="7">
        <v>20051</v>
      </c>
      <c r="C50" s="8" t="s">
        <v>454</v>
      </c>
      <c r="D50" s="218" t="s">
        <v>455</v>
      </c>
      <c r="E50" s="4">
        <v>5</v>
      </c>
      <c r="F50" s="4" t="s">
        <v>310</v>
      </c>
      <c r="G50" s="4" t="s">
        <v>456</v>
      </c>
      <c r="H50" s="4" t="s">
        <v>305</v>
      </c>
      <c r="I50" s="4" t="s">
        <v>305</v>
      </c>
      <c r="J50" s="4" t="s">
        <v>305</v>
      </c>
      <c r="K50" s="4" t="s">
        <v>306</v>
      </c>
      <c r="L50" s="4" t="s">
        <v>307</v>
      </c>
      <c r="M50" s="4" t="s">
        <v>308</v>
      </c>
      <c r="N50" s="4" t="s">
        <v>309</v>
      </c>
      <c r="O50" s="4" t="s">
        <v>310</v>
      </c>
      <c r="P50" s="5" t="e">
        <f>VLOOKUP(B50,Import!A$1:B$20000,2,FALSE)</f>
        <v>#N/A</v>
      </c>
      <c r="Q50" s="6" t="s">
        <v>311</v>
      </c>
      <c r="R50" s="9" t="e">
        <f>VLOOKUP(S50,Import!A$1:B$20000,2,FALSE)</f>
        <v>#N/A</v>
      </c>
      <c r="S50" s="10" t="str">
        <f t="shared" si="1"/>
        <v>5_A_C1411_X_X_X_5J_N_V_M_A</v>
      </c>
      <c r="T50" s="4">
        <v>1000</v>
      </c>
    </row>
    <row r="51" spans="1:20" ht="12">
      <c r="A51" s="7">
        <f>IF(ISBLANK(Inm_20050),"",$T$51*Inm_20050)</f>
      </c>
      <c r="B51" s="7">
        <v>20050</v>
      </c>
      <c r="C51" s="8" t="s">
        <v>457</v>
      </c>
      <c r="D51" s="218" t="s">
        <v>458</v>
      </c>
      <c r="E51" s="4">
        <v>5</v>
      </c>
      <c r="F51" s="4" t="s">
        <v>310</v>
      </c>
      <c r="G51" s="4" t="s">
        <v>459</v>
      </c>
      <c r="H51" s="4" t="s">
        <v>305</v>
      </c>
      <c r="I51" s="4" t="s">
        <v>305</v>
      </c>
      <c r="J51" s="4" t="s">
        <v>305</v>
      </c>
      <c r="K51" s="4" t="s">
        <v>306</v>
      </c>
      <c r="L51" s="4" t="s">
        <v>307</v>
      </c>
      <c r="M51" s="4" t="s">
        <v>308</v>
      </c>
      <c r="N51" s="4" t="s">
        <v>309</v>
      </c>
      <c r="O51" s="4" t="s">
        <v>310</v>
      </c>
      <c r="P51" s="5" t="e">
        <f>VLOOKUP(B51,Import!A$1:B$20000,2,FALSE)</f>
        <v>#N/A</v>
      </c>
      <c r="Q51" s="6" t="s">
        <v>311</v>
      </c>
      <c r="R51" s="9" t="e">
        <f>VLOOKUP(S51,Import!A$1:B$20000,2,FALSE)</f>
        <v>#N/A</v>
      </c>
      <c r="S51" s="10" t="str">
        <f t="shared" si="1"/>
        <v>5_A_C151_X_X_X_5J_N_V_M_A</v>
      </c>
      <c r="T51" s="4">
        <v>1000</v>
      </c>
    </row>
    <row r="52" spans="1:20" ht="12">
      <c r="A52" s="7">
        <f>IF(ISBLANK(Inm_20049),"",$T$52*Inm_20049)</f>
      </c>
      <c r="B52" s="7">
        <v>20049</v>
      </c>
      <c r="C52" s="8" t="s">
        <v>460</v>
      </c>
      <c r="D52" s="218" t="s">
        <v>461</v>
      </c>
      <c r="E52" s="4">
        <v>5</v>
      </c>
      <c r="F52" s="4" t="s">
        <v>310</v>
      </c>
      <c r="G52" s="4" t="s">
        <v>462</v>
      </c>
      <c r="H52" s="4" t="s">
        <v>305</v>
      </c>
      <c r="I52" s="4" t="s">
        <v>305</v>
      </c>
      <c r="J52" s="4" t="s">
        <v>305</v>
      </c>
      <c r="K52" s="4" t="s">
        <v>306</v>
      </c>
      <c r="L52" s="4" t="s">
        <v>307</v>
      </c>
      <c r="M52" s="4" t="s">
        <v>308</v>
      </c>
      <c r="N52" s="4" t="s">
        <v>309</v>
      </c>
      <c r="O52" s="4" t="s">
        <v>310</v>
      </c>
      <c r="P52" s="5" t="e">
        <f>VLOOKUP(B52,Import!A$1:B$20000,2,FALSE)</f>
        <v>#N/A</v>
      </c>
      <c r="Q52" s="6" t="s">
        <v>311</v>
      </c>
      <c r="R52" s="9" t="e">
        <f>VLOOKUP(S52,Import!A$1:B$20000,2,FALSE)</f>
        <v>#N/A</v>
      </c>
      <c r="S52" s="10" t="str">
        <f t="shared" si="1"/>
        <v>5_A_C152_X_X_X_5J_N_V_M_A</v>
      </c>
      <c r="T52" s="4">
        <v>1000</v>
      </c>
    </row>
    <row r="53" spans="1:20" ht="12">
      <c r="A53" s="7">
        <f>IF(ISBLANK(Inm_20048),"",$T$53*Inm_20048)</f>
      </c>
      <c r="B53" s="7">
        <v>20048</v>
      </c>
      <c r="C53" s="8" t="s">
        <v>463</v>
      </c>
      <c r="D53" s="218" t="s">
        <v>464</v>
      </c>
      <c r="E53" s="4">
        <v>5</v>
      </c>
      <c r="F53" s="4" t="s">
        <v>310</v>
      </c>
      <c r="G53" s="4" t="s">
        <v>465</v>
      </c>
      <c r="H53" s="4" t="s">
        <v>305</v>
      </c>
      <c r="I53" s="4" t="s">
        <v>305</v>
      </c>
      <c r="J53" s="4" t="s">
        <v>305</v>
      </c>
      <c r="K53" s="4" t="s">
        <v>306</v>
      </c>
      <c r="L53" s="4" t="s">
        <v>307</v>
      </c>
      <c r="M53" s="4" t="s">
        <v>308</v>
      </c>
      <c r="N53" s="4" t="s">
        <v>309</v>
      </c>
      <c r="O53" s="4" t="s">
        <v>310</v>
      </c>
      <c r="P53" s="5" t="e">
        <f>VLOOKUP(B53,Import!A$1:B$20000,2,FALSE)</f>
        <v>#N/A</v>
      </c>
      <c r="Q53" s="6" t="s">
        <v>311</v>
      </c>
      <c r="R53" s="9" t="e">
        <f>VLOOKUP(S53,Import!A$1:B$20000,2,FALSE)</f>
        <v>#N/A</v>
      </c>
      <c r="S53" s="10" t="str">
        <f t="shared" si="1"/>
        <v>5_A_C153_X_X_X_5J_N_V_M_A</v>
      </c>
      <c r="T53" s="4">
        <v>1000</v>
      </c>
    </row>
    <row r="54" spans="1:20" ht="12">
      <c r="A54" s="7">
        <f>IF(ISBLANK(Inm_20047),"",$T$54*Inm_20047)</f>
      </c>
      <c r="B54" s="7">
        <v>20047</v>
      </c>
      <c r="C54" s="8" t="s">
        <v>466</v>
      </c>
      <c r="D54" s="218" t="s">
        <v>467</v>
      </c>
      <c r="E54" s="4">
        <v>5</v>
      </c>
      <c r="F54" s="4" t="s">
        <v>310</v>
      </c>
      <c r="G54" s="4" t="s">
        <v>468</v>
      </c>
      <c r="H54" s="4" t="s">
        <v>305</v>
      </c>
      <c r="I54" s="4" t="s">
        <v>305</v>
      </c>
      <c r="J54" s="4" t="s">
        <v>305</v>
      </c>
      <c r="K54" s="4" t="s">
        <v>306</v>
      </c>
      <c r="L54" s="4" t="s">
        <v>307</v>
      </c>
      <c r="M54" s="4" t="s">
        <v>308</v>
      </c>
      <c r="N54" s="4" t="s">
        <v>309</v>
      </c>
      <c r="O54" s="4" t="s">
        <v>310</v>
      </c>
      <c r="P54" s="5" t="e">
        <f>VLOOKUP(B54,Import!A$1:B$20000,2,FALSE)</f>
        <v>#N/A</v>
      </c>
      <c r="Q54" s="6" t="s">
        <v>311</v>
      </c>
      <c r="R54" s="9" t="e">
        <f>VLOOKUP(S54,Import!A$1:B$20000,2,FALSE)</f>
        <v>#N/A</v>
      </c>
      <c r="S54" s="10" t="str">
        <f t="shared" si="1"/>
        <v>5_A_C154_X_X_X_5J_N_V_M_A</v>
      </c>
      <c r="T54" s="4">
        <v>1000</v>
      </c>
    </row>
    <row r="55" spans="1:20" ht="12">
      <c r="A55" s="7">
        <f>IF(ISBLANK(Inm_20046),"",$T$55*Inm_20046)</f>
      </c>
      <c r="B55" s="7">
        <v>20046</v>
      </c>
      <c r="C55" s="8" t="s">
        <v>469</v>
      </c>
      <c r="D55" s="218" t="s">
        <v>470</v>
      </c>
      <c r="E55" s="4">
        <v>5</v>
      </c>
      <c r="F55" s="4" t="s">
        <v>310</v>
      </c>
      <c r="G55" s="4" t="s">
        <v>471</v>
      </c>
      <c r="H55" s="4" t="s">
        <v>305</v>
      </c>
      <c r="I55" s="4" t="s">
        <v>305</v>
      </c>
      <c r="J55" s="4" t="s">
        <v>305</v>
      </c>
      <c r="K55" s="4" t="s">
        <v>306</v>
      </c>
      <c r="L55" s="4" t="s">
        <v>307</v>
      </c>
      <c r="M55" s="4" t="s">
        <v>308</v>
      </c>
      <c r="N55" s="4" t="s">
        <v>309</v>
      </c>
      <c r="O55" s="4" t="s">
        <v>310</v>
      </c>
      <c r="P55" s="5" t="e">
        <f>VLOOKUP(B55,Import!A$1:B$20000,2,FALSE)</f>
        <v>#N/A</v>
      </c>
      <c r="Q55" s="6" t="s">
        <v>311</v>
      </c>
      <c r="R55" s="9" t="e">
        <f>VLOOKUP(S55,Import!A$1:B$20000,2,FALSE)</f>
        <v>#N/A</v>
      </c>
      <c r="S55" s="10" t="str">
        <f t="shared" si="1"/>
        <v>5_A_C155_X_X_X_5J_N_V_M_A</v>
      </c>
      <c r="T55" s="4">
        <v>1000</v>
      </c>
    </row>
    <row r="56" spans="1:20" ht="12">
      <c r="A56" s="7">
        <f>IF(ISBLANK(Inm_20045),"",$T$56*Inm_20045)</f>
      </c>
      <c r="B56" s="7">
        <v>20045</v>
      </c>
      <c r="C56" s="8" t="s">
        <v>472</v>
      </c>
      <c r="D56" s="218" t="s">
        <v>473</v>
      </c>
      <c r="E56" s="4">
        <v>5</v>
      </c>
      <c r="F56" s="4" t="s">
        <v>310</v>
      </c>
      <c r="G56" s="4" t="s">
        <v>474</v>
      </c>
      <c r="H56" s="4" t="s">
        <v>305</v>
      </c>
      <c r="I56" s="4" t="s">
        <v>305</v>
      </c>
      <c r="J56" s="4" t="s">
        <v>305</v>
      </c>
      <c r="K56" s="4" t="s">
        <v>306</v>
      </c>
      <c r="L56" s="4" t="s">
        <v>307</v>
      </c>
      <c r="M56" s="4" t="s">
        <v>308</v>
      </c>
      <c r="N56" s="4" t="s">
        <v>309</v>
      </c>
      <c r="O56" s="4" t="s">
        <v>310</v>
      </c>
      <c r="P56" s="5" t="e">
        <f>VLOOKUP(B56,Import!A$1:B$20000,2,FALSE)</f>
        <v>#N/A</v>
      </c>
      <c r="Q56" s="6" t="s">
        <v>311</v>
      </c>
      <c r="R56" s="9" t="e">
        <f>VLOOKUP(S56,Import!A$1:B$20000,2,FALSE)</f>
        <v>#N/A</v>
      </c>
      <c r="S56" s="10" t="str">
        <f t="shared" si="1"/>
        <v>5_A_C156_X_X_X_5J_N_V_M_A</v>
      </c>
      <c r="T56" s="4">
        <v>1000</v>
      </c>
    </row>
    <row r="57" spans="1:20" ht="12">
      <c r="A57" s="7">
        <f>IF(ISBLANK(Inm_20044),"",$T$57*Inm_20044)</f>
      </c>
      <c r="B57" s="7">
        <v>20044</v>
      </c>
      <c r="C57" s="8" t="s">
        <v>475</v>
      </c>
      <c r="D57" s="218" t="s">
        <v>476</v>
      </c>
      <c r="E57" s="4">
        <v>5</v>
      </c>
      <c r="F57" s="4" t="s">
        <v>310</v>
      </c>
      <c r="G57" s="4" t="s">
        <v>477</v>
      </c>
      <c r="H57" s="4" t="s">
        <v>305</v>
      </c>
      <c r="I57" s="4" t="s">
        <v>305</v>
      </c>
      <c r="J57" s="4" t="s">
        <v>305</v>
      </c>
      <c r="K57" s="4" t="s">
        <v>306</v>
      </c>
      <c r="L57" s="4" t="s">
        <v>307</v>
      </c>
      <c r="M57" s="4" t="s">
        <v>308</v>
      </c>
      <c r="N57" s="4" t="s">
        <v>309</v>
      </c>
      <c r="O57" s="4" t="s">
        <v>310</v>
      </c>
      <c r="P57" s="5" t="e">
        <f>VLOOKUP(B57,Import!A$1:B$20000,2,FALSE)</f>
        <v>#N/A</v>
      </c>
      <c r="Q57" s="6" t="s">
        <v>311</v>
      </c>
      <c r="R57" s="9" t="e">
        <f>VLOOKUP(S57,Import!A$1:B$20000,2,FALSE)</f>
        <v>#N/A</v>
      </c>
      <c r="S57" s="10" t="str">
        <f t="shared" si="1"/>
        <v>5_A_C157_X_X_X_5J_N_V_M_A</v>
      </c>
      <c r="T57" s="4">
        <v>1000</v>
      </c>
    </row>
    <row r="58" spans="1:20" ht="12">
      <c r="A58" s="7">
        <f>IF(ISBLANK(Inm_20043),"",$T$58*Inm_20043)</f>
      </c>
      <c r="B58" s="7">
        <v>20043</v>
      </c>
      <c r="C58" s="8" t="s">
        <v>478</v>
      </c>
      <c r="D58" s="218" t="s">
        <v>479</v>
      </c>
      <c r="E58" s="4">
        <v>5</v>
      </c>
      <c r="F58" s="4" t="s">
        <v>310</v>
      </c>
      <c r="G58" s="4" t="s">
        <v>480</v>
      </c>
      <c r="H58" s="4" t="s">
        <v>305</v>
      </c>
      <c r="I58" s="4" t="s">
        <v>305</v>
      </c>
      <c r="J58" s="4" t="s">
        <v>305</v>
      </c>
      <c r="K58" s="4" t="s">
        <v>306</v>
      </c>
      <c r="L58" s="4" t="s">
        <v>307</v>
      </c>
      <c r="M58" s="4" t="s">
        <v>308</v>
      </c>
      <c r="N58" s="4" t="s">
        <v>309</v>
      </c>
      <c r="O58" s="4" t="s">
        <v>310</v>
      </c>
      <c r="P58" s="5" t="e">
        <f>VLOOKUP(B58,Import!A$1:B$20000,2,FALSE)</f>
        <v>#N/A</v>
      </c>
      <c r="Q58" s="6" t="s">
        <v>311</v>
      </c>
      <c r="R58" s="9" t="e">
        <f>VLOOKUP(S58,Import!A$1:B$20000,2,FALSE)</f>
        <v>#N/A</v>
      </c>
      <c r="S58" s="10" t="str">
        <f t="shared" si="1"/>
        <v>5_A_C158_X_X_X_5J_N_V_M_A</v>
      </c>
      <c r="T58" s="4">
        <v>1000</v>
      </c>
    </row>
    <row r="59" spans="1:20" ht="12">
      <c r="A59" s="7">
        <f>IF(ISBLANK(Inm_20042),"",$T$59*Inm_20042)</f>
      </c>
      <c r="B59" s="7">
        <v>20042</v>
      </c>
      <c r="C59" s="8" t="s">
        <v>481</v>
      </c>
      <c r="D59" s="218" t="s">
        <v>482</v>
      </c>
      <c r="E59" s="4">
        <v>5</v>
      </c>
      <c r="F59" s="4" t="s">
        <v>310</v>
      </c>
      <c r="G59" s="4" t="s">
        <v>483</v>
      </c>
      <c r="H59" s="4" t="s">
        <v>305</v>
      </c>
      <c r="I59" s="4" t="s">
        <v>305</v>
      </c>
      <c r="J59" s="4" t="s">
        <v>305</v>
      </c>
      <c r="K59" s="4" t="s">
        <v>306</v>
      </c>
      <c r="L59" s="4" t="s">
        <v>307</v>
      </c>
      <c r="M59" s="4" t="s">
        <v>308</v>
      </c>
      <c r="N59" s="4" t="s">
        <v>309</v>
      </c>
      <c r="O59" s="4" t="s">
        <v>310</v>
      </c>
      <c r="P59" s="5" t="e">
        <f>VLOOKUP(B59,Import!A$1:B$20000,2,FALSE)</f>
        <v>#N/A</v>
      </c>
      <c r="Q59" s="6" t="s">
        <v>311</v>
      </c>
      <c r="R59" s="9" t="e">
        <f>VLOOKUP(S59,Import!A$1:B$20000,2,FALSE)</f>
        <v>#N/A</v>
      </c>
      <c r="S59" s="10" t="str">
        <f t="shared" si="1"/>
        <v>5_A_C161_X_X_X_5J_N_V_M_A</v>
      </c>
      <c r="T59" s="4">
        <v>1000</v>
      </c>
    </row>
    <row r="60" spans="1:20" ht="12">
      <c r="A60" s="7">
        <f>IF(ISBLANK(Inm_20041),"",$T$60*Inm_20041)</f>
      </c>
      <c r="B60" s="7">
        <v>20041</v>
      </c>
      <c r="C60" s="8" t="s">
        <v>484</v>
      </c>
      <c r="D60" s="218" t="s">
        <v>485</v>
      </c>
      <c r="E60" s="4">
        <v>5</v>
      </c>
      <c r="F60" s="4" t="s">
        <v>310</v>
      </c>
      <c r="G60" s="4" t="s">
        <v>486</v>
      </c>
      <c r="H60" s="4" t="s">
        <v>305</v>
      </c>
      <c r="I60" s="4" t="s">
        <v>305</v>
      </c>
      <c r="J60" s="4" t="s">
        <v>305</v>
      </c>
      <c r="K60" s="4" t="s">
        <v>306</v>
      </c>
      <c r="L60" s="4" t="s">
        <v>307</v>
      </c>
      <c r="M60" s="4" t="s">
        <v>308</v>
      </c>
      <c r="N60" s="4" t="s">
        <v>309</v>
      </c>
      <c r="O60" s="4" t="s">
        <v>310</v>
      </c>
      <c r="P60" s="5" t="e">
        <f>VLOOKUP(B60,Import!A$1:B$20000,2,FALSE)</f>
        <v>#N/A</v>
      </c>
      <c r="Q60" s="6" t="s">
        <v>311</v>
      </c>
      <c r="R60" s="9" t="e">
        <f>VLOOKUP(S60,Import!A$1:B$20000,2,FALSE)</f>
        <v>#N/A</v>
      </c>
      <c r="S60" s="10" t="str">
        <f t="shared" si="1"/>
        <v>5_A_C162_X_X_X_5J_N_V_M_A</v>
      </c>
      <c r="T60" s="4">
        <v>1000</v>
      </c>
    </row>
    <row r="61" spans="1:20" ht="12">
      <c r="A61" s="7">
        <f>IF(ISBLANK(Inm_20040),"",$T$61*Inm_20040)</f>
      </c>
      <c r="B61" s="7">
        <v>20040</v>
      </c>
      <c r="C61" s="8" t="s">
        <v>487</v>
      </c>
      <c r="D61" s="218" t="s">
        <v>488</v>
      </c>
      <c r="E61" s="4">
        <v>5</v>
      </c>
      <c r="F61" s="4" t="s">
        <v>310</v>
      </c>
      <c r="G61" s="4" t="s">
        <v>489</v>
      </c>
      <c r="H61" s="4" t="s">
        <v>305</v>
      </c>
      <c r="I61" s="4" t="s">
        <v>305</v>
      </c>
      <c r="J61" s="4" t="s">
        <v>305</v>
      </c>
      <c r="K61" s="4" t="s">
        <v>306</v>
      </c>
      <c r="L61" s="4" t="s">
        <v>307</v>
      </c>
      <c r="M61" s="4" t="s">
        <v>308</v>
      </c>
      <c r="N61" s="4" t="s">
        <v>309</v>
      </c>
      <c r="O61" s="4" t="s">
        <v>310</v>
      </c>
      <c r="P61" s="5" t="e">
        <f>VLOOKUP(B61,Import!A$1:B$20000,2,FALSE)</f>
        <v>#N/A</v>
      </c>
      <c r="Q61" s="6" t="s">
        <v>311</v>
      </c>
      <c r="R61" s="9" t="e">
        <f>VLOOKUP(S61,Import!A$1:B$20000,2,FALSE)</f>
        <v>#N/A</v>
      </c>
      <c r="S61" s="10" t="str">
        <f t="shared" si="1"/>
        <v>5_A_C163_X_X_X_5J_N_V_M_A</v>
      </c>
      <c r="T61" s="4">
        <v>1000</v>
      </c>
    </row>
    <row r="62" spans="1:20" ht="12">
      <c r="A62" s="7">
        <f>IF(ISBLANK(Inm_20039),"",$T$62*Inm_20039)</f>
      </c>
      <c r="B62" s="7">
        <v>20039</v>
      </c>
      <c r="C62" s="8" t="s">
        <v>487</v>
      </c>
      <c r="D62" s="218" t="s">
        <v>490</v>
      </c>
      <c r="E62" s="4">
        <v>5</v>
      </c>
      <c r="F62" s="4" t="s">
        <v>310</v>
      </c>
      <c r="G62" s="4" t="s">
        <v>489</v>
      </c>
      <c r="H62" s="4" t="s">
        <v>305</v>
      </c>
      <c r="I62" s="4" t="s">
        <v>305</v>
      </c>
      <c r="J62" s="4" t="s">
        <v>305</v>
      </c>
      <c r="K62" s="4" t="s">
        <v>436</v>
      </c>
      <c r="L62" s="4" t="s">
        <v>307</v>
      </c>
      <c r="M62" s="4" t="s">
        <v>308</v>
      </c>
      <c r="N62" s="4" t="s">
        <v>309</v>
      </c>
      <c r="O62" s="4" t="s">
        <v>310</v>
      </c>
      <c r="P62" s="5" t="e">
        <f>VLOOKUP(B62,Import!A$1:B$20000,2,FALSE)</f>
        <v>#N/A</v>
      </c>
      <c r="Q62" s="6" t="s">
        <v>311</v>
      </c>
      <c r="R62" s="9" t="e">
        <f>VLOOKUP(S62,Import!A$1:B$20000,2,FALSE)</f>
        <v>#N/A</v>
      </c>
      <c r="S62" s="10" t="str">
        <f t="shared" si="1"/>
        <v>5_A_C163_X_X_X_3P_N_V_M_A</v>
      </c>
      <c r="T62" s="4">
        <v>1000</v>
      </c>
    </row>
    <row r="63" spans="1:20" ht="12">
      <c r="A63" s="7">
        <f>IF(ISBLANK(Inm_20038),"",$T$63*Inm_20038)</f>
      </c>
      <c r="B63" s="7">
        <v>20038</v>
      </c>
      <c r="C63" s="8" t="s">
        <v>491</v>
      </c>
      <c r="D63" s="218" t="s">
        <v>492</v>
      </c>
      <c r="E63" s="4">
        <v>5</v>
      </c>
      <c r="F63" s="4" t="s">
        <v>310</v>
      </c>
      <c r="G63" s="4" t="s">
        <v>493</v>
      </c>
      <c r="H63" s="4" t="s">
        <v>305</v>
      </c>
      <c r="I63" s="4" t="s">
        <v>305</v>
      </c>
      <c r="J63" s="4" t="s">
        <v>305</v>
      </c>
      <c r="K63" s="4" t="s">
        <v>306</v>
      </c>
      <c r="L63" s="4" t="s">
        <v>307</v>
      </c>
      <c r="M63" s="4" t="s">
        <v>308</v>
      </c>
      <c r="N63" s="4" t="s">
        <v>309</v>
      </c>
      <c r="O63" s="4" t="s">
        <v>310</v>
      </c>
      <c r="P63" s="5" t="e">
        <f>VLOOKUP(B63,Import!A$1:B$20000,2,FALSE)</f>
        <v>#N/A</v>
      </c>
      <c r="Q63" s="6" t="s">
        <v>311</v>
      </c>
      <c r="R63" s="9" t="e">
        <f>VLOOKUP(S63,Import!A$1:B$20000,2,FALSE)</f>
        <v>#N/A</v>
      </c>
      <c r="S63" s="10" t="str">
        <f t="shared" si="1"/>
        <v>5_A_C171_X_X_X_5J_N_V_M_A</v>
      </c>
      <c r="T63" s="4">
        <v>1000</v>
      </c>
    </row>
    <row r="64" spans="1:20" ht="12">
      <c r="A64" s="7">
        <f>IF(ISBLANK(Inm_20037),"",$T$64*Inm_20037)</f>
      </c>
      <c r="B64" s="7">
        <v>20037</v>
      </c>
      <c r="C64" s="8" t="s">
        <v>494</v>
      </c>
      <c r="D64" s="218" t="s">
        <v>495</v>
      </c>
      <c r="E64" s="4">
        <v>5</v>
      </c>
      <c r="F64" s="4" t="s">
        <v>310</v>
      </c>
      <c r="G64" s="4" t="s">
        <v>496</v>
      </c>
      <c r="H64" s="4" t="s">
        <v>305</v>
      </c>
      <c r="I64" s="4" t="s">
        <v>305</v>
      </c>
      <c r="J64" s="4" t="s">
        <v>305</v>
      </c>
      <c r="K64" s="4" t="s">
        <v>306</v>
      </c>
      <c r="L64" s="4" t="s">
        <v>307</v>
      </c>
      <c r="M64" s="4" t="s">
        <v>308</v>
      </c>
      <c r="N64" s="4" t="s">
        <v>309</v>
      </c>
      <c r="O64" s="4" t="s">
        <v>310</v>
      </c>
      <c r="P64" s="5" t="e">
        <f>VLOOKUP(B64,Import!A$1:B$20000,2,FALSE)</f>
        <v>#N/A</v>
      </c>
      <c r="Q64" s="6" t="s">
        <v>311</v>
      </c>
      <c r="R64" s="9" t="e">
        <f>VLOOKUP(S64,Import!A$1:B$20000,2,FALSE)</f>
        <v>#N/A</v>
      </c>
      <c r="S64" s="10" t="str">
        <f t="shared" si="1"/>
        <v>5_A_C181_X_X_X_5J_N_V_M_A</v>
      </c>
      <c r="T64" s="4">
        <v>1000</v>
      </c>
    </row>
    <row r="65" spans="1:20" ht="12">
      <c r="A65" s="7">
        <f>IF(ISBLANK(Inm_20073),"",$T$65*Inm_20073)</f>
      </c>
      <c r="B65" s="7">
        <v>20073</v>
      </c>
      <c r="C65" s="8" t="s">
        <v>497</v>
      </c>
      <c r="D65" s="218" t="s">
        <v>498</v>
      </c>
      <c r="E65" s="4">
        <v>5</v>
      </c>
      <c r="F65" s="4" t="s">
        <v>305</v>
      </c>
      <c r="G65" s="4" t="s">
        <v>499</v>
      </c>
      <c r="H65" s="4" t="s">
        <v>305</v>
      </c>
      <c r="I65" s="4" t="s">
        <v>305</v>
      </c>
      <c r="J65" s="4" t="s">
        <v>305</v>
      </c>
      <c r="K65" s="4" t="s">
        <v>306</v>
      </c>
      <c r="L65" s="4" t="s">
        <v>307</v>
      </c>
      <c r="M65" s="4" t="s">
        <v>308</v>
      </c>
      <c r="N65" s="4" t="s">
        <v>309</v>
      </c>
      <c r="O65" s="4" t="s">
        <v>310</v>
      </c>
      <c r="P65" s="5" t="e">
        <f>VLOOKUP(B65,Import!A$1:B$20000,2,FALSE)</f>
        <v>#N/A</v>
      </c>
      <c r="Q65" s="6" t="s">
        <v>311</v>
      </c>
      <c r="R65" s="9" t="e">
        <f>VLOOKUP(S65,Import!A$1:B$20000,2,FALSE)</f>
        <v>#N/A</v>
      </c>
      <c r="S65" s="10" t="str">
        <f t="shared" si="1"/>
        <v>5_X_C192_X_X_X_5J_N_V_M_A</v>
      </c>
      <c r="T65" s="4">
        <v>1000</v>
      </c>
    </row>
    <row r="66" spans="1:20" ht="12">
      <c r="A66" s="7">
        <f>IF(ISBLANK(Inm_20036),"",$T$66*Inm_20036)</f>
      </c>
      <c r="B66" s="7">
        <v>20036</v>
      </c>
      <c r="C66" s="8" t="s">
        <v>497</v>
      </c>
      <c r="D66" s="218" t="s">
        <v>500</v>
      </c>
      <c r="E66" s="4">
        <v>5</v>
      </c>
      <c r="F66" s="4" t="s">
        <v>305</v>
      </c>
      <c r="G66" s="4" t="s">
        <v>499</v>
      </c>
      <c r="H66" s="4" t="s">
        <v>305</v>
      </c>
      <c r="I66" s="4" t="s">
        <v>305</v>
      </c>
      <c r="J66" s="4" t="s">
        <v>305</v>
      </c>
      <c r="K66" s="4" t="s">
        <v>306</v>
      </c>
      <c r="L66" s="4" t="s">
        <v>307</v>
      </c>
      <c r="M66" s="4" t="s">
        <v>501</v>
      </c>
      <c r="N66" s="4" t="s">
        <v>309</v>
      </c>
      <c r="O66" s="4" t="s">
        <v>310</v>
      </c>
      <c r="P66" s="5" t="e">
        <f>VLOOKUP(B66,Import!A$1:B$20000,2,FALSE)</f>
        <v>#N/A</v>
      </c>
      <c r="Q66" s="6" t="s">
        <v>311</v>
      </c>
      <c r="R66" s="9" t="e">
        <f>VLOOKUP(S66,Import!A$1:B$20000,2,FALSE)</f>
        <v>#N/A</v>
      </c>
      <c r="S66" s="10" t="str">
        <f aca="true" t="shared" si="2" ref="S66:S96">CONCATENATE(E66,"_",F66,"_",G66,"_",H66,"_",I66,"_",J66,"_",K66,"_",L66,"_",M66,"_",N66,"_",O66)</f>
        <v>5_X_C192_X_X_X_5J_N_VU_M_A</v>
      </c>
      <c r="T66" s="4">
        <v>1000</v>
      </c>
    </row>
    <row r="67" spans="1:20" ht="12">
      <c r="A67" s="7">
        <f>IF(ISBLANK(Inm_20035),"",$T$67*Inm_20035)</f>
      </c>
      <c r="B67" s="7">
        <v>20035</v>
      </c>
      <c r="C67" s="8" t="s">
        <v>502</v>
      </c>
      <c r="D67" s="218" t="s">
        <v>503</v>
      </c>
      <c r="E67" s="4">
        <v>5</v>
      </c>
      <c r="F67" s="4" t="s">
        <v>504</v>
      </c>
      <c r="G67" s="4" t="s">
        <v>505</v>
      </c>
      <c r="H67" s="4" t="s">
        <v>305</v>
      </c>
      <c r="I67" s="4" t="s">
        <v>305</v>
      </c>
      <c r="J67" s="4" t="s">
        <v>305</v>
      </c>
      <c r="K67" s="4" t="s">
        <v>306</v>
      </c>
      <c r="L67" s="4" t="s">
        <v>307</v>
      </c>
      <c r="M67" s="4" t="s">
        <v>308</v>
      </c>
      <c r="N67" s="4" t="s">
        <v>309</v>
      </c>
      <c r="O67" s="4" t="s">
        <v>310</v>
      </c>
      <c r="P67" s="5" t="e">
        <f>VLOOKUP(B67,Import!A$1:B$20000,2,FALSE)</f>
        <v>#N/A</v>
      </c>
      <c r="Q67" s="6" t="s">
        <v>311</v>
      </c>
      <c r="R67" s="9" t="e">
        <f>VLOOKUP(S67,Import!A$1:B$20000,2,FALSE)</f>
        <v>#N/A</v>
      </c>
      <c r="S67" s="10" t="str">
        <f t="shared" si="2"/>
        <v>5_L_C201_X_X_X_5J_N_V_M_A</v>
      </c>
      <c r="T67" s="4">
        <v>1000</v>
      </c>
    </row>
    <row r="68" spans="1:20" ht="12">
      <c r="A68" s="7">
        <f>IF(ISBLANK(Inm_20034),"",$T$68*Inm_20034)</f>
      </c>
      <c r="B68" s="7">
        <v>20034</v>
      </c>
      <c r="C68" s="8" t="s">
        <v>506</v>
      </c>
      <c r="D68" s="218" t="s">
        <v>507</v>
      </c>
      <c r="E68" s="4">
        <v>5</v>
      </c>
      <c r="F68" s="4" t="s">
        <v>504</v>
      </c>
      <c r="G68" s="4" t="s">
        <v>508</v>
      </c>
      <c r="H68" s="4" t="s">
        <v>305</v>
      </c>
      <c r="I68" s="4" t="s">
        <v>305</v>
      </c>
      <c r="J68" s="4" t="s">
        <v>305</v>
      </c>
      <c r="K68" s="4" t="s">
        <v>306</v>
      </c>
      <c r="L68" s="4" t="s">
        <v>307</v>
      </c>
      <c r="M68" s="4" t="s">
        <v>308</v>
      </c>
      <c r="N68" s="4" t="s">
        <v>309</v>
      </c>
      <c r="O68" s="4" t="s">
        <v>310</v>
      </c>
      <c r="P68" s="5" t="e">
        <f>VLOOKUP(B68,Import!A$1:B$20000,2,FALSE)</f>
        <v>#N/A</v>
      </c>
      <c r="Q68" s="6" t="s">
        <v>311</v>
      </c>
      <c r="R68" s="9" t="e">
        <f>VLOOKUP(S68,Import!A$1:B$20000,2,FALSE)</f>
        <v>#N/A</v>
      </c>
      <c r="S68" s="10" t="str">
        <f t="shared" si="2"/>
        <v>5_L_C2011_X_X_X_5J_N_V_M_A</v>
      </c>
      <c r="T68" s="4">
        <v>1000</v>
      </c>
    </row>
    <row r="69" spans="1:20" ht="12">
      <c r="A69" s="7">
        <f>IF(ISBLANK(Inm_20033),"",$T$69*Inm_20033)</f>
      </c>
      <c r="B69" s="7">
        <v>20033</v>
      </c>
      <c r="C69" s="8" t="s">
        <v>509</v>
      </c>
      <c r="D69" s="218" t="s">
        <v>510</v>
      </c>
      <c r="E69" s="4">
        <v>5</v>
      </c>
      <c r="F69" s="4" t="s">
        <v>504</v>
      </c>
      <c r="G69" s="4" t="s">
        <v>511</v>
      </c>
      <c r="H69" s="4" t="s">
        <v>305</v>
      </c>
      <c r="I69" s="4" t="s">
        <v>305</v>
      </c>
      <c r="J69" s="4" t="s">
        <v>305</v>
      </c>
      <c r="K69" s="4" t="s">
        <v>306</v>
      </c>
      <c r="L69" s="4" t="s">
        <v>307</v>
      </c>
      <c r="M69" s="4" t="s">
        <v>308</v>
      </c>
      <c r="N69" s="4" t="s">
        <v>309</v>
      </c>
      <c r="O69" s="4" t="s">
        <v>310</v>
      </c>
      <c r="P69" s="5" t="e">
        <f>VLOOKUP(B69,Import!A$1:B$20000,2,FALSE)</f>
        <v>#N/A</v>
      </c>
      <c r="Q69" s="6" t="s">
        <v>311</v>
      </c>
      <c r="R69" s="9" t="e">
        <f>VLOOKUP(S69,Import!A$1:B$20000,2,FALSE)</f>
        <v>#N/A</v>
      </c>
      <c r="S69" s="10" t="str">
        <f t="shared" si="2"/>
        <v>5_L_C2012_X_X_X_5J_N_V_M_A</v>
      </c>
      <c r="T69" s="4">
        <v>1000</v>
      </c>
    </row>
    <row r="70" spans="1:20" ht="12">
      <c r="A70" s="7">
        <f>IF(ISBLANK(Inm_20032),"",$T$70*Inm_20032)</f>
      </c>
      <c r="B70" s="7">
        <v>20032</v>
      </c>
      <c r="C70" s="8" t="s">
        <v>512</v>
      </c>
      <c r="D70" s="218" t="s">
        <v>513</v>
      </c>
      <c r="E70" s="4">
        <v>5</v>
      </c>
      <c r="F70" s="4" t="s">
        <v>504</v>
      </c>
      <c r="G70" s="4" t="s">
        <v>514</v>
      </c>
      <c r="H70" s="4" t="s">
        <v>305</v>
      </c>
      <c r="I70" s="4" t="s">
        <v>305</v>
      </c>
      <c r="J70" s="4" t="s">
        <v>305</v>
      </c>
      <c r="K70" s="4" t="s">
        <v>306</v>
      </c>
      <c r="L70" s="4" t="s">
        <v>307</v>
      </c>
      <c r="M70" s="4" t="s">
        <v>308</v>
      </c>
      <c r="N70" s="4" t="s">
        <v>309</v>
      </c>
      <c r="O70" s="4" t="s">
        <v>310</v>
      </c>
      <c r="P70" s="5" t="e">
        <f>VLOOKUP(B70,Import!A$1:B$20000,2,FALSE)</f>
        <v>#N/A</v>
      </c>
      <c r="Q70" s="6" t="s">
        <v>311</v>
      </c>
      <c r="R70" s="9" t="e">
        <f>VLOOKUP(S70,Import!A$1:B$20000,2,FALSE)</f>
        <v>#N/A</v>
      </c>
      <c r="S70" s="10" t="str">
        <f t="shared" si="2"/>
        <v>5_L_C2013_X_X_X_5J_N_V_M_A</v>
      </c>
      <c r="T70" s="4">
        <v>1000</v>
      </c>
    </row>
    <row r="71" spans="1:20" ht="12">
      <c r="A71" s="7">
        <f>IF(ISBLANK(Inm_20030),"",$T$71*Inm_20030)</f>
      </c>
      <c r="B71" s="7">
        <v>20030</v>
      </c>
      <c r="C71" s="8" t="s">
        <v>515</v>
      </c>
      <c r="D71" s="218" t="s">
        <v>516</v>
      </c>
      <c r="E71" s="4">
        <v>5</v>
      </c>
      <c r="F71" s="4" t="s">
        <v>504</v>
      </c>
      <c r="G71" s="4" t="s">
        <v>517</v>
      </c>
      <c r="H71" s="4" t="s">
        <v>305</v>
      </c>
      <c r="I71" s="4" t="s">
        <v>305</v>
      </c>
      <c r="J71" s="4" t="s">
        <v>305</v>
      </c>
      <c r="K71" s="4" t="s">
        <v>306</v>
      </c>
      <c r="L71" s="4" t="s">
        <v>307</v>
      </c>
      <c r="M71" s="4" t="s">
        <v>308</v>
      </c>
      <c r="N71" s="4" t="s">
        <v>309</v>
      </c>
      <c r="O71" s="4" t="s">
        <v>310</v>
      </c>
      <c r="P71" s="5" t="e">
        <f>VLOOKUP(B71,Import!A$1:B$20000,2,FALSE)</f>
        <v>#N/A</v>
      </c>
      <c r="Q71" s="6" t="s">
        <v>311</v>
      </c>
      <c r="R71" s="9" t="e">
        <f>VLOOKUP(S71,Import!A$1:B$20000,2,FALSE)</f>
        <v>#N/A</v>
      </c>
      <c r="S71" s="10" t="str">
        <f t="shared" si="2"/>
        <v>5_L_C211_X_X_X_5J_N_V_M_A</v>
      </c>
      <c r="T71" s="4">
        <v>1000</v>
      </c>
    </row>
    <row r="72" spans="1:20" ht="12">
      <c r="A72" s="7">
        <f>IF(ISBLANK(Inm_20029),"",$T$72*Inm_20029)</f>
      </c>
      <c r="B72" s="7">
        <v>20029</v>
      </c>
      <c r="C72" s="8" t="s">
        <v>518</v>
      </c>
      <c r="D72" s="218" t="s">
        <v>519</v>
      </c>
      <c r="E72" s="4">
        <v>5</v>
      </c>
      <c r="F72" s="4" t="s">
        <v>504</v>
      </c>
      <c r="G72" s="4" t="s">
        <v>520</v>
      </c>
      <c r="H72" s="4" t="s">
        <v>305</v>
      </c>
      <c r="I72" s="4" t="s">
        <v>305</v>
      </c>
      <c r="J72" s="4" t="s">
        <v>305</v>
      </c>
      <c r="K72" s="4" t="s">
        <v>306</v>
      </c>
      <c r="L72" s="4" t="s">
        <v>307</v>
      </c>
      <c r="M72" s="4" t="s">
        <v>308</v>
      </c>
      <c r="N72" s="4" t="s">
        <v>309</v>
      </c>
      <c r="O72" s="4" t="s">
        <v>310</v>
      </c>
      <c r="P72" s="5" t="e">
        <f>VLOOKUP(B72,Import!A$1:B$20000,2,FALSE)</f>
        <v>#N/A</v>
      </c>
      <c r="Q72" s="6" t="s">
        <v>311</v>
      </c>
      <c r="R72" s="9" t="e">
        <f>VLOOKUP(S72,Import!A$1:B$20000,2,FALSE)</f>
        <v>#N/A</v>
      </c>
      <c r="S72" s="10" t="str">
        <f t="shared" si="2"/>
        <v>5_L_C221_X_X_X_5J_N_V_M_A</v>
      </c>
      <c r="T72" s="4">
        <v>1000</v>
      </c>
    </row>
    <row r="73" spans="1:20" ht="12">
      <c r="A73" s="7">
        <f>IF(ISBLANK(Inm_20028),"",$T$73*Inm_20028)</f>
      </c>
      <c r="B73" s="7">
        <v>20028</v>
      </c>
      <c r="C73" s="8" t="s">
        <v>521</v>
      </c>
      <c r="D73" s="218" t="s">
        <v>522</v>
      </c>
      <c r="E73" s="4">
        <v>5</v>
      </c>
      <c r="F73" s="4" t="s">
        <v>504</v>
      </c>
      <c r="G73" s="4" t="s">
        <v>523</v>
      </c>
      <c r="H73" s="4" t="s">
        <v>305</v>
      </c>
      <c r="I73" s="4" t="s">
        <v>305</v>
      </c>
      <c r="J73" s="4" t="s">
        <v>305</v>
      </c>
      <c r="K73" s="4" t="s">
        <v>306</v>
      </c>
      <c r="L73" s="4" t="s">
        <v>307</v>
      </c>
      <c r="M73" s="4" t="s">
        <v>308</v>
      </c>
      <c r="N73" s="4" t="s">
        <v>309</v>
      </c>
      <c r="O73" s="4" t="s">
        <v>310</v>
      </c>
      <c r="P73" s="5" t="e">
        <f>VLOOKUP(B73,Import!A$1:B$20000,2,FALSE)</f>
        <v>#N/A</v>
      </c>
      <c r="Q73" s="6" t="s">
        <v>311</v>
      </c>
      <c r="R73" s="9" t="e">
        <f>VLOOKUP(S73,Import!A$1:B$20000,2,FALSE)</f>
        <v>#N/A</v>
      </c>
      <c r="S73" s="10" t="str">
        <f t="shared" si="2"/>
        <v>5_L_C2211_X_X_X_5J_N_V_M_A</v>
      </c>
      <c r="T73" s="4">
        <v>1000</v>
      </c>
    </row>
    <row r="74" spans="1:20" ht="12">
      <c r="A74" s="7">
        <f>IF(ISBLANK(Inm_20027),"",$T$74*Inm_20027)</f>
      </c>
      <c r="B74" s="7">
        <v>20027</v>
      </c>
      <c r="C74" s="8" t="s">
        <v>524</v>
      </c>
      <c r="D74" s="218" t="s">
        <v>525</v>
      </c>
      <c r="E74" s="4">
        <v>5</v>
      </c>
      <c r="F74" s="4" t="s">
        <v>504</v>
      </c>
      <c r="G74" s="4" t="s">
        <v>526</v>
      </c>
      <c r="H74" s="4" t="s">
        <v>305</v>
      </c>
      <c r="I74" s="4" t="s">
        <v>305</v>
      </c>
      <c r="J74" s="4" t="s">
        <v>305</v>
      </c>
      <c r="K74" s="4" t="s">
        <v>441</v>
      </c>
      <c r="L74" s="4" t="s">
        <v>442</v>
      </c>
      <c r="M74" s="4" t="s">
        <v>308</v>
      </c>
      <c r="N74" s="4" t="s">
        <v>309</v>
      </c>
      <c r="O74" s="4" t="s">
        <v>310</v>
      </c>
      <c r="P74" s="5" t="e">
        <f>VLOOKUP(B74,Import!A$1:B$20000,2,FALSE)</f>
        <v>#N/A</v>
      </c>
      <c r="Q74" s="6" t="s">
        <v>311</v>
      </c>
      <c r="R74" s="9" t="e">
        <f>VLOOKUP(S74,Import!A$1:B$20000,2,FALSE)</f>
        <v>#N/A</v>
      </c>
      <c r="S74" s="10" t="str">
        <f t="shared" si="2"/>
        <v>5_L_C231_X_X_X_1E_N1A1_V_M_A</v>
      </c>
      <c r="T74" s="4">
        <v>1000</v>
      </c>
    </row>
    <row r="75" spans="1:20" ht="12">
      <c r="A75" s="7">
        <f>IF(ISBLANK(Inm_20026),"",$T$75*Inm_20026)</f>
      </c>
      <c r="B75" s="7">
        <v>20026</v>
      </c>
      <c r="C75" s="8" t="s">
        <v>527</v>
      </c>
      <c r="D75" s="218" t="s">
        <v>528</v>
      </c>
      <c r="E75" s="4">
        <v>5</v>
      </c>
      <c r="F75" s="4" t="s">
        <v>504</v>
      </c>
      <c r="G75" s="4" t="s">
        <v>526</v>
      </c>
      <c r="H75" s="4" t="s">
        <v>305</v>
      </c>
      <c r="I75" s="4" t="s">
        <v>305</v>
      </c>
      <c r="J75" s="4" t="s">
        <v>305</v>
      </c>
      <c r="K75" s="4" t="s">
        <v>441</v>
      </c>
      <c r="L75" s="4" t="s">
        <v>445</v>
      </c>
      <c r="M75" s="4" t="s">
        <v>308</v>
      </c>
      <c r="N75" s="4" t="s">
        <v>309</v>
      </c>
      <c r="O75" s="4" t="s">
        <v>310</v>
      </c>
      <c r="P75" s="5" t="e">
        <f>VLOOKUP(B75,Import!A$1:B$20000,2,FALSE)</f>
        <v>#N/A</v>
      </c>
      <c r="Q75" s="6" t="s">
        <v>311</v>
      </c>
      <c r="R75" s="9" t="e">
        <f>VLOOKUP(S75,Import!A$1:B$20000,2,FALSE)</f>
        <v>#N/A</v>
      </c>
      <c r="S75" s="10" t="str">
        <f t="shared" si="2"/>
        <v>5_L_C231_X_X_X_1E_N1A11_V_M_A</v>
      </c>
      <c r="T75" s="4">
        <v>1000</v>
      </c>
    </row>
    <row r="76" spans="1:20" ht="12">
      <c r="A76" s="7">
        <f>IF(ISBLANK(Inm_20025),"",$T$76*Inm_20025)</f>
      </c>
      <c r="B76" s="7">
        <v>20025</v>
      </c>
      <c r="C76" s="8" t="s">
        <v>524</v>
      </c>
      <c r="D76" s="218" t="s">
        <v>529</v>
      </c>
      <c r="E76" s="4">
        <v>5</v>
      </c>
      <c r="F76" s="4" t="s">
        <v>504</v>
      </c>
      <c r="G76" s="4" t="s">
        <v>526</v>
      </c>
      <c r="H76" s="4" t="s">
        <v>305</v>
      </c>
      <c r="I76" s="4" t="s">
        <v>305</v>
      </c>
      <c r="J76" s="4" t="s">
        <v>305</v>
      </c>
      <c r="K76" s="4" t="s">
        <v>436</v>
      </c>
      <c r="L76" s="4" t="s">
        <v>442</v>
      </c>
      <c r="M76" s="4" t="s">
        <v>308</v>
      </c>
      <c r="N76" s="4" t="s">
        <v>309</v>
      </c>
      <c r="O76" s="4" t="s">
        <v>310</v>
      </c>
      <c r="P76" s="5" t="e">
        <f>VLOOKUP(B76,Import!A$1:B$20000,2,FALSE)</f>
        <v>#N/A</v>
      </c>
      <c r="Q76" s="6" t="s">
        <v>311</v>
      </c>
      <c r="R76" s="9" t="e">
        <f>VLOOKUP(S76,Import!A$1:B$20000,2,FALSE)</f>
        <v>#N/A</v>
      </c>
      <c r="S76" s="10" t="str">
        <f t="shared" si="2"/>
        <v>5_L_C231_X_X_X_3P_N1A1_V_M_A</v>
      </c>
      <c r="T76" s="4">
        <v>1000</v>
      </c>
    </row>
    <row r="77" spans="1:20" ht="12">
      <c r="A77" s="7">
        <f>IF(ISBLANK(Inm_20024),"",$T$77*Inm_20024)</f>
      </c>
      <c r="B77" s="7">
        <v>20024</v>
      </c>
      <c r="C77" s="8" t="s">
        <v>530</v>
      </c>
      <c r="D77" s="218" t="s">
        <v>531</v>
      </c>
      <c r="E77" s="4">
        <v>5</v>
      </c>
      <c r="F77" s="4" t="s">
        <v>504</v>
      </c>
      <c r="G77" s="4" t="s">
        <v>532</v>
      </c>
      <c r="H77" s="4" t="s">
        <v>305</v>
      </c>
      <c r="I77" s="4" t="s">
        <v>305</v>
      </c>
      <c r="J77" s="4" t="s">
        <v>305</v>
      </c>
      <c r="K77" s="4" t="s">
        <v>306</v>
      </c>
      <c r="L77" s="4" t="s">
        <v>307</v>
      </c>
      <c r="M77" s="4" t="s">
        <v>308</v>
      </c>
      <c r="N77" s="4" t="s">
        <v>309</v>
      </c>
      <c r="O77" s="4" t="s">
        <v>310</v>
      </c>
      <c r="P77" s="5" t="e">
        <f>VLOOKUP(B77,Import!A$1:B$20000,2,FALSE)</f>
        <v>#N/A</v>
      </c>
      <c r="Q77" s="6" t="s">
        <v>311</v>
      </c>
      <c r="R77" s="9" t="e">
        <f>VLOOKUP(S77,Import!A$1:B$20000,2,FALSE)</f>
        <v>#N/A</v>
      </c>
      <c r="S77" s="10" t="str">
        <f t="shared" si="2"/>
        <v>5_L_C241_X_X_X_5J_N_V_M_A</v>
      </c>
      <c r="T77" s="4">
        <v>1000</v>
      </c>
    </row>
    <row r="78" spans="1:20" ht="12">
      <c r="A78" s="7">
        <f>IF(ISBLANK(Inm_20023),"",$T$78*Inm_20023)</f>
      </c>
      <c r="B78" s="7">
        <v>20023</v>
      </c>
      <c r="C78" s="8" t="s">
        <v>533</v>
      </c>
      <c r="D78" s="218" t="s">
        <v>534</v>
      </c>
      <c r="E78" s="4">
        <v>5</v>
      </c>
      <c r="F78" s="4" t="s">
        <v>504</v>
      </c>
      <c r="G78" s="4" t="s">
        <v>535</v>
      </c>
      <c r="H78" s="4" t="s">
        <v>305</v>
      </c>
      <c r="I78" s="4" t="s">
        <v>305</v>
      </c>
      <c r="J78" s="4" t="s">
        <v>305</v>
      </c>
      <c r="K78" s="4" t="s">
        <v>306</v>
      </c>
      <c r="L78" s="4" t="s">
        <v>307</v>
      </c>
      <c r="M78" s="4" t="s">
        <v>308</v>
      </c>
      <c r="N78" s="4" t="s">
        <v>309</v>
      </c>
      <c r="O78" s="4" t="s">
        <v>310</v>
      </c>
      <c r="P78" s="5" t="e">
        <f>VLOOKUP(B78,Import!A$1:B$20000,2,FALSE)</f>
        <v>#N/A</v>
      </c>
      <c r="Q78" s="6" t="s">
        <v>311</v>
      </c>
      <c r="R78" s="9" t="e">
        <f>VLOOKUP(S78,Import!A$1:B$20000,2,FALSE)</f>
        <v>#N/A</v>
      </c>
      <c r="S78" s="10" t="str">
        <f t="shared" si="2"/>
        <v>5_L_C242_X_X_X_5J_N_V_M_A</v>
      </c>
      <c r="T78" s="4">
        <v>1000</v>
      </c>
    </row>
    <row r="79" spans="1:20" ht="12">
      <c r="A79" s="7">
        <f>IF(ISBLANK(Inm_20022),"",$T$79*Inm_20022)</f>
      </c>
      <c r="B79" s="7">
        <v>20022</v>
      </c>
      <c r="C79" s="8" t="s">
        <v>457</v>
      </c>
      <c r="D79" s="218" t="s">
        <v>536</v>
      </c>
      <c r="E79" s="4">
        <v>5</v>
      </c>
      <c r="F79" s="4" t="s">
        <v>504</v>
      </c>
      <c r="G79" s="4" t="s">
        <v>537</v>
      </c>
      <c r="H79" s="4" t="s">
        <v>305</v>
      </c>
      <c r="I79" s="4" t="s">
        <v>305</v>
      </c>
      <c r="J79" s="4" t="s">
        <v>305</v>
      </c>
      <c r="K79" s="4" t="s">
        <v>306</v>
      </c>
      <c r="L79" s="4" t="s">
        <v>307</v>
      </c>
      <c r="M79" s="4" t="s">
        <v>308</v>
      </c>
      <c r="N79" s="4" t="s">
        <v>309</v>
      </c>
      <c r="O79" s="4" t="s">
        <v>310</v>
      </c>
      <c r="P79" s="5" t="e">
        <f>VLOOKUP(B79,Import!A$1:B$20000,2,FALSE)</f>
        <v>#N/A</v>
      </c>
      <c r="Q79" s="6" t="s">
        <v>311</v>
      </c>
      <c r="R79" s="9" t="e">
        <f>VLOOKUP(S79,Import!A$1:B$20000,2,FALSE)</f>
        <v>#N/A</v>
      </c>
      <c r="S79" s="10" t="str">
        <f t="shared" si="2"/>
        <v>5_L_C243_X_X_X_5J_N_V_M_A</v>
      </c>
      <c r="T79" s="4">
        <v>1000</v>
      </c>
    </row>
    <row r="80" spans="1:20" ht="12">
      <c r="A80" s="7">
        <f>IF(ISBLANK(Inm_20021),"",$T$80*Inm_20021)</f>
      </c>
      <c r="B80" s="7">
        <v>20021</v>
      </c>
      <c r="C80" s="8" t="s">
        <v>538</v>
      </c>
      <c r="D80" s="218" t="s">
        <v>539</v>
      </c>
      <c r="E80" s="4">
        <v>5</v>
      </c>
      <c r="F80" s="4" t="s">
        <v>504</v>
      </c>
      <c r="G80" s="4" t="s">
        <v>540</v>
      </c>
      <c r="H80" s="4" t="s">
        <v>305</v>
      </c>
      <c r="I80" s="4" t="s">
        <v>305</v>
      </c>
      <c r="J80" s="4" t="s">
        <v>305</v>
      </c>
      <c r="K80" s="4" t="s">
        <v>306</v>
      </c>
      <c r="L80" s="4" t="s">
        <v>541</v>
      </c>
      <c r="M80" s="4" t="s">
        <v>308</v>
      </c>
      <c r="N80" s="4" t="s">
        <v>309</v>
      </c>
      <c r="O80" s="4" t="s">
        <v>310</v>
      </c>
      <c r="P80" s="5" t="e">
        <f>VLOOKUP(B80,Import!A$1:B$20000,2,FALSE)</f>
        <v>#N/A</v>
      </c>
      <c r="Q80" s="6" t="s">
        <v>311</v>
      </c>
      <c r="R80" s="9" t="e">
        <f>VLOOKUP(S80,Import!A$1:B$20000,2,FALSE)</f>
        <v>#N/A</v>
      </c>
      <c r="S80" s="10" t="str">
        <f t="shared" si="2"/>
        <v>5_L_C251_X_X_X_5J_N415_V_M_A</v>
      </c>
      <c r="T80" s="4">
        <v>1000</v>
      </c>
    </row>
    <row r="81" spans="1:20" ht="12">
      <c r="A81" s="7">
        <f>IF(ISBLANK(Inm_20020),"",$T$81*Inm_20020)</f>
      </c>
      <c r="B81" s="7">
        <v>20020</v>
      </c>
      <c r="C81" s="8" t="s">
        <v>542</v>
      </c>
      <c r="D81" s="218" t="s">
        <v>543</v>
      </c>
      <c r="E81" s="4">
        <v>5</v>
      </c>
      <c r="F81" s="4" t="s">
        <v>504</v>
      </c>
      <c r="G81" s="4" t="s">
        <v>540</v>
      </c>
      <c r="H81" s="4" t="s">
        <v>305</v>
      </c>
      <c r="I81" s="4" t="s">
        <v>305</v>
      </c>
      <c r="J81" s="4" t="s">
        <v>305</v>
      </c>
      <c r="K81" s="4" t="s">
        <v>306</v>
      </c>
      <c r="L81" s="4" t="s">
        <v>544</v>
      </c>
      <c r="M81" s="4" t="s">
        <v>308</v>
      </c>
      <c r="N81" s="4" t="s">
        <v>309</v>
      </c>
      <c r="O81" s="4" t="s">
        <v>310</v>
      </c>
      <c r="P81" s="5" t="e">
        <f>VLOOKUP(B81,Import!A$1:B$20000,2,FALSE)</f>
        <v>#N/A</v>
      </c>
      <c r="Q81" s="6" t="s">
        <v>311</v>
      </c>
      <c r="R81" s="9" t="e">
        <f>VLOOKUP(S81,Import!A$1:B$20000,2,FALSE)</f>
        <v>#N/A</v>
      </c>
      <c r="S81" s="10" t="str">
        <f t="shared" si="2"/>
        <v>5_L_C251_X_X_X_5J_N416_V_M_A</v>
      </c>
      <c r="T81" s="4">
        <v>1000</v>
      </c>
    </row>
    <row r="82" spans="1:20" ht="12">
      <c r="A82" s="7">
        <f>IF(ISBLANK(Inm_20019),"",$T$82*Inm_20019)</f>
      </c>
      <c r="B82" s="7">
        <v>20019</v>
      </c>
      <c r="C82" s="8" t="s">
        <v>545</v>
      </c>
      <c r="D82" s="218" t="s">
        <v>546</v>
      </c>
      <c r="E82" s="4">
        <v>5</v>
      </c>
      <c r="F82" s="4" t="s">
        <v>504</v>
      </c>
      <c r="G82" s="4" t="s">
        <v>540</v>
      </c>
      <c r="H82" s="4" t="s">
        <v>305</v>
      </c>
      <c r="I82" s="4" t="s">
        <v>305</v>
      </c>
      <c r="J82" s="4" t="s">
        <v>305</v>
      </c>
      <c r="K82" s="4" t="s">
        <v>306</v>
      </c>
      <c r="L82" s="4" t="s">
        <v>547</v>
      </c>
      <c r="M82" s="4" t="s">
        <v>308</v>
      </c>
      <c r="N82" s="4" t="s">
        <v>309</v>
      </c>
      <c r="O82" s="4" t="s">
        <v>310</v>
      </c>
      <c r="P82" s="5" t="e">
        <f>VLOOKUP(B82,Import!A$1:B$20000,2,FALSE)</f>
        <v>#N/A</v>
      </c>
      <c r="Q82" s="6" t="s">
        <v>311</v>
      </c>
      <c r="R82" s="9" t="e">
        <f>VLOOKUP(S82,Import!A$1:B$20000,2,FALSE)</f>
        <v>#N/A</v>
      </c>
      <c r="S82" s="10" t="str">
        <f t="shared" si="2"/>
        <v>5_L_C251_X_X_X_5J_N417_V_M_A</v>
      </c>
      <c r="T82" s="4">
        <v>1000</v>
      </c>
    </row>
    <row r="83" spans="1:20" ht="12">
      <c r="A83" s="7">
        <f>IF(ISBLANK(Inm_20018),"",$T$83*Inm_20018)</f>
      </c>
      <c r="B83" s="7">
        <v>20018</v>
      </c>
      <c r="C83" s="8" t="s">
        <v>548</v>
      </c>
      <c r="D83" s="218" t="s">
        <v>549</v>
      </c>
      <c r="E83" s="4">
        <v>5</v>
      </c>
      <c r="F83" s="4" t="s">
        <v>504</v>
      </c>
      <c r="G83" s="4" t="s">
        <v>540</v>
      </c>
      <c r="H83" s="4" t="s">
        <v>305</v>
      </c>
      <c r="I83" s="4" t="s">
        <v>305</v>
      </c>
      <c r="J83" s="4" t="s">
        <v>305</v>
      </c>
      <c r="K83" s="4" t="s">
        <v>306</v>
      </c>
      <c r="L83" s="4" t="s">
        <v>550</v>
      </c>
      <c r="M83" s="4" t="s">
        <v>308</v>
      </c>
      <c r="N83" s="4" t="s">
        <v>309</v>
      </c>
      <c r="O83" s="4" t="s">
        <v>310</v>
      </c>
      <c r="P83" s="5" t="e">
        <f>VLOOKUP(B83,Import!A$1:B$20000,2,FALSE)</f>
        <v>#N/A</v>
      </c>
      <c r="Q83" s="6" t="s">
        <v>311</v>
      </c>
      <c r="R83" s="9" t="e">
        <f>VLOOKUP(S83,Import!A$1:B$20000,2,FALSE)</f>
        <v>#N/A</v>
      </c>
      <c r="S83" s="10" t="str">
        <f t="shared" si="2"/>
        <v>5_L_C251_X_X_X_5J_N418_V_M_A</v>
      </c>
      <c r="T83" s="4">
        <v>1000</v>
      </c>
    </row>
    <row r="84" spans="1:20" ht="12">
      <c r="A84" s="7">
        <f>IF(ISBLANK(Inm_20017),"",$T$84*Inm_20017)</f>
      </c>
      <c r="B84" s="7">
        <v>20017</v>
      </c>
      <c r="C84" s="8" t="s">
        <v>551</v>
      </c>
      <c r="D84" s="218" t="s">
        <v>552</v>
      </c>
      <c r="E84" s="4">
        <v>5</v>
      </c>
      <c r="F84" s="4" t="s">
        <v>504</v>
      </c>
      <c r="G84" s="4" t="s">
        <v>540</v>
      </c>
      <c r="H84" s="4" t="s">
        <v>305</v>
      </c>
      <c r="I84" s="4" t="s">
        <v>305</v>
      </c>
      <c r="J84" s="4" t="s">
        <v>305</v>
      </c>
      <c r="K84" s="4" t="s">
        <v>436</v>
      </c>
      <c r="L84" s="4" t="s">
        <v>553</v>
      </c>
      <c r="M84" s="4" t="s">
        <v>308</v>
      </c>
      <c r="N84" s="4" t="s">
        <v>309</v>
      </c>
      <c r="O84" s="4" t="s">
        <v>310</v>
      </c>
      <c r="P84" s="5" t="e">
        <f>VLOOKUP(B84,Import!A$1:B$20000,2,FALSE)</f>
        <v>#N/A</v>
      </c>
      <c r="Q84" s="6" t="s">
        <v>311</v>
      </c>
      <c r="R84" s="9" t="e">
        <f>VLOOKUP(S84,Import!A$1:B$20000,2,FALSE)</f>
        <v>#N/A</v>
      </c>
      <c r="S84" s="10" t="str">
        <f t="shared" si="2"/>
        <v>5_L_C251_X_X_X_3P_N419_V_M_A</v>
      </c>
      <c r="T84" s="4">
        <v>1000</v>
      </c>
    </row>
    <row r="85" spans="1:20" ht="12">
      <c r="A85" s="7">
        <f>IF(ISBLANK(Inm_20016),"",$T$85*Inm_20016)</f>
      </c>
      <c r="B85" s="7">
        <v>20016</v>
      </c>
      <c r="C85" s="8" t="s">
        <v>554</v>
      </c>
      <c r="D85" s="218" t="s">
        <v>555</v>
      </c>
      <c r="E85" s="4">
        <v>5</v>
      </c>
      <c r="F85" s="4" t="s">
        <v>504</v>
      </c>
      <c r="G85" s="4" t="s">
        <v>556</v>
      </c>
      <c r="H85" s="4" t="s">
        <v>305</v>
      </c>
      <c r="I85" s="4" t="s">
        <v>305</v>
      </c>
      <c r="J85" s="4" t="s">
        <v>305</v>
      </c>
      <c r="K85" s="4" t="s">
        <v>306</v>
      </c>
      <c r="L85" s="4" t="s">
        <v>307</v>
      </c>
      <c r="M85" s="4" t="s">
        <v>308</v>
      </c>
      <c r="N85" s="4" t="s">
        <v>309</v>
      </c>
      <c r="O85" s="4" t="s">
        <v>310</v>
      </c>
      <c r="P85" s="5" t="e">
        <f>VLOOKUP(B85,Import!A$1:B$20000,2,FALSE)</f>
        <v>#N/A</v>
      </c>
      <c r="Q85" s="6" t="s">
        <v>311</v>
      </c>
      <c r="R85" s="9" t="e">
        <f>VLOOKUP(S85,Import!A$1:B$20000,2,FALSE)</f>
        <v>#N/A</v>
      </c>
      <c r="S85" s="10" t="str">
        <f t="shared" si="2"/>
        <v>5_L_C261_X_X_X_5J_N_V_M_A</v>
      </c>
      <c r="T85" s="4">
        <v>1000</v>
      </c>
    </row>
    <row r="86" spans="1:20" ht="12">
      <c r="A86" s="7">
        <f>IF(ISBLANK(Inm_20015),"",$T$86*Inm_20015)</f>
      </c>
      <c r="B86" s="7">
        <v>20015</v>
      </c>
      <c r="C86" s="8" t="s">
        <v>557</v>
      </c>
      <c r="D86" s="218" t="s">
        <v>558</v>
      </c>
      <c r="E86" s="4">
        <v>5</v>
      </c>
      <c r="F86" s="4" t="s">
        <v>504</v>
      </c>
      <c r="G86" s="4" t="s">
        <v>559</v>
      </c>
      <c r="H86" s="4" t="s">
        <v>305</v>
      </c>
      <c r="I86" s="4" t="s">
        <v>305</v>
      </c>
      <c r="J86" s="4" t="s">
        <v>305</v>
      </c>
      <c r="K86" s="4" t="s">
        <v>306</v>
      </c>
      <c r="L86" s="4" t="s">
        <v>307</v>
      </c>
      <c r="M86" s="4" t="s">
        <v>308</v>
      </c>
      <c r="N86" s="4" t="s">
        <v>309</v>
      </c>
      <c r="O86" s="4" t="s">
        <v>310</v>
      </c>
      <c r="P86" s="5" t="e">
        <f>VLOOKUP(B86,Import!A$1:B$20000,2,FALSE)</f>
        <v>#N/A</v>
      </c>
      <c r="Q86" s="6" t="s">
        <v>311</v>
      </c>
      <c r="R86" s="9" t="e">
        <f>VLOOKUP(S86,Import!A$1:B$20000,2,FALSE)</f>
        <v>#N/A</v>
      </c>
      <c r="S86" s="10" t="str">
        <f t="shared" si="2"/>
        <v>5_L_C262_X_X_X_5J_N_V_M_A</v>
      </c>
      <c r="T86" s="4">
        <v>1000</v>
      </c>
    </row>
    <row r="87" spans="1:20" ht="12">
      <c r="A87" s="7">
        <f>IF(ISBLANK(Inm_20014),"",$T$87*Inm_20014)</f>
      </c>
      <c r="B87" s="7">
        <v>20014</v>
      </c>
      <c r="C87" s="8" t="s">
        <v>560</v>
      </c>
      <c r="D87" s="218" t="s">
        <v>561</v>
      </c>
      <c r="E87" s="4">
        <v>5</v>
      </c>
      <c r="F87" s="4" t="s">
        <v>504</v>
      </c>
      <c r="G87" s="4" t="s">
        <v>562</v>
      </c>
      <c r="H87" s="4" t="s">
        <v>305</v>
      </c>
      <c r="I87" s="4" t="s">
        <v>305</v>
      </c>
      <c r="J87" s="4" t="s">
        <v>305</v>
      </c>
      <c r="K87" s="4" t="s">
        <v>306</v>
      </c>
      <c r="L87" s="4" t="s">
        <v>307</v>
      </c>
      <c r="M87" s="4" t="s">
        <v>308</v>
      </c>
      <c r="N87" s="4" t="s">
        <v>309</v>
      </c>
      <c r="O87" s="4" t="s">
        <v>310</v>
      </c>
      <c r="P87" s="5" t="e">
        <f>VLOOKUP(B87,Import!A$1:B$20000,2,FALSE)</f>
        <v>#N/A</v>
      </c>
      <c r="Q87" s="6" t="s">
        <v>311</v>
      </c>
      <c r="R87" s="9" t="e">
        <f>VLOOKUP(S87,Import!A$1:B$20000,2,FALSE)</f>
        <v>#N/A</v>
      </c>
      <c r="S87" s="10" t="str">
        <f t="shared" si="2"/>
        <v>5_L_C271_X_X_X_5J_N_V_M_A</v>
      </c>
      <c r="T87" s="4">
        <v>1000</v>
      </c>
    </row>
    <row r="88" spans="1:20" ht="12">
      <c r="A88" s="7">
        <f>IF(ISBLANK(Inm_20059),"",$T$88*Inm_20059)</f>
      </c>
      <c r="B88" s="7">
        <v>20059</v>
      </c>
      <c r="C88" s="8" t="s">
        <v>454</v>
      </c>
      <c r="D88" s="218" t="s">
        <v>563</v>
      </c>
      <c r="E88" s="4">
        <v>5</v>
      </c>
      <c r="F88" s="4" t="s">
        <v>504</v>
      </c>
      <c r="G88" s="4" t="s">
        <v>564</v>
      </c>
      <c r="H88" s="4" t="s">
        <v>305</v>
      </c>
      <c r="I88" s="4" t="s">
        <v>305</v>
      </c>
      <c r="J88" s="4" t="s">
        <v>305</v>
      </c>
      <c r="K88" s="4" t="s">
        <v>306</v>
      </c>
      <c r="L88" s="4" t="s">
        <v>307</v>
      </c>
      <c r="M88" s="4" t="s">
        <v>308</v>
      </c>
      <c r="N88" s="4" t="s">
        <v>309</v>
      </c>
      <c r="O88" s="4" t="s">
        <v>310</v>
      </c>
      <c r="P88" s="5" t="e">
        <f>VLOOKUP(B88,Import!A$1:B$20000,2,FALSE)</f>
        <v>#N/A</v>
      </c>
      <c r="Q88" s="6" t="s">
        <v>311</v>
      </c>
      <c r="R88" s="9" t="e">
        <f>VLOOKUP(S88,Import!A$1:B$20000,2,FALSE)</f>
        <v>#N/A</v>
      </c>
      <c r="S88" s="10" t="str">
        <f t="shared" si="2"/>
        <v>5_L_C2711_X_X_X_5J_N_V_M_A</v>
      </c>
      <c r="T88" s="4">
        <v>1000</v>
      </c>
    </row>
    <row r="89" spans="1:20" ht="12">
      <c r="A89" s="7">
        <f>IF(ISBLANK(Inm_20060),"",$T$89*Inm_20060)</f>
      </c>
      <c r="B89" s="7">
        <v>20060</v>
      </c>
      <c r="C89" s="8" t="s">
        <v>484</v>
      </c>
      <c r="D89" s="218" t="s">
        <v>565</v>
      </c>
      <c r="E89" s="4">
        <v>5</v>
      </c>
      <c r="F89" s="4" t="s">
        <v>504</v>
      </c>
      <c r="G89" s="4" t="s">
        <v>566</v>
      </c>
      <c r="H89" s="4" t="s">
        <v>305</v>
      </c>
      <c r="I89" s="4" t="s">
        <v>305</v>
      </c>
      <c r="J89" s="4" t="s">
        <v>305</v>
      </c>
      <c r="K89" s="4" t="s">
        <v>306</v>
      </c>
      <c r="L89" s="4" t="s">
        <v>307</v>
      </c>
      <c r="M89" s="4" t="s">
        <v>308</v>
      </c>
      <c r="N89" s="4" t="s">
        <v>309</v>
      </c>
      <c r="O89" s="4" t="s">
        <v>310</v>
      </c>
      <c r="P89" s="5" t="e">
        <f>VLOOKUP(B89,Import!A$1:B$20000,2,FALSE)</f>
        <v>#N/A</v>
      </c>
      <c r="Q89" s="6" t="s">
        <v>311</v>
      </c>
      <c r="R89" s="9" t="e">
        <f>VLOOKUP(S89,Import!A$1:B$20000,2,FALSE)</f>
        <v>#N/A</v>
      </c>
      <c r="S89" s="10" t="str">
        <f t="shared" si="2"/>
        <v>5_L_C281_X_X_X_5J_N_V_M_A</v>
      </c>
      <c r="T89" s="4">
        <v>1000</v>
      </c>
    </row>
    <row r="90" spans="1:20" ht="12">
      <c r="A90" s="7">
        <f>IF(ISBLANK(Inm_20061),"",$T$90*Inm_20061)</f>
      </c>
      <c r="B90" s="7">
        <v>20061</v>
      </c>
      <c r="C90" s="8" t="s">
        <v>481</v>
      </c>
      <c r="D90" s="218" t="s">
        <v>567</v>
      </c>
      <c r="E90" s="4">
        <v>5</v>
      </c>
      <c r="F90" s="4" t="s">
        <v>504</v>
      </c>
      <c r="G90" s="4" t="s">
        <v>568</v>
      </c>
      <c r="H90" s="4" t="s">
        <v>305</v>
      </c>
      <c r="I90" s="4" t="s">
        <v>305</v>
      </c>
      <c r="J90" s="4" t="s">
        <v>305</v>
      </c>
      <c r="K90" s="4" t="s">
        <v>306</v>
      </c>
      <c r="L90" s="4" t="s">
        <v>307</v>
      </c>
      <c r="M90" s="4" t="s">
        <v>308</v>
      </c>
      <c r="N90" s="4" t="s">
        <v>309</v>
      </c>
      <c r="O90" s="4" t="s">
        <v>310</v>
      </c>
      <c r="P90" s="5" t="e">
        <f>VLOOKUP(B90,Import!A$1:B$20000,2,FALSE)</f>
        <v>#N/A</v>
      </c>
      <c r="Q90" s="6" t="s">
        <v>311</v>
      </c>
      <c r="R90" s="9" t="e">
        <f>VLOOKUP(S90,Import!A$1:B$20000,2,FALSE)</f>
        <v>#N/A</v>
      </c>
      <c r="S90" s="10" t="str">
        <f t="shared" si="2"/>
        <v>5_L_C282_X_X_X_5J_N_V_M_A</v>
      </c>
      <c r="T90" s="4">
        <v>1000</v>
      </c>
    </row>
    <row r="91" spans="1:20" ht="12">
      <c r="A91" s="7">
        <f>IF(ISBLANK(Inm_20063),"",$T$91*Inm_20063)</f>
      </c>
      <c r="B91" s="7">
        <v>20063</v>
      </c>
      <c r="C91" s="8" t="s">
        <v>569</v>
      </c>
      <c r="D91" s="218" t="s">
        <v>570</v>
      </c>
      <c r="E91" s="4">
        <v>2</v>
      </c>
      <c r="F91" s="4" t="s">
        <v>504</v>
      </c>
      <c r="G91" s="4" t="s">
        <v>571</v>
      </c>
      <c r="H91" s="4" t="s">
        <v>305</v>
      </c>
      <c r="I91" s="4" t="s">
        <v>305</v>
      </c>
      <c r="J91" s="4" t="s">
        <v>305</v>
      </c>
      <c r="K91" s="4" t="s">
        <v>306</v>
      </c>
      <c r="L91" s="4" t="s">
        <v>307</v>
      </c>
      <c r="M91" s="4" t="s">
        <v>308</v>
      </c>
      <c r="N91" s="4" t="s">
        <v>309</v>
      </c>
      <c r="O91" s="4" t="s">
        <v>310</v>
      </c>
      <c r="P91" s="5" t="e">
        <f>VLOOKUP(B91,Import!A$1:B$20000,2,FALSE)</f>
        <v>#N/A</v>
      </c>
      <c r="Q91" s="6" t="s">
        <v>311</v>
      </c>
      <c r="R91" s="9" t="e">
        <f>VLOOKUP(S91,Import!A$1:B$20000,2,FALSE)</f>
        <v>#N/A</v>
      </c>
      <c r="S91" s="10" t="str">
        <f t="shared" si="2"/>
        <v>2_L_C401_X_X_X_5J_N_V_M_A</v>
      </c>
      <c r="T91" s="4">
        <v>1000</v>
      </c>
    </row>
    <row r="92" spans="1:20" ht="12">
      <c r="A92" s="7">
        <f>IF(ISBLANK(Inm_20071),"",$T$92*Inm_20071)</f>
      </c>
      <c r="B92" s="7">
        <v>20071</v>
      </c>
      <c r="C92" s="8" t="s">
        <v>572</v>
      </c>
      <c r="D92" s="218" t="s">
        <v>573</v>
      </c>
      <c r="E92" s="4">
        <v>5</v>
      </c>
      <c r="F92" s="4" t="s">
        <v>504</v>
      </c>
      <c r="G92" s="4" t="s">
        <v>574</v>
      </c>
      <c r="H92" s="4" t="s">
        <v>305</v>
      </c>
      <c r="I92" s="4" t="s">
        <v>305</v>
      </c>
      <c r="J92" s="4" t="s">
        <v>305</v>
      </c>
      <c r="K92" s="4" t="s">
        <v>306</v>
      </c>
      <c r="L92" s="4" t="s">
        <v>307</v>
      </c>
      <c r="M92" s="4" t="s">
        <v>308</v>
      </c>
      <c r="N92" s="4" t="s">
        <v>309</v>
      </c>
      <c r="O92" s="4" t="s">
        <v>310</v>
      </c>
      <c r="P92" s="5" t="e">
        <f>VLOOKUP(B92,Import!A$1:B$20000,2,FALSE)</f>
        <v>#N/A</v>
      </c>
      <c r="Q92" s="6" t="s">
        <v>311</v>
      </c>
      <c r="R92" s="9" t="e">
        <f>VLOOKUP(S92,Import!A$1:B$20000,2,FALSE)</f>
        <v>#N/A</v>
      </c>
      <c r="S92" s="10" t="str">
        <f t="shared" si="2"/>
        <v>5_L_C402_X_X_X_5J_N_V_M_A</v>
      </c>
      <c r="T92" s="4">
        <v>1000</v>
      </c>
    </row>
    <row r="93" spans="1:20" ht="12">
      <c r="A93" s="7">
        <f>IF(ISBLANK(Inm_20006),"",$T$93*Inm_20006)</f>
      </c>
      <c r="B93" s="7">
        <v>20006</v>
      </c>
      <c r="C93" s="8" t="s">
        <v>575</v>
      </c>
      <c r="D93" s="218" t="s">
        <v>576</v>
      </c>
      <c r="E93" s="4">
        <v>5</v>
      </c>
      <c r="F93" s="4" t="s">
        <v>504</v>
      </c>
      <c r="G93" s="4" t="s">
        <v>577</v>
      </c>
      <c r="H93" s="4" t="s">
        <v>305</v>
      </c>
      <c r="I93" s="4" t="s">
        <v>305</v>
      </c>
      <c r="J93" s="4" t="s">
        <v>305</v>
      </c>
      <c r="K93" s="4" t="s">
        <v>306</v>
      </c>
      <c r="L93" s="4" t="s">
        <v>307</v>
      </c>
      <c r="M93" s="4" t="s">
        <v>308</v>
      </c>
      <c r="N93" s="4" t="s">
        <v>309</v>
      </c>
      <c r="O93" s="4" t="s">
        <v>310</v>
      </c>
      <c r="P93" s="5" t="e">
        <f>VLOOKUP(B93,Import!A$1:B$20000,2,FALSE)</f>
        <v>#N/A</v>
      </c>
      <c r="Q93" s="6" t="s">
        <v>311</v>
      </c>
      <c r="R93" s="9" t="e">
        <f>VLOOKUP(S93,Import!A$1:B$20000,2,FALSE)</f>
        <v>#N/A</v>
      </c>
      <c r="S93" s="10" t="str">
        <f t="shared" si="2"/>
        <v>5_L_C4031_X_X_X_5J_N_V_M_A</v>
      </c>
      <c r="T93" s="4">
        <v>1000</v>
      </c>
    </row>
    <row r="94" spans="1:20" ht="12">
      <c r="A94" s="7">
        <f>IF(ISBLANK(Inm_20005),"",$T$94*Inm_20005)</f>
      </c>
      <c r="B94" s="7">
        <v>20005</v>
      </c>
      <c r="C94" s="8" t="s">
        <v>578</v>
      </c>
      <c r="D94" s="218" t="s">
        <v>579</v>
      </c>
      <c r="E94" s="4">
        <v>5</v>
      </c>
      <c r="F94" s="4" t="s">
        <v>504</v>
      </c>
      <c r="G94" s="4" t="s">
        <v>580</v>
      </c>
      <c r="H94" s="4" t="s">
        <v>305</v>
      </c>
      <c r="I94" s="4" t="s">
        <v>305</v>
      </c>
      <c r="J94" s="4" t="s">
        <v>305</v>
      </c>
      <c r="K94" s="4" t="s">
        <v>306</v>
      </c>
      <c r="L94" s="4" t="s">
        <v>307</v>
      </c>
      <c r="M94" s="4" t="s">
        <v>308</v>
      </c>
      <c r="N94" s="4" t="s">
        <v>309</v>
      </c>
      <c r="O94" s="4" t="s">
        <v>310</v>
      </c>
      <c r="P94" s="5" t="e">
        <f>VLOOKUP(B94,Import!A$1:B$20000,2,FALSE)</f>
        <v>#N/A</v>
      </c>
      <c r="Q94" s="6" t="s">
        <v>311</v>
      </c>
      <c r="R94" s="9" t="e">
        <f>VLOOKUP(S94,Import!A$1:B$20000,2,FALSE)</f>
        <v>#N/A</v>
      </c>
      <c r="S94" s="10" t="str">
        <f t="shared" si="2"/>
        <v>5_L_C4032_X_X_X_5J_N_V_M_A</v>
      </c>
      <c r="T94" s="4">
        <v>1000</v>
      </c>
    </row>
    <row r="95" spans="1:20" ht="12">
      <c r="A95" s="7">
        <f>IF(ISBLANK(Inm_20004),"",$T$95*Inm_20004)</f>
      </c>
      <c r="B95" s="7">
        <v>20004</v>
      </c>
      <c r="C95" s="8" t="s">
        <v>581</v>
      </c>
      <c r="D95" s="218" t="s">
        <v>582</v>
      </c>
      <c r="E95" s="4">
        <v>5</v>
      </c>
      <c r="F95" s="4" t="s">
        <v>504</v>
      </c>
      <c r="G95" s="4" t="s">
        <v>583</v>
      </c>
      <c r="H95" s="4" t="s">
        <v>305</v>
      </c>
      <c r="I95" s="4" t="s">
        <v>305</v>
      </c>
      <c r="J95" s="4" t="s">
        <v>305</v>
      </c>
      <c r="K95" s="4" t="s">
        <v>306</v>
      </c>
      <c r="L95" s="4" t="s">
        <v>307</v>
      </c>
      <c r="M95" s="4" t="s">
        <v>308</v>
      </c>
      <c r="N95" s="4" t="s">
        <v>309</v>
      </c>
      <c r="O95" s="4" t="s">
        <v>310</v>
      </c>
      <c r="P95" s="5" t="e">
        <f>VLOOKUP(B95,Import!A$1:B$20000,2,FALSE)</f>
        <v>#N/A</v>
      </c>
      <c r="Q95" s="6" t="s">
        <v>311</v>
      </c>
      <c r="R95" s="9" t="e">
        <f>VLOOKUP(S95,Import!A$1:B$20000,2,FALSE)</f>
        <v>#N/A</v>
      </c>
      <c r="S95" s="10" t="str">
        <f t="shared" si="2"/>
        <v>5_L_C411_X_X_X_5J_N_V_M_A</v>
      </c>
      <c r="T95" s="4">
        <v>1000</v>
      </c>
    </row>
    <row r="96" spans="1:20" ht="12">
      <c r="A96" s="7">
        <f>IF(ISBLANK(Inm_20003),"",$T$96*Inm_20003)</f>
      </c>
      <c r="B96" s="7">
        <v>20003</v>
      </c>
      <c r="C96" s="8" t="s">
        <v>584</v>
      </c>
      <c r="D96" s="218" t="s">
        <v>585</v>
      </c>
      <c r="E96" s="4">
        <v>5</v>
      </c>
      <c r="F96" s="4" t="s">
        <v>504</v>
      </c>
      <c r="G96" s="4" t="s">
        <v>586</v>
      </c>
      <c r="H96" s="4" t="s">
        <v>305</v>
      </c>
      <c r="I96" s="4" t="s">
        <v>305</v>
      </c>
      <c r="J96" s="4" t="s">
        <v>305</v>
      </c>
      <c r="K96" s="4" t="s">
        <v>306</v>
      </c>
      <c r="L96" s="4" t="s">
        <v>307</v>
      </c>
      <c r="M96" s="4" t="s">
        <v>308</v>
      </c>
      <c r="N96" s="4" t="s">
        <v>309</v>
      </c>
      <c r="O96" s="4" t="s">
        <v>310</v>
      </c>
      <c r="P96" s="5" t="e">
        <f>VLOOKUP(B96,Import!A$1:B$20000,2,FALSE)</f>
        <v>#N/A</v>
      </c>
      <c r="Q96" s="6" t="s">
        <v>311</v>
      </c>
      <c r="R96" s="9" t="e">
        <f>VLOOKUP(S96,Import!A$1:B$20000,2,FALSE)</f>
        <v>#N/A</v>
      </c>
      <c r="S96" s="10" t="str">
        <f t="shared" si="2"/>
        <v>5_L_C421_X_X_X_5J_N_V_M_A</v>
      </c>
      <c r="T96" s="4">
        <v>1000</v>
      </c>
    </row>
    <row r="97" spans="1:20" ht="12">
      <c r="A97" s="7">
        <f>IF(ISBLANK(Inm_20002),"",$T$97*Inm_20002)</f>
      </c>
      <c r="B97" s="7">
        <v>20002</v>
      </c>
      <c r="C97" s="8" t="s">
        <v>394</v>
      </c>
      <c r="D97" s="218" t="s">
        <v>587</v>
      </c>
      <c r="E97" s="4">
        <v>5</v>
      </c>
      <c r="F97" s="4" t="s">
        <v>504</v>
      </c>
      <c r="G97" s="4" t="s">
        <v>588</v>
      </c>
      <c r="H97" s="4" t="s">
        <v>305</v>
      </c>
      <c r="I97" s="4" t="s">
        <v>305</v>
      </c>
      <c r="J97" s="4" t="s">
        <v>305</v>
      </c>
      <c r="K97" s="4" t="s">
        <v>306</v>
      </c>
      <c r="L97" s="4" t="s">
        <v>307</v>
      </c>
      <c r="M97" s="4" t="s">
        <v>308</v>
      </c>
      <c r="N97" s="4" t="s">
        <v>309</v>
      </c>
      <c r="O97" s="4" t="s">
        <v>310</v>
      </c>
      <c r="P97" s="5" t="e">
        <f>VLOOKUP(B97,Import!A$1:B$20000,2,FALSE)</f>
        <v>#N/A</v>
      </c>
      <c r="Q97" s="6" t="s">
        <v>311</v>
      </c>
      <c r="R97" s="9" t="e">
        <f>VLOOKUP(S97,Import!A$1:B$20000,2,FALSE)</f>
        <v>#N/A</v>
      </c>
      <c r="S97" s="10" t="str">
        <f aca="true" t="shared" si="3" ref="S97:S126">CONCATENATE(E97,"_",F97,"_",G97,"_",H97,"_",I97,"_",J97,"_",K97,"_",L97,"_",M97,"_",N97,"_",O97)</f>
        <v>5_L_C431_X_X_X_5J_N_V_M_A</v>
      </c>
      <c r="T97" s="4">
        <v>1000</v>
      </c>
    </row>
    <row r="98" spans="1:20" ht="12">
      <c r="A98" s="7">
        <f>IF(ISBLANK(Inm_20001),"",$T$98*Inm_20001)</f>
      </c>
      <c r="B98" s="7">
        <v>20001</v>
      </c>
      <c r="C98" s="8" t="s">
        <v>589</v>
      </c>
      <c r="D98" s="218" t="s">
        <v>590</v>
      </c>
      <c r="E98" s="4">
        <v>5</v>
      </c>
      <c r="F98" s="4" t="s">
        <v>504</v>
      </c>
      <c r="G98" s="4" t="s">
        <v>591</v>
      </c>
      <c r="H98" s="4" t="s">
        <v>305</v>
      </c>
      <c r="I98" s="4" t="s">
        <v>305</v>
      </c>
      <c r="J98" s="4" t="s">
        <v>305</v>
      </c>
      <c r="K98" s="4" t="s">
        <v>306</v>
      </c>
      <c r="L98" s="4" t="s">
        <v>307</v>
      </c>
      <c r="M98" s="4" t="s">
        <v>308</v>
      </c>
      <c r="N98" s="4" t="s">
        <v>309</v>
      </c>
      <c r="O98" s="4" t="s">
        <v>310</v>
      </c>
      <c r="P98" s="5" t="e">
        <f>VLOOKUP(B98,Import!A$1:B$20000,2,FALSE)</f>
        <v>#N/A</v>
      </c>
      <c r="Q98" s="6" t="s">
        <v>311</v>
      </c>
      <c r="R98" s="9" t="e">
        <f>VLOOKUP(S98,Import!A$1:B$20000,2,FALSE)</f>
        <v>#N/A</v>
      </c>
      <c r="S98" s="10" t="str">
        <f t="shared" si="3"/>
        <v>5_L_C432_X_X_X_5J_N_V_M_A</v>
      </c>
      <c r="T98" s="4">
        <v>1000</v>
      </c>
    </row>
    <row r="99" spans="1:20" ht="12">
      <c r="A99" s="7">
        <f>IF(ISBLANK(Inm_20000),"",$T$99*Inm_20000)</f>
      </c>
      <c r="B99" s="7">
        <v>20000</v>
      </c>
      <c r="C99" s="8" t="s">
        <v>592</v>
      </c>
      <c r="D99" s="218" t="s">
        <v>593</v>
      </c>
      <c r="E99" s="4">
        <v>5</v>
      </c>
      <c r="F99" s="4" t="s">
        <v>504</v>
      </c>
      <c r="G99" s="4" t="s">
        <v>594</v>
      </c>
      <c r="H99" s="4" t="s">
        <v>305</v>
      </c>
      <c r="I99" s="4" t="s">
        <v>305</v>
      </c>
      <c r="J99" s="4" t="s">
        <v>305</v>
      </c>
      <c r="K99" s="4" t="s">
        <v>306</v>
      </c>
      <c r="L99" s="4" t="s">
        <v>307</v>
      </c>
      <c r="M99" s="4" t="s">
        <v>308</v>
      </c>
      <c r="N99" s="4" t="s">
        <v>309</v>
      </c>
      <c r="O99" s="4" t="s">
        <v>310</v>
      </c>
      <c r="P99" s="5" t="e">
        <f>VLOOKUP(B99,Import!A$1:B$20000,2,FALSE)</f>
        <v>#N/A</v>
      </c>
      <c r="Q99" s="6" t="s">
        <v>311</v>
      </c>
      <c r="R99" s="9" t="e">
        <f>VLOOKUP(S99,Import!A$1:B$20000,2,FALSE)</f>
        <v>#N/A</v>
      </c>
      <c r="S99" s="10" t="str">
        <f t="shared" si="3"/>
        <v>5_L_C435_X_X_X_5J_N_V_M_A</v>
      </c>
      <c r="T99" s="4">
        <v>1000</v>
      </c>
    </row>
    <row r="100" spans="1:20" ht="12">
      <c r="A100" s="7">
        <f>IF(ISBLANK(Inm_19999),"",$T$100*Inm_19999)</f>
      </c>
      <c r="B100" s="7">
        <v>19999</v>
      </c>
      <c r="C100" s="8" t="s">
        <v>595</v>
      </c>
      <c r="D100" s="218" t="s">
        <v>596</v>
      </c>
      <c r="E100" s="4">
        <v>5</v>
      </c>
      <c r="F100" s="4" t="s">
        <v>504</v>
      </c>
      <c r="G100" s="4" t="s">
        <v>597</v>
      </c>
      <c r="H100" s="4" t="s">
        <v>305</v>
      </c>
      <c r="I100" s="4" t="s">
        <v>305</v>
      </c>
      <c r="J100" s="4" t="s">
        <v>305</v>
      </c>
      <c r="K100" s="4" t="s">
        <v>306</v>
      </c>
      <c r="L100" s="4" t="s">
        <v>307</v>
      </c>
      <c r="M100" s="4" t="s">
        <v>308</v>
      </c>
      <c r="N100" s="4" t="s">
        <v>309</v>
      </c>
      <c r="O100" s="4" t="s">
        <v>310</v>
      </c>
      <c r="P100" s="5" t="e">
        <f>VLOOKUP(B100,Import!A$1:B$20000,2,FALSE)</f>
        <v>#N/A</v>
      </c>
      <c r="Q100" s="6" t="s">
        <v>311</v>
      </c>
      <c r="R100" s="9" t="e">
        <f>VLOOKUP(S100,Import!A$1:B$20000,2,FALSE)</f>
        <v>#N/A</v>
      </c>
      <c r="S100" s="10" t="str">
        <f t="shared" si="3"/>
        <v>5_L_C436_X_X_X_5J_N_V_M_A</v>
      </c>
      <c r="T100" s="4">
        <v>1000</v>
      </c>
    </row>
    <row r="101" spans="1:20" ht="12">
      <c r="A101" s="7">
        <f>IF(ISBLANK(Inm_19998),"",$T$101*Inm_19998)</f>
      </c>
      <c r="B101" s="7">
        <v>19998</v>
      </c>
      <c r="C101" s="8" t="s">
        <v>598</v>
      </c>
      <c r="D101" s="218" t="s">
        <v>599</v>
      </c>
      <c r="E101" s="4">
        <v>5</v>
      </c>
      <c r="F101" s="4" t="s">
        <v>504</v>
      </c>
      <c r="G101" s="4" t="s">
        <v>600</v>
      </c>
      <c r="H101" s="4" t="s">
        <v>305</v>
      </c>
      <c r="I101" s="4" t="s">
        <v>305</v>
      </c>
      <c r="J101" s="4" t="s">
        <v>305</v>
      </c>
      <c r="K101" s="4" t="s">
        <v>306</v>
      </c>
      <c r="L101" s="4" t="s">
        <v>307</v>
      </c>
      <c r="M101" s="4" t="s">
        <v>308</v>
      </c>
      <c r="N101" s="4" t="s">
        <v>309</v>
      </c>
      <c r="O101" s="4" t="s">
        <v>310</v>
      </c>
      <c r="P101" s="5" t="e">
        <f>VLOOKUP(B101,Import!A$1:B$20000,2,FALSE)</f>
        <v>#N/A</v>
      </c>
      <c r="Q101" s="6" t="s">
        <v>311</v>
      </c>
      <c r="R101" s="9" t="e">
        <f>VLOOKUP(S101,Import!A$1:B$20000,2,FALSE)</f>
        <v>#N/A</v>
      </c>
      <c r="S101" s="10" t="str">
        <f t="shared" si="3"/>
        <v>5_L_C441_X_X_X_5J_N_V_M_A</v>
      </c>
      <c r="T101" s="4">
        <v>1000</v>
      </c>
    </row>
    <row r="102" spans="1:20" ht="12">
      <c r="A102" s="7">
        <f>IF(ISBLANK(Inm_19997),"",$T$102*Inm_19997)</f>
      </c>
      <c r="B102" s="7">
        <v>19997</v>
      </c>
      <c r="C102" s="8" t="s">
        <v>601</v>
      </c>
      <c r="D102" s="218" t="s">
        <v>602</v>
      </c>
      <c r="E102" s="4">
        <v>5</v>
      </c>
      <c r="F102" s="4" t="s">
        <v>504</v>
      </c>
      <c r="G102" s="4" t="s">
        <v>603</v>
      </c>
      <c r="H102" s="4" t="s">
        <v>305</v>
      </c>
      <c r="I102" s="4" t="s">
        <v>305</v>
      </c>
      <c r="J102" s="4" t="s">
        <v>305</v>
      </c>
      <c r="K102" s="4" t="s">
        <v>306</v>
      </c>
      <c r="L102" s="4" t="s">
        <v>307</v>
      </c>
      <c r="M102" s="4" t="s">
        <v>308</v>
      </c>
      <c r="N102" s="4" t="s">
        <v>309</v>
      </c>
      <c r="O102" s="4" t="s">
        <v>310</v>
      </c>
      <c r="P102" s="5" t="e">
        <f>VLOOKUP(B102,Import!A$1:B$20000,2,FALSE)</f>
        <v>#N/A</v>
      </c>
      <c r="Q102" s="6" t="s">
        <v>311</v>
      </c>
      <c r="R102" s="9" t="e">
        <f>VLOOKUP(S102,Import!A$1:B$20000,2,FALSE)</f>
        <v>#N/A</v>
      </c>
      <c r="S102" s="10" t="str">
        <f t="shared" si="3"/>
        <v>5_L_C433_X_X_X_5J_N_V_M_A</v>
      </c>
      <c r="T102" s="4">
        <v>1000</v>
      </c>
    </row>
    <row r="103" spans="1:20" ht="12">
      <c r="A103" s="7">
        <f>IF(ISBLANK(Inm_19996),"",$T$103*Inm_19996)</f>
      </c>
      <c r="B103" s="7">
        <v>19996</v>
      </c>
      <c r="C103" s="8" t="s">
        <v>604</v>
      </c>
      <c r="D103" s="218" t="s">
        <v>605</v>
      </c>
      <c r="E103" s="4">
        <v>5</v>
      </c>
      <c r="F103" s="4" t="s">
        <v>504</v>
      </c>
      <c r="G103" s="4" t="s">
        <v>606</v>
      </c>
      <c r="H103" s="4" t="s">
        <v>305</v>
      </c>
      <c r="I103" s="4" t="s">
        <v>305</v>
      </c>
      <c r="J103" s="4" t="s">
        <v>305</v>
      </c>
      <c r="K103" s="4" t="s">
        <v>306</v>
      </c>
      <c r="L103" s="4" t="s">
        <v>307</v>
      </c>
      <c r="M103" s="4" t="s">
        <v>308</v>
      </c>
      <c r="N103" s="4" t="s">
        <v>309</v>
      </c>
      <c r="O103" s="4" t="s">
        <v>310</v>
      </c>
      <c r="P103" s="5" t="e">
        <f>VLOOKUP(B103,Import!A$1:B$20000,2,FALSE)</f>
        <v>#N/A</v>
      </c>
      <c r="Q103" s="6" t="s">
        <v>311</v>
      </c>
      <c r="R103" s="9" t="e">
        <f>VLOOKUP(S103,Import!A$1:B$20000,2,FALSE)</f>
        <v>#N/A</v>
      </c>
      <c r="S103" s="10" t="str">
        <f t="shared" si="3"/>
        <v>5_L_C434_X_X_X_5J_N_V_M_A</v>
      </c>
      <c r="T103" s="4">
        <v>1000</v>
      </c>
    </row>
    <row r="104" spans="1:20" ht="12">
      <c r="A104" s="7">
        <f>IF(ISBLANK(Inm_19995),"",$T$104*Inm_19995)</f>
      </c>
      <c r="B104" s="7">
        <v>19995</v>
      </c>
      <c r="C104" s="8" t="s">
        <v>607</v>
      </c>
      <c r="D104" s="218" t="s">
        <v>608</v>
      </c>
      <c r="E104" s="4">
        <v>5</v>
      </c>
      <c r="F104" s="4" t="s">
        <v>504</v>
      </c>
      <c r="G104" s="4" t="s">
        <v>609</v>
      </c>
      <c r="H104" s="4" t="s">
        <v>305</v>
      </c>
      <c r="I104" s="4" t="s">
        <v>305</v>
      </c>
      <c r="J104" s="4" t="s">
        <v>305</v>
      </c>
      <c r="K104" s="4" t="s">
        <v>306</v>
      </c>
      <c r="L104" s="4" t="s">
        <v>307</v>
      </c>
      <c r="M104" s="4" t="s">
        <v>308</v>
      </c>
      <c r="N104" s="4" t="s">
        <v>309</v>
      </c>
      <c r="O104" s="4" t="s">
        <v>310</v>
      </c>
      <c r="P104" s="5" t="e">
        <f>VLOOKUP(B104,Import!A$1:B$20000,2,FALSE)</f>
        <v>#N/A</v>
      </c>
      <c r="Q104" s="6" t="s">
        <v>311</v>
      </c>
      <c r="R104" s="9" t="e">
        <f>VLOOKUP(S104,Import!A$1:B$20000,2,FALSE)</f>
        <v>#N/A</v>
      </c>
      <c r="S104" s="10" t="str">
        <f t="shared" si="3"/>
        <v>5_L_C451_X_X_X_5J_N_V_M_A</v>
      </c>
      <c r="T104" s="4">
        <v>1000</v>
      </c>
    </row>
    <row r="105" spans="1:20" ht="12">
      <c r="A105" s="7">
        <f>IF(ISBLANK(Inm_19992),"",$T$105*Inm_19992)</f>
      </c>
      <c r="B105" s="7">
        <v>19992</v>
      </c>
      <c r="C105" s="8" t="s">
        <v>610</v>
      </c>
      <c r="D105" s="218" t="s">
        <v>611</v>
      </c>
      <c r="E105" s="4">
        <v>5</v>
      </c>
      <c r="F105" s="4" t="s">
        <v>504</v>
      </c>
      <c r="G105" s="4" t="s">
        <v>612</v>
      </c>
      <c r="H105" s="4" t="s">
        <v>305</v>
      </c>
      <c r="I105" s="4" t="s">
        <v>305</v>
      </c>
      <c r="J105" s="4" t="s">
        <v>305</v>
      </c>
      <c r="K105" s="4" t="s">
        <v>306</v>
      </c>
      <c r="L105" s="4" t="s">
        <v>307</v>
      </c>
      <c r="M105" s="4" t="s">
        <v>308</v>
      </c>
      <c r="N105" s="4" t="s">
        <v>309</v>
      </c>
      <c r="O105" s="4" t="s">
        <v>310</v>
      </c>
      <c r="P105" s="5" t="e">
        <f>VLOOKUP(B105,Import!A$1:B$20000,2,FALSE)</f>
        <v>#N/A</v>
      </c>
      <c r="Q105" s="6" t="s">
        <v>311</v>
      </c>
      <c r="R105" s="9" t="e">
        <f>VLOOKUP(S105,Import!A$1:B$20000,2,FALSE)</f>
        <v>#N/A</v>
      </c>
      <c r="S105" s="10" t="str">
        <f t="shared" si="3"/>
        <v>5_L_C481_X_X_X_5J_N_V_M_A</v>
      </c>
      <c r="T105" s="4">
        <v>1000</v>
      </c>
    </row>
    <row r="106" spans="1:20" ht="12">
      <c r="A106" s="7">
        <f>IF(ISBLANK(Inm_19956),"",$T$106*Inm_19956)</f>
      </c>
      <c r="B106" s="7">
        <v>19956</v>
      </c>
      <c r="C106" s="8" t="s">
        <v>613</v>
      </c>
      <c r="D106" s="218" t="s">
        <v>614</v>
      </c>
      <c r="E106" s="4">
        <v>5</v>
      </c>
      <c r="F106" s="4" t="s">
        <v>310</v>
      </c>
      <c r="G106" s="4" t="s">
        <v>615</v>
      </c>
      <c r="H106" s="4" t="s">
        <v>305</v>
      </c>
      <c r="I106" s="4" t="s">
        <v>305</v>
      </c>
      <c r="J106" s="4" t="s">
        <v>305</v>
      </c>
      <c r="K106" s="4" t="s">
        <v>441</v>
      </c>
      <c r="L106" s="4" t="s">
        <v>307</v>
      </c>
      <c r="M106" s="4" t="s">
        <v>308</v>
      </c>
      <c r="N106" s="4" t="s">
        <v>309</v>
      </c>
      <c r="O106" s="4" t="s">
        <v>310</v>
      </c>
      <c r="P106" s="5" t="e">
        <f>VLOOKUP(B106,Import!A$1:B$20000,2,FALSE)</f>
        <v>#N/A</v>
      </c>
      <c r="Q106" s="6" t="s">
        <v>311</v>
      </c>
      <c r="R106" s="9" t="e">
        <f>VLOOKUP(S106,Import!A$1:B$20000,2,FALSE)</f>
        <v>#N/A</v>
      </c>
      <c r="S106" s="10" t="str">
        <f t="shared" si="3"/>
        <v>5_A_C301_X_X_X_1E_N_V_M_A</v>
      </c>
      <c r="T106" s="4">
        <v>1000</v>
      </c>
    </row>
    <row r="107" spans="1:20" ht="12">
      <c r="A107" s="7">
        <f>IF(ISBLANK(Inm_19955),"",$T$107*Inm_19955)</f>
      </c>
      <c r="B107" s="7">
        <v>19955</v>
      </c>
      <c r="C107" s="8" t="s">
        <v>613</v>
      </c>
      <c r="D107" s="218" t="s">
        <v>616</v>
      </c>
      <c r="E107" s="4">
        <v>5</v>
      </c>
      <c r="F107" s="4" t="s">
        <v>310</v>
      </c>
      <c r="G107" s="4" t="s">
        <v>617</v>
      </c>
      <c r="H107" s="4" t="s">
        <v>305</v>
      </c>
      <c r="I107" s="4" t="s">
        <v>305</v>
      </c>
      <c r="J107" s="4" t="s">
        <v>305</v>
      </c>
      <c r="K107" s="4" t="s">
        <v>436</v>
      </c>
      <c r="L107" s="4" t="s">
        <v>307</v>
      </c>
      <c r="M107" s="4" t="s">
        <v>308</v>
      </c>
      <c r="N107" s="4" t="s">
        <v>309</v>
      </c>
      <c r="O107" s="4" t="s">
        <v>310</v>
      </c>
      <c r="P107" s="5" t="e">
        <f>VLOOKUP(B107,Import!A$1:B$20000,2,FALSE)</f>
        <v>#N/A</v>
      </c>
      <c r="Q107" s="6" t="s">
        <v>311</v>
      </c>
      <c r="R107" s="9" t="e">
        <f>VLOOKUP(S107,Import!A$1:B$20000,2,FALSE)</f>
        <v>#N/A</v>
      </c>
      <c r="S107" s="10" t="str">
        <f t="shared" si="3"/>
        <v>5_A_C302_X_X_X_3P_N_V_M_A</v>
      </c>
      <c r="T107" s="4">
        <v>1000</v>
      </c>
    </row>
    <row r="108" spans="1:20" ht="12">
      <c r="A108" s="7">
        <f>IF(ISBLANK(Inm_20072),"",$T$108*Inm_20072)</f>
      </c>
      <c r="B108" s="7">
        <v>20072</v>
      </c>
      <c r="C108" s="8" t="s">
        <v>618</v>
      </c>
      <c r="D108" s="218" t="s">
        <v>619</v>
      </c>
      <c r="E108" s="4">
        <v>5</v>
      </c>
      <c r="F108" s="4" t="s">
        <v>310</v>
      </c>
      <c r="G108" s="4" t="s">
        <v>620</v>
      </c>
      <c r="H108" s="4" t="s">
        <v>305</v>
      </c>
      <c r="I108" s="4" t="s">
        <v>305</v>
      </c>
      <c r="J108" s="4" t="s">
        <v>305</v>
      </c>
      <c r="K108" s="4" t="s">
        <v>306</v>
      </c>
      <c r="L108" s="4" t="s">
        <v>307</v>
      </c>
      <c r="M108" s="4" t="s">
        <v>308</v>
      </c>
      <c r="N108" s="4" t="s">
        <v>309</v>
      </c>
      <c r="O108" s="4" t="s">
        <v>310</v>
      </c>
      <c r="P108" s="5" t="e">
        <f>VLOOKUP(B108,Import!A$1:B$20000,2,FALSE)</f>
        <v>#N/A</v>
      </c>
      <c r="Q108" s="6" t="s">
        <v>311</v>
      </c>
      <c r="R108" s="9" t="e">
        <f>VLOOKUP(S108,Import!A$1:B$20000,2,FALSE)</f>
        <v>#N/A</v>
      </c>
      <c r="S108" s="10" t="str">
        <f t="shared" si="3"/>
        <v>5_A_C30_X_X_X_5J_N_V_M_A</v>
      </c>
      <c r="T108" s="4">
        <v>1000</v>
      </c>
    </row>
    <row r="109" spans="1:20" ht="12">
      <c r="A109" s="7">
        <f>IF(ISBLANK(Inm_19954),"",$T$109*Inm_19954)</f>
      </c>
      <c r="B109" s="7">
        <v>19954</v>
      </c>
      <c r="C109" s="8" t="s">
        <v>621</v>
      </c>
      <c r="D109" s="218" t="s">
        <v>622</v>
      </c>
      <c r="E109" s="4">
        <v>5</v>
      </c>
      <c r="F109" s="4" t="s">
        <v>310</v>
      </c>
      <c r="G109" s="4" t="s">
        <v>623</v>
      </c>
      <c r="H109" s="4" t="s">
        <v>305</v>
      </c>
      <c r="I109" s="4" t="s">
        <v>305</v>
      </c>
      <c r="J109" s="4" t="s">
        <v>305</v>
      </c>
      <c r="K109" s="4" t="s">
        <v>441</v>
      </c>
      <c r="L109" s="4" t="s">
        <v>624</v>
      </c>
      <c r="M109" s="4" t="s">
        <v>308</v>
      </c>
      <c r="N109" s="4" t="s">
        <v>309</v>
      </c>
      <c r="O109" s="4" t="s">
        <v>310</v>
      </c>
      <c r="P109" s="5" t="e">
        <f>VLOOKUP(B109,Import!A$1:B$20000,2,FALSE)</f>
        <v>#N/A</v>
      </c>
      <c r="Q109" s="6" t="s">
        <v>311</v>
      </c>
      <c r="R109" s="9" t="e">
        <f>VLOOKUP(S109,Import!A$1:B$20000,2,FALSE)</f>
        <v>#N/A</v>
      </c>
      <c r="S109" s="10" t="str">
        <f t="shared" si="3"/>
        <v>5_A_C5_X_X_X_1E_N4211_V_M_A</v>
      </c>
      <c r="T109" s="4">
        <v>1000</v>
      </c>
    </row>
    <row r="110" spans="1:20" ht="12">
      <c r="A110" s="7">
        <f>IF(ISBLANK(Inm_19953),"",$T$110*Inm_19953)</f>
      </c>
      <c r="B110" s="7">
        <v>19953</v>
      </c>
      <c r="C110" s="8" t="s">
        <v>625</v>
      </c>
      <c r="D110" s="218" t="s">
        <v>626</v>
      </c>
      <c r="E110" s="4">
        <v>5</v>
      </c>
      <c r="F110" s="4" t="s">
        <v>310</v>
      </c>
      <c r="G110" s="4" t="s">
        <v>623</v>
      </c>
      <c r="H110" s="4" t="s">
        <v>305</v>
      </c>
      <c r="I110" s="4" t="s">
        <v>305</v>
      </c>
      <c r="J110" s="4" t="s">
        <v>305</v>
      </c>
      <c r="K110" s="4" t="s">
        <v>441</v>
      </c>
      <c r="L110" s="4" t="s">
        <v>627</v>
      </c>
      <c r="M110" s="4" t="s">
        <v>308</v>
      </c>
      <c r="N110" s="4" t="s">
        <v>309</v>
      </c>
      <c r="O110" s="4" t="s">
        <v>310</v>
      </c>
      <c r="P110" s="5" t="e">
        <f>VLOOKUP(B110,Import!A$1:B$20000,2,FALSE)</f>
        <v>#N/A</v>
      </c>
      <c r="Q110" s="6" t="s">
        <v>311</v>
      </c>
      <c r="R110" s="9" t="e">
        <f>VLOOKUP(S110,Import!A$1:B$20000,2,FALSE)</f>
        <v>#N/A</v>
      </c>
      <c r="S110" s="10" t="str">
        <f t="shared" si="3"/>
        <v>5_A_C5_X_X_X_1E_N4212_V_M_A</v>
      </c>
      <c r="T110" s="4">
        <v>1000</v>
      </c>
    </row>
    <row r="111" spans="1:20" ht="12">
      <c r="A111" s="7">
        <f>IF(ISBLANK(Inm_19952),"",$T$111*Inm_19952)</f>
      </c>
      <c r="B111" s="7">
        <v>19952</v>
      </c>
      <c r="C111" s="8" t="s">
        <v>628</v>
      </c>
      <c r="D111" s="218" t="s">
        <v>629</v>
      </c>
      <c r="E111" s="4">
        <v>5</v>
      </c>
      <c r="F111" s="4" t="s">
        <v>310</v>
      </c>
      <c r="G111" s="4" t="s">
        <v>630</v>
      </c>
      <c r="H111" s="4" t="s">
        <v>305</v>
      </c>
      <c r="I111" s="4" t="s">
        <v>305</v>
      </c>
      <c r="J111" s="4" t="s">
        <v>305</v>
      </c>
      <c r="K111" s="4" t="s">
        <v>441</v>
      </c>
      <c r="L111" s="4" t="s">
        <v>631</v>
      </c>
      <c r="M111" s="4" t="s">
        <v>308</v>
      </c>
      <c r="N111" s="4" t="s">
        <v>632</v>
      </c>
      <c r="O111" s="4" t="s">
        <v>310</v>
      </c>
      <c r="P111" s="5" t="e">
        <f>VLOOKUP(B111,Import!A$1:B$20000,2,FALSE)</f>
        <v>#N/A</v>
      </c>
      <c r="Q111" s="6" t="s">
        <v>311</v>
      </c>
      <c r="R111" s="9" t="e">
        <f>VLOOKUP(S111,Import!A$1:B$20000,2,FALSE)</f>
        <v>#N/A</v>
      </c>
      <c r="S111" s="10" t="str">
        <f t="shared" si="3"/>
        <v>5_A_C6_X_X_X_1E_N4221_V_B_A</v>
      </c>
      <c r="T111" s="4">
        <v>1000</v>
      </c>
    </row>
    <row r="112" spans="1:20" ht="12">
      <c r="A112" s="7">
        <f>IF(ISBLANK(Inm_19951),"",$T$112*Inm_19951)</f>
      </c>
      <c r="B112" s="7">
        <v>19951</v>
      </c>
      <c r="C112" s="8" t="s">
        <v>633</v>
      </c>
      <c r="D112" s="218" t="s">
        <v>634</v>
      </c>
      <c r="E112" s="4">
        <v>5</v>
      </c>
      <c r="F112" s="4" t="s">
        <v>310</v>
      </c>
      <c r="G112" s="4" t="s">
        <v>630</v>
      </c>
      <c r="H112" s="4" t="s">
        <v>305</v>
      </c>
      <c r="I112" s="4" t="s">
        <v>305</v>
      </c>
      <c r="J112" s="4" t="s">
        <v>305</v>
      </c>
      <c r="K112" s="4" t="s">
        <v>441</v>
      </c>
      <c r="L112" s="4" t="s">
        <v>635</v>
      </c>
      <c r="M112" s="4" t="s">
        <v>308</v>
      </c>
      <c r="N112" s="4" t="s">
        <v>632</v>
      </c>
      <c r="O112" s="4" t="s">
        <v>310</v>
      </c>
      <c r="P112" s="5" t="e">
        <f>VLOOKUP(B112,Import!A$1:B$20000,2,FALSE)</f>
        <v>#N/A</v>
      </c>
      <c r="Q112" s="6" t="s">
        <v>311</v>
      </c>
      <c r="R112" s="9" t="e">
        <f>VLOOKUP(S112,Import!A$1:B$20000,2,FALSE)</f>
        <v>#N/A</v>
      </c>
      <c r="S112" s="10" t="str">
        <f t="shared" si="3"/>
        <v>5_A_C6_X_X_X_1E_N4222_V_B_A</v>
      </c>
      <c r="T112" s="4">
        <v>1000</v>
      </c>
    </row>
    <row r="113" spans="1:20" ht="12">
      <c r="A113" s="7">
        <f>IF(ISBLANK(Inm_19950),"",$T$113*Inm_19950)</f>
      </c>
      <c r="B113" s="7">
        <v>19950</v>
      </c>
      <c r="C113" s="8" t="s">
        <v>636</v>
      </c>
      <c r="D113" s="218" t="s">
        <v>637</v>
      </c>
      <c r="E113" s="4">
        <v>5</v>
      </c>
      <c r="F113" s="4" t="s">
        <v>310</v>
      </c>
      <c r="G113" s="4" t="s">
        <v>630</v>
      </c>
      <c r="H113" s="4" t="s">
        <v>305</v>
      </c>
      <c r="I113" s="4" t="s">
        <v>305</v>
      </c>
      <c r="J113" s="4" t="s">
        <v>305</v>
      </c>
      <c r="K113" s="4" t="s">
        <v>436</v>
      </c>
      <c r="L113" s="4" t="s">
        <v>638</v>
      </c>
      <c r="M113" s="4" t="s">
        <v>308</v>
      </c>
      <c r="N113" s="4" t="s">
        <v>309</v>
      </c>
      <c r="O113" s="4" t="s">
        <v>310</v>
      </c>
      <c r="P113" s="5" t="e">
        <f>VLOOKUP(B113,Import!A$1:B$20000,2,FALSE)</f>
        <v>#N/A</v>
      </c>
      <c r="Q113" s="6" t="s">
        <v>311</v>
      </c>
      <c r="R113" s="9" t="e">
        <f>VLOOKUP(S113,Import!A$1:B$20000,2,FALSE)</f>
        <v>#N/A</v>
      </c>
      <c r="S113" s="10" t="str">
        <f t="shared" si="3"/>
        <v>5_A_C6_X_X_X_3P_N4223_V_M_A</v>
      </c>
      <c r="T113" s="4">
        <v>1000</v>
      </c>
    </row>
    <row r="114" spans="1:20" ht="12">
      <c r="A114" s="7">
        <f>IF(ISBLANK(Inm_19949),"",$T$114*Inm_19949)</f>
      </c>
      <c r="B114" s="7">
        <v>19949</v>
      </c>
      <c r="C114" s="8" t="s">
        <v>639</v>
      </c>
      <c r="D114" s="218" t="s">
        <v>640</v>
      </c>
      <c r="E114" s="4">
        <v>5</v>
      </c>
      <c r="F114" s="4" t="s">
        <v>310</v>
      </c>
      <c r="G114" s="4" t="s">
        <v>630</v>
      </c>
      <c r="H114" s="4" t="s">
        <v>305</v>
      </c>
      <c r="I114" s="4" t="s">
        <v>305</v>
      </c>
      <c r="J114" s="4" t="s">
        <v>305</v>
      </c>
      <c r="K114" s="4" t="s">
        <v>436</v>
      </c>
      <c r="L114" s="4" t="s">
        <v>641</v>
      </c>
      <c r="M114" s="4" t="s">
        <v>308</v>
      </c>
      <c r="N114" s="4" t="s">
        <v>632</v>
      </c>
      <c r="O114" s="4" t="s">
        <v>310</v>
      </c>
      <c r="P114" s="5" t="e">
        <f>VLOOKUP(B114,Import!A$1:B$20000,2,FALSE)</f>
        <v>#N/A</v>
      </c>
      <c r="Q114" s="6" t="s">
        <v>311</v>
      </c>
      <c r="R114" s="9" t="e">
        <f>VLOOKUP(S114,Import!A$1:B$20000,2,FALSE)</f>
        <v>#N/A</v>
      </c>
      <c r="S114" s="10" t="str">
        <f t="shared" si="3"/>
        <v>5_A_C6_X_X_X_3P_N4224_V_B_A</v>
      </c>
      <c r="T114" s="4">
        <v>1000</v>
      </c>
    </row>
    <row r="115" spans="1:20" ht="12">
      <c r="A115" s="7">
        <f>IF(ISBLANK(Inm_19948),"",$T$115*Inm_19948)</f>
      </c>
      <c r="B115" s="7">
        <v>19948</v>
      </c>
      <c r="C115" s="8" t="s">
        <v>642</v>
      </c>
      <c r="D115" s="218" t="s">
        <v>643</v>
      </c>
      <c r="E115" s="4">
        <v>311</v>
      </c>
      <c r="F115" s="4" t="s">
        <v>310</v>
      </c>
      <c r="G115" s="4" t="s">
        <v>644</v>
      </c>
      <c r="H115" s="4" t="s">
        <v>305</v>
      </c>
      <c r="I115" s="4" t="s">
        <v>305</v>
      </c>
      <c r="J115" s="4" t="s">
        <v>305</v>
      </c>
      <c r="K115" s="4" t="s">
        <v>441</v>
      </c>
      <c r="L115" s="4" t="s">
        <v>645</v>
      </c>
      <c r="M115" s="4" t="s">
        <v>308</v>
      </c>
      <c r="N115" s="4" t="s">
        <v>309</v>
      </c>
      <c r="O115" s="4" t="s">
        <v>310</v>
      </c>
      <c r="P115" s="5" t="e">
        <f>VLOOKUP(B115,Import!A$1:B$20000,2,FALSE)</f>
        <v>#N/A</v>
      </c>
      <c r="Q115" s="6" t="s">
        <v>311</v>
      </c>
      <c r="R115" s="9" t="e">
        <f>VLOOKUP(S115,Import!A$1:B$20000,2,FALSE)</f>
        <v>#N/A</v>
      </c>
      <c r="S115" s="10" t="str">
        <f t="shared" si="3"/>
        <v>311_A_C701_X_X_X_1E_N4311_V_M_A</v>
      </c>
      <c r="T115" s="4">
        <v>1000</v>
      </c>
    </row>
    <row r="116" spans="1:20" ht="12">
      <c r="A116" s="7">
        <f>IF(ISBLANK(Inm_19942),"",$T$116*Inm_19942)</f>
      </c>
      <c r="B116" s="7">
        <v>19942</v>
      </c>
      <c r="C116" s="8" t="s">
        <v>642</v>
      </c>
      <c r="D116" s="218" t="s">
        <v>646</v>
      </c>
      <c r="E116" s="4">
        <v>321</v>
      </c>
      <c r="F116" s="4" t="s">
        <v>310</v>
      </c>
      <c r="G116" s="4" t="s">
        <v>644</v>
      </c>
      <c r="H116" s="4" t="s">
        <v>305</v>
      </c>
      <c r="I116" s="4" t="s">
        <v>305</v>
      </c>
      <c r="J116" s="4" t="s">
        <v>305</v>
      </c>
      <c r="K116" s="4" t="s">
        <v>441</v>
      </c>
      <c r="L116" s="4" t="s">
        <v>645</v>
      </c>
      <c r="M116" s="4" t="s">
        <v>308</v>
      </c>
      <c r="N116" s="4" t="s">
        <v>309</v>
      </c>
      <c r="O116" s="4" t="s">
        <v>310</v>
      </c>
      <c r="P116" s="5" t="e">
        <f>VLOOKUP(B116,Import!A$1:B$20000,2,FALSE)</f>
        <v>#N/A</v>
      </c>
      <c r="Q116" s="6" t="s">
        <v>311</v>
      </c>
      <c r="R116" s="9" t="e">
        <f>VLOOKUP(S116,Import!A$1:B$20000,2,FALSE)</f>
        <v>#N/A</v>
      </c>
      <c r="S116" s="10" t="str">
        <f t="shared" si="3"/>
        <v>321_A_C701_X_X_X_1E_N4311_V_M_A</v>
      </c>
      <c r="T116" s="4">
        <v>1000</v>
      </c>
    </row>
    <row r="117" spans="1:20" ht="12">
      <c r="A117" s="7">
        <f>IF(ISBLANK(Inm_19936),"",$T$117*Inm_19936)</f>
      </c>
      <c r="B117" s="7">
        <v>19936</v>
      </c>
      <c r="C117" s="8" t="s">
        <v>642</v>
      </c>
      <c r="D117" s="218" t="s">
        <v>647</v>
      </c>
      <c r="E117" s="4">
        <v>322</v>
      </c>
      <c r="F117" s="4" t="s">
        <v>310</v>
      </c>
      <c r="G117" s="4" t="s">
        <v>644</v>
      </c>
      <c r="H117" s="4" t="s">
        <v>305</v>
      </c>
      <c r="I117" s="4" t="s">
        <v>305</v>
      </c>
      <c r="J117" s="4" t="s">
        <v>305</v>
      </c>
      <c r="K117" s="4" t="s">
        <v>441</v>
      </c>
      <c r="L117" s="4" t="s">
        <v>645</v>
      </c>
      <c r="M117" s="4" t="s">
        <v>308</v>
      </c>
      <c r="N117" s="4" t="s">
        <v>309</v>
      </c>
      <c r="O117" s="4" t="s">
        <v>310</v>
      </c>
      <c r="P117" s="5" t="e">
        <f>VLOOKUP(B117,Import!A$1:B$20000,2,FALSE)</f>
        <v>#N/A</v>
      </c>
      <c r="Q117" s="6" t="s">
        <v>311</v>
      </c>
      <c r="R117" s="9" t="e">
        <f>VLOOKUP(S117,Import!A$1:B$20000,2,FALSE)</f>
        <v>#N/A</v>
      </c>
      <c r="S117" s="10" t="str">
        <f t="shared" si="3"/>
        <v>322_A_C701_X_X_X_1E_N4311_V_M_A</v>
      </c>
      <c r="T117" s="4">
        <v>1000</v>
      </c>
    </row>
    <row r="118" spans="1:20" ht="12">
      <c r="A118" s="7">
        <f>IF(ISBLANK(Inm_19930),"",$T$118*Inm_19930)</f>
      </c>
      <c r="B118" s="7">
        <v>19930</v>
      </c>
      <c r="C118" s="8" t="s">
        <v>642</v>
      </c>
      <c r="D118" s="218" t="s">
        <v>648</v>
      </c>
      <c r="E118" s="4" t="s">
        <v>649</v>
      </c>
      <c r="F118" s="4" t="s">
        <v>310</v>
      </c>
      <c r="G118" s="4" t="s">
        <v>644</v>
      </c>
      <c r="H118" s="4" t="s">
        <v>305</v>
      </c>
      <c r="I118" s="4" t="s">
        <v>305</v>
      </c>
      <c r="J118" s="4" t="s">
        <v>305</v>
      </c>
      <c r="K118" s="4" t="s">
        <v>441</v>
      </c>
      <c r="L118" s="4" t="s">
        <v>645</v>
      </c>
      <c r="M118" s="4" t="s">
        <v>308</v>
      </c>
      <c r="N118" s="4" t="s">
        <v>309</v>
      </c>
      <c r="O118" s="4" t="s">
        <v>310</v>
      </c>
      <c r="P118" s="5" t="e">
        <f>VLOOKUP(B118,Import!A$1:B$20000,2,FALSE)</f>
        <v>#N/A</v>
      </c>
      <c r="Q118" s="6" t="s">
        <v>311</v>
      </c>
      <c r="R118" s="9" t="e">
        <f>VLOOKUP(S118,Import!A$1:B$20000,2,FALSE)</f>
        <v>#N/A</v>
      </c>
      <c r="S118" s="10" t="str">
        <f t="shared" si="3"/>
        <v>31B_A_C701_X_X_X_1E_N4311_V_M_A</v>
      </c>
      <c r="T118" s="4">
        <v>1000</v>
      </c>
    </row>
    <row r="119" spans="1:20" ht="12">
      <c r="A119" s="7">
        <f>IF(ISBLANK(Inm_19924),"",$T$119*Inm_19924)</f>
      </c>
      <c r="B119" s="7">
        <v>19924</v>
      </c>
      <c r="C119" s="8" t="s">
        <v>642</v>
      </c>
      <c r="D119" s="218" t="s">
        <v>650</v>
      </c>
      <c r="E119" s="4">
        <v>33</v>
      </c>
      <c r="F119" s="4" t="s">
        <v>310</v>
      </c>
      <c r="G119" s="4" t="s">
        <v>644</v>
      </c>
      <c r="H119" s="4" t="s">
        <v>305</v>
      </c>
      <c r="I119" s="4" t="s">
        <v>305</v>
      </c>
      <c r="J119" s="4" t="s">
        <v>305</v>
      </c>
      <c r="K119" s="4" t="s">
        <v>441</v>
      </c>
      <c r="L119" s="4" t="s">
        <v>645</v>
      </c>
      <c r="M119" s="4" t="s">
        <v>308</v>
      </c>
      <c r="N119" s="4" t="s">
        <v>309</v>
      </c>
      <c r="O119" s="4" t="s">
        <v>310</v>
      </c>
      <c r="P119" s="5" t="e">
        <f>VLOOKUP(B119,Import!A$1:B$20000,2,FALSE)</f>
        <v>#N/A</v>
      </c>
      <c r="Q119" s="6" t="s">
        <v>311</v>
      </c>
      <c r="R119" s="9" t="e">
        <f>VLOOKUP(S119,Import!A$1:B$20000,2,FALSE)</f>
        <v>#N/A</v>
      </c>
      <c r="S119" s="10" t="str">
        <f t="shared" si="3"/>
        <v>33_A_C701_X_X_X_1E_N4311_V_M_A</v>
      </c>
      <c r="T119" s="4">
        <v>1000</v>
      </c>
    </row>
    <row r="120" spans="1:20" ht="12">
      <c r="A120" s="7">
        <f>IF(ISBLANK(Inm_19947),"",$T$120*Inm_19947)</f>
      </c>
      <c r="B120" s="7">
        <v>19947</v>
      </c>
      <c r="C120" s="8" t="s">
        <v>651</v>
      </c>
      <c r="D120" s="218" t="s">
        <v>652</v>
      </c>
      <c r="E120" s="4">
        <v>311</v>
      </c>
      <c r="F120" s="4" t="s">
        <v>310</v>
      </c>
      <c r="G120" s="4" t="s">
        <v>644</v>
      </c>
      <c r="H120" s="4" t="s">
        <v>305</v>
      </c>
      <c r="I120" s="4" t="s">
        <v>305</v>
      </c>
      <c r="J120" s="4" t="s">
        <v>305</v>
      </c>
      <c r="K120" s="4" t="s">
        <v>441</v>
      </c>
      <c r="L120" s="4" t="s">
        <v>653</v>
      </c>
      <c r="M120" s="4" t="s">
        <v>308</v>
      </c>
      <c r="N120" s="4" t="s">
        <v>309</v>
      </c>
      <c r="O120" s="4" t="s">
        <v>310</v>
      </c>
      <c r="P120" s="5" t="e">
        <f>VLOOKUP(B120,Import!A$1:B$20000,2,FALSE)</f>
        <v>#N/A</v>
      </c>
      <c r="Q120" s="6" t="s">
        <v>311</v>
      </c>
      <c r="R120" s="9" t="e">
        <f>VLOOKUP(S120,Import!A$1:B$20000,2,FALSE)</f>
        <v>#N/A</v>
      </c>
      <c r="S120" s="10" t="str">
        <f t="shared" si="3"/>
        <v>311_A_C701_X_X_X_1E_N4312_V_M_A</v>
      </c>
      <c r="T120" s="4">
        <v>1000</v>
      </c>
    </row>
    <row r="121" spans="1:20" ht="12">
      <c r="A121" s="7">
        <f>IF(ISBLANK(Inm_19941),"",$T$121*Inm_19941)</f>
      </c>
      <c r="B121" s="7">
        <v>19941</v>
      </c>
      <c r="C121" s="8" t="s">
        <v>651</v>
      </c>
      <c r="D121" s="218" t="s">
        <v>654</v>
      </c>
      <c r="E121" s="4">
        <v>321</v>
      </c>
      <c r="F121" s="4" t="s">
        <v>310</v>
      </c>
      <c r="G121" s="4" t="s">
        <v>644</v>
      </c>
      <c r="H121" s="4" t="s">
        <v>305</v>
      </c>
      <c r="I121" s="4" t="s">
        <v>305</v>
      </c>
      <c r="J121" s="4" t="s">
        <v>305</v>
      </c>
      <c r="K121" s="4" t="s">
        <v>441</v>
      </c>
      <c r="L121" s="4" t="s">
        <v>653</v>
      </c>
      <c r="M121" s="4" t="s">
        <v>308</v>
      </c>
      <c r="N121" s="4" t="s">
        <v>309</v>
      </c>
      <c r="O121" s="4" t="s">
        <v>310</v>
      </c>
      <c r="P121" s="5" t="e">
        <f>VLOOKUP(B121,Import!A$1:B$20000,2,FALSE)</f>
        <v>#N/A</v>
      </c>
      <c r="Q121" s="6" t="s">
        <v>311</v>
      </c>
      <c r="R121" s="9" t="e">
        <f>VLOOKUP(S121,Import!A$1:B$20000,2,FALSE)</f>
        <v>#N/A</v>
      </c>
      <c r="S121" s="10" t="str">
        <f t="shared" si="3"/>
        <v>321_A_C701_X_X_X_1E_N4312_V_M_A</v>
      </c>
      <c r="T121" s="4">
        <v>1000</v>
      </c>
    </row>
    <row r="122" spans="1:20" ht="12">
      <c r="A122" s="7">
        <f>IF(ISBLANK(Inm_19935),"",$T$122*Inm_19935)</f>
      </c>
      <c r="B122" s="7">
        <v>19935</v>
      </c>
      <c r="C122" s="8" t="s">
        <v>651</v>
      </c>
      <c r="D122" s="218" t="s">
        <v>655</v>
      </c>
      <c r="E122" s="4">
        <v>322</v>
      </c>
      <c r="F122" s="4" t="s">
        <v>310</v>
      </c>
      <c r="G122" s="4" t="s">
        <v>644</v>
      </c>
      <c r="H122" s="4" t="s">
        <v>305</v>
      </c>
      <c r="I122" s="4" t="s">
        <v>305</v>
      </c>
      <c r="J122" s="4" t="s">
        <v>305</v>
      </c>
      <c r="K122" s="4" t="s">
        <v>441</v>
      </c>
      <c r="L122" s="4" t="s">
        <v>653</v>
      </c>
      <c r="M122" s="4" t="s">
        <v>308</v>
      </c>
      <c r="N122" s="4" t="s">
        <v>309</v>
      </c>
      <c r="O122" s="4" t="s">
        <v>310</v>
      </c>
      <c r="P122" s="5" t="e">
        <f>VLOOKUP(B122,Import!A$1:B$20000,2,FALSE)</f>
        <v>#N/A</v>
      </c>
      <c r="Q122" s="6" t="s">
        <v>311</v>
      </c>
      <c r="R122" s="9" t="e">
        <f>VLOOKUP(S122,Import!A$1:B$20000,2,FALSE)</f>
        <v>#N/A</v>
      </c>
      <c r="S122" s="10" t="str">
        <f t="shared" si="3"/>
        <v>322_A_C701_X_X_X_1E_N4312_V_M_A</v>
      </c>
      <c r="T122" s="4">
        <v>1000</v>
      </c>
    </row>
    <row r="123" spans="1:20" ht="12">
      <c r="A123" s="7">
        <f>IF(ISBLANK(Inm_19929),"",$T$123*Inm_19929)</f>
      </c>
      <c r="B123" s="7">
        <v>19929</v>
      </c>
      <c r="C123" s="8" t="s">
        <v>651</v>
      </c>
      <c r="D123" s="218" t="s">
        <v>656</v>
      </c>
      <c r="E123" s="4" t="s">
        <v>649</v>
      </c>
      <c r="F123" s="4" t="s">
        <v>310</v>
      </c>
      <c r="G123" s="4" t="s">
        <v>644</v>
      </c>
      <c r="H123" s="4" t="s">
        <v>305</v>
      </c>
      <c r="I123" s="4" t="s">
        <v>305</v>
      </c>
      <c r="J123" s="4" t="s">
        <v>305</v>
      </c>
      <c r="K123" s="4" t="s">
        <v>441</v>
      </c>
      <c r="L123" s="4" t="s">
        <v>653</v>
      </c>
      <c r="M123" s="4" t="s">
        <v>308</v>
      </c>
      <c r="N123" s="4" t="s">
        <v>309</v>
      </c>
      <c r="O123" s="4" t="s">
        <v>310</v>
      </c>
      <c r="P123" s="5" t="e">
        <f>VLOOKUP(B123,Import!A$1:B$20000,2,FALSE)</f>
        <v>#N/A</v>
      </c>
      <c r="Q123" s="6" t="s">
        <v>311</v>
      </c>
      <c r="R123" s="9" t="e">
        <f>VLOOKUP(S123,Import!A$1:B$20000,2,FALSE)</f>
        <v>#N/A</v>
      </c>
      <c r="S123" s="10" t="str">
        <f t="shared" si="3"/>
        <v>31B_A_C701_X_X_X_1E_N4312_V_M_A</v>
      </c>
      <c r="T123" s="4">
        <v>1000</v>
      </c>
    </row>
    <row r="124" spans="1:20" ht="12">
      <c r="A124" s="7">
        <f>IF(ISBLANK(Inm_19923),"",$T$124*Inm_19923)</f>
      </c>
      <c r="B124" s="7">
        <v>19923</v>
      </c>
      <c r="C124" s="8" t="s">
        <v>651</v>
      </c>
      <c r="D124" s="218" t="s">
        <v>657</v>
      </c>
      <c r="E124" s="4">
        <v>33</v>
      </c>
      <c r="F124" s="4" t="s">
        <v>310</v>
      </c>
      <c r="G124" s="4" t="s">
        <v>644</v>
      </c>
      <c r="H124" s="4" t="s">
        <v>305</v>
      </c>
      <c r="I124" s="4" t="s">
        <v>305</v>
      </c>
      <c r="J124" s="4" t="s">
        <v>305</v>
      </c>
      <c r="K124" s="4" t="s">
        <v>441</v>
      </c>
      <c r="L124" s="4" t="s">
        <v>653</v>
      </c>
      <c r="M124" s="4" t="s">
        <v>308</v>
      </c>
      <c r="N124" s="4" t="s">
        <v>309</v>
      </c>
      <c r="O124" s="4" t="s">
        <v>310</v>
      </c>
      <c r="P124" s="5" t="e">
        <f>VLOOKUP(B124,Import!A$1:B$20000,2,FALSE)</f>
        <v>#N/A</v>
      </c>
      <c r="Q124" s="6" t="s">
        <v>311</v>
      </c>
      <c r="R124" s="9" t="e">
        <f>VLOOKUP(S124,Import!A$1:B$20000,2,FALSE)</f>
        <v>#N/A</v>
      </c>
      <c r="S124" s="10" t="str">
        <f t="shared" si="3"/>
        <v>33_A_C701_X_X_X_1E_N4312_V_M_A</v>
      </c>
      <c r="T124" s="4">
        <v>1000</v>
      </c>
    </row>
    <row r="125" spans="1:20" ht="12">
      <c r="A125" s="7">
        <f>IF(ISBLANK(Inm_19946),"",$T$125*Inm_19946)</f>
      </c>
      <c r="B125" s="7">
        <v>19946</v>
      </c>
      <c r="C125" s="8" t="s">
        <v>658</v>
      </c>
      <c r="D125" s="218" t="s">
        <v>659</v>
      </c>
      <c r="E125" s="4">
        <v>311</v>
      </c>
      <c r="F125" s="4" t="s">
        <v>310</v>
      </c>
      <c r="G125" s="4" t="s">
        <v>660</v>
      </c>
      <c r="H125" s="4" t="s">
        <v>305</v>
      </c>
      <c r="I125" s="4" t="s">
        <v>305</v>
      </c>
      <c r="J125" s="4" t="s">
        <v>305</v>
      </c>
      <c r="K125" s="4" t="s">
        <v>441</v>
      </c>
      <c r="L125" s="4" t="s">
        <v>661</v>
      </c>
      <c r="M125" s="4" t="s">
        <v>308</v>
      </c>
      <c r="N125" s="4" t="s">
        <v>632</v>
      </c>
      <c r="O125" s="4" t="s">
        <v>310</v>
      </c>
      <c r="P125" s="5" t="e">
        <f>VLOOKUP(B125,Import!A$1:B$20000,2,FALSE)</f>
        <v>#N/A</v>
      </c>
      <c r="Q125" s="6" t="s">
        <v>311</v>
      </c>
      <c r="R125" s="9" t="e">
        <f>VLOOKUP(S125,Import!A$1:B$20000,2,FALSE)</f>
        <v>#N/A</v>
      </c>
      <c r="S125" s="10" t="str">
        <f t="shared" si="3"/>
        <v>311_A_C703_X_X_X_1E_N4321_V_B_A</v>
      </c>
      <c r="T125" s="4">
        <v>1000</v>
      </c>
    </row>
    <row r="126" spans="1:20" ht="12">
      <c r="A126" s="7">
        <f>IF(ISBLANK(Inm_19940),"",$T$126*Inm_19940)</f>
      </c>
      <c r="B126" s="7">
        <v>19940</v>
      </c>
      <c r="C126" s="8" t="s">
        <v>658</v>
      </c>
      <c r="D126" s="218" t="s">
        <v>662</v>
      </c>
      <c r="E126" s="4">
        <v>321</v>
      </c>
      <c r="F126" s="4" t="s">
        <v>310</v>
      </c>
      <c r="G126" s="4" t="s">
        <v>660</v>
      </c>
      <c r="H126" s="4" t="s">
        <v>305</v>
      </c>
      <c r="I126" s="4" t="s">
        <v>305</v>
      </c>
      <c r="J126" s="4" t="s">
        <v>305</v>
      </c>
      <c r="K126" s="4" t="s">
        <v>441</v>
      </c>
      <c r="L126" s="4" t="s">
        <v>661</v>
      </c>
      <c r="M126" s="4" t="s">
        <v>308</v>
      </c>
      <c r="N126" s="4" t="s">
        <v>632</v>
      </c>
      <c r="O126" s="4" t="s">
        <v>310</v>
      </c>
      <c r="P126" s="5" t="e">
        <f>VLOOKUP(B126,Import!A$1:B$20000,2,FALSE)</f>
        <v>#N/A</v>
      </c>
      <c r="Q126" s="6" t="s">
        <v>311</v>
      </c>
      <c r="R126" s="9" t="e">
        <f>VLOOKUP(S126,Import!A$1:B$20000,2,FALSE)</f>
        <v>#N/A</v>
      </c>
      <c r="S126" s="10" t="str">
        <f t="shared" si="3"/>
        <v>321_A_C703_X_X_X_1E_N4321_V_B_A</v>
      </c>
      <c r="T126" s="4">
        <v>1000</v>
      </c>
    </row>
    <row r="127" spans="1:20" ht="12">
      <c r="A127" s="7">
        <f>IF(ISBLANK(Inm_19934),"",$T$127*Inm_19934)</f>
      </c>
      <c r="B127" s="7">
        <v>19934</v>
      </c>
      <c r="C127" s="8" t="s">
        <v>658</v>
      </c>
      <c r="D127" s="218" t="s">
        <v>663</v>
      </c>
      <c r="E127" s="4">
        <v>322</v>
      </c>
      <c r="F127" s="4" t="s">
        <v>310</v>
      </c>
      <c r="G127" s="4" t="s">
        <v>660</v>
      </c>
      <c r="H127" s="4" t="s">
        <v>305</v>
      </c>
      <c r="I127" s="4" t="s">
        <v>305</v>
      </c>
      <c r="J127" s="4" t="s">
        <v>305</v>
      </c>
      <c r="K127" s="4" t="s">
        <v>441</v>
      </c>
      <c r="L127" s="4" t="s">
        <v>661</v>
      </c>
      <c r="M127" s="4" t="s">
        <v>308</v>
      </c>
      <c r="N127" s="4" t="s">
        <v>632</v>
      </c>
      <c r="O127" s="4" t="s">
        <v>310</v>
      </c>
      <c r="P127" s="5" t="e">
        <f>VLOOKUP(B127,Import!A$1:B$20000,2,FALSE)</f>
        <v>#N/A</v>
      </c>
      <c r="Q127" s="6" t="s">
        <v>311</v>
      </c>
      <c r="R127" s="9" t="e">
        <f>VLOOKUP(S127,Import!A$1:B$20000,2,FALSE)</f>
        <v>#N/A</v>
      </c>
      <c r="S127" s="10" t="str">
        <f aca="true" t="shared" si="4" ref="S127:S144">CONCATENATE(E127,"_",F127,"_",G127,"_",H127,"_",I127,"_",J127,"_",K127,"_",L127,"_",M127,"_",N127,"_",O127)</f>
        <v>322_A_C703_X_X_X_1E_N4321_V_B_A</v>
      </c>
      <c r="T127" s="4">
        <v>1000</v>
      </c>
    </row>
    <row r="128" spans="1:20" ht="12">
      <c r="A128" s="7">
        <f>IF(ISBLANK(Inm_19928),"",$T$128*Inm_19928)</f>
      </c>
      <c r="B128" s="7">
        <v>19928</v>
      </c>
      <c r="C128" s="8" t="s">
        <v>658</v>
      </c>
      <c r="D128" s="218" t="s">
        <v>664</v>
      </c>
      <c r="E128" s="4" t="s">
        <v>649</v>
      </c>
      <c r="F128" s="4" t="s">
        <v>310</v>
      </c>
      <c r="G128" s="4" t="s">
        <v>660</v>
      </c>
      <c r="H128" s="4" t="s">
        <v>305</v>
      </c>
      <c r="I128" s="4" t="s">
        <v>305</v>
      </c>
      <c r="J128" s="4" t="s">
        <v>305</v>
      </c>
      <c r="K128" s="4" t="s">
        <v>441</v>
      </c>
      <c r="L128" s="4" t="s">
        <v>661</v>
      </c>
      <c r="M128" s="4" t="s">
        <v>308</v>
      </c>
      <c r="N128" s="4" t="s">
        <v>632</v>
      </c>
      <c r="O128" s="4" t="s">
        <v>310</v>
      </c>
      <c r="P128" s="5" t="e">
        <f>VLOOKUP(B128,Import!A$1:B$20000,2,FALSE)</f>
        <v>#N/A</v>
      </c>
      <c r="Q128" s="6" t="s">
        <v>311</v>
      </c>
      <c r="R128" s="9" t="e">
        <f>VLOOKUP(S128,Import!A$1:B$20000,2,FALSE)</f>
        <v>#N/A</v>
      </c>
      <c r="S128" s="10" t="str">
        <f t="shared" si="4"/>
        <v>31B_A_C703_X_X_X_1E_N4321_V_B_A</v>
      </c>
      <c r="T128" s="4">
        <v>1000</v>
      </c>
    </row>
    <row r="129" spans="1:20" ht="12">
      <c r="A129" s="7">
        <f>IF(ISBLANK(Inm_19922),"",$T$129*Inm_19922)</f>
      </c>
      <c r="B129" s="7">
        <v>19922</v>
      </c>
      <c r="C129" s="8" t="s">
        <v>658</v>
      </c>
      <c r="D129" s="218" t="s">
        <v>665</v>
      </c>
      <c r="E129" s="4">
        <v>33</v>
      </c>
      <c r="F129" s="4" t="s">
        <v>310</v>
      </c>
      <c r="G129" s="4" t="s">
        <v>660</v>
      </c>
      <c r="H129" s="4" t="s">
        <v>305</v>
      </c>
      <c r="I129" s="4" t="s">
        <v>305</v>
      </c>
      <c r="J129" s="4" t="s">
        <v>305</v>
      </c>
      <c r="K129" s="4" t="s">
        <v>441</v>
      </c>
      <c r="L129" s="4" t="s">
        <v>661</v>
      </c>
      <c r="M129" s="4" t="s">
        <v>308</v>
      </c>
      <c r="N129" s="4" t="s">
        <v>632</v>
      </c>
      <c r="O129" s="4" t="s">
        <v>310</v>
      </c>
      <c r="P129" s="5" t="e">
        <f>VLOOKUP(B129,Import!A$1:B$20000,2,FALSE)</f>
        <v>#N/A</v>
      </c>
      <c r="Q129" s="6" t="s">
        <v>311</v>
      </c>
      <c r="R129" s="9" t="e">
        <f>VLOOKUP(S129,Import!A$1:B$20000,2,FALSE)</f>
        <v>#N/A</v>
      </c>
      <c r="S129" s="10" t="str">
        <f t="shared" si="4"/>
        <v>33_A_C703_X_X_X_1E_N4321_V_B_A</v>
      </c>
      <c r="T129" s="4">
        <v>1000</v>
      </c>
    </row>
    <row r="130" spans="1:20" ht="12">
      <c r="A130" s="7">
        <f>IF(ISBLANK(Inm_19945),"",$T$130*Inm_19945)</f>
      </c>
      <c r="B130" s="7">
        <v>19945</v>
      </c>
      <c r="C130" s="8" t="s">
        <v>666</v>
      </c>
      <c r="D130" s="218" t="s">
        <v>667</v>
      </c>
      <c r="E130" s="4">
        <v>311</v>
      </c>
      <c r="F130" s="4" t="s">
        <v>310</v>
      </c>
      <c r="G130" s="4" t="s">
        <v>660</v>
      </c>
      <c r="H130" s="4" t="s">
        <v>305</v>
      </c>
      <c r="I130" s="4" t="s">
        <v>305</v>
      </c>
      <c r="J130" s="4" t="s">
        <v>305</v>
      </c>
      <c r="K130" s="4" t="s">
        <v>441</v>
      </c>
      <c r="L130" s="4" t="s">
        <v>668</v>
      </c>
      <c r="M130" s="4" t="s">
        <v>308</v>
      </c>
      <c r="N130" s="4" t="s">
        <v>632</v>
      </c>
      <c r="O130" s="4" t="s">
        <v>310</v>
      </c>
      <c r="P130" s="5" t="e">
        <f>VLOOKUP(B130,Import!A$1:B$20000,2,FALSE)</f>
        <v>#N/A</v>
      </c>
      <c r="Q130" s="6" t="s">
        <v>311</v>
      </c>
      <c r="R130" s="9" t="e">
        <f>VLOOKUP(S130,Import!A$1:B$20000,2,FALSE)</f>
        <v>#N/A</v>
      </c>
      <c r="S130" s="10" t="str">
        <f t="shared" si="4"/>
        <v>311_A_C703_X_X_X_1E_N4322_V_B_A</v>
      </c>
      <c r="T130" s="4">
        <v>1000</v>
      </c>
    </row>
    <row r="131" spans="1:20" ht="12">
      <c r="A131" s="7">
        <f>IF(ISBLANK(Inm_19939),"",$T$131*Inm_19939)</f>
      </c>
      <c r="B131" s="7">
        <v>19939</v>
      </c>
      <c r="C131" s="8" t="s">
        <v>666</v>
      </c>
      <c r="D131" s="218" t="s">
        <v>669</v>
      </c>
      <c r="E131" s="4">
        <v>321</v>
      </c>
      <c r="F131" s="4" t="s">
        <v>310</v>
      </c>
      <c r="G131" s="4" t="s">
        <v>660</v>
      </c>
      <c r="H131" s="4" t="s">
        <v>305</v>
      </c>
      <c r="I131" s="4" t="s">
        <v>305</v>
      </c>
      <c r="J131" s="4" t="s">
        <v>305</v>
      </c>
      <c r="K131" s="4" t="s">
        <v>441</v>
      </c>
      <c r="L131" s="4" t="s">
        <v>668</v>
      </c>
      <c r="M131" s="4" t="s">
        <v>308</v>
      </c>
      <c r="N131" s="4" t="s">
        <v>632</v>
      </c>
      <c r="O131" s="4" t="s">
        <v>310</v>
      </c>
      <c r="P131" s="5" t="e">
        <f>VLOOKUP(B131,Import!A$1:B$20000,2,FALSE)</f>
        <v>#N/A</v>
      </c>
      <c r="Q131" s="6" t="s">
        <v>311</v>
      </c>
      <c r="R131" s="9" t="e">
        <f>VLOOKUP(S131,Import!A$1:B$20000,2,FALSE)</f>
        <v>#N/A</v>
      </c>
      <c r="S131" s="10" t="str">
        <f t="shared" si="4"/>
        <v>321_A_C703_X_X_X_1E_N4322_V_B_A</v>
      </c>
      <c r="T131" s="4">
        <v>1000</v>
      </c>
    </row>
    <row r="132" spans="1:20" ht="12">
      <c r="A132" s="7">
        <f>IF(ISBLANK(Inm_19933),"",$T$132*Inm_19933)</f>
      </c>
      <c r="B132" s="7">
        <v>19933</v>
      </c>
      <c r="C132" s="8" t="s">
        <v>666</v>
      </c>
      <c r="D132" s="218" t="s">
        <v>670</v>
      </c>
      <c r="E132" s="4">
        <v>322</v>
      </c>
      <c r="F132" s="4" t="s">
        <v>310</v>
      </c>
      <c r="G132" s="4" t="s">
        <v>660</v>
      </c>
      <c r="H132" s="4" t="s">
        <v>305</v>
      </c>
      <c r="I132" s="4" t="s">
        <v>305</v>
      </c>
      <c r="J132" s="4" t="s">
        <v>305</v>
      </c>
      <c r="K132" s="4" t="s">
        <v>441</v>
      </c>
      <c r="L132" s="4" t="s">
        <v>668</v>
      </c>
      <c r="M132" s="4" t="s">
        <v>308</v>
      </c>
      <c r="N132" s="4" t="s">
        <v>632</v>
      </c>
      <c r="O132" s="4" t="s">
        <v>310</v>
      </c>
      <c r="P132" s="5" t="e">
        <f>VLOOKUP(B132,Import!A$1:B$20000,2,FALSE)</f>
        <v>#N/A</v>
      </c>
      <c r="Q132" s="6" t="s">
        <v>311</v>
      </c>
      <c r="R132" s="9" t="e">
        <f>VLOOKUP(S132,Import!A$1:B$20000,2,FALSE)</f>
        <v>#N/A</v>
      </c>
      <c r="S132" s="10" t="str">
        <f t="shared" si="4"/>
        <v>322_A_C703_X_X_X_1E_N4322_V_B_A</v>
      </c>
      <c r="T132" s="4">
        <v>1000</v>
      </c>
    </row>
    <row r="133" spans="1:20" ht="12">
      <c r="A133" s="7">
        <f>IF(ISBLANK(Inm_19927),"",$T$133*Inm_19927)</f>
      </c>
      <c r="B133" s="7">
        <v>19927</v>
      </c>
      <c r="C133" s="8" t="s">
        <v>666</v>
      </c>
      <c r="D133" s="218" t="s">
        <v>671</v>
      </c>
      <c r="E133" s="4" t="s">
        <v>649</v>
      </c>
      <c r="F133" s="4" t="s">
        <v>310</v>
      </c>
      <c r="G133" s="4" t="s">
        <v>660</v>
      </c>
      <c r="H133" s="4" t="s">
        <v>305</v>
      </c>
      <c r="I133" s="4" t="s">
        <v>305</v>
      </c>
      <c r="J133" s="4" t="s">
        <v>305</v>
      </c>
      <c r="K133" s="4" t="s">
        <v>441</v>
      </c>
      <c r="L133" s="4" t="s">
        <v>668</v>
      </c>
      <c r="M133" s="4" t="s">
        <v>308</v>
      </c>
      <c r="N133" s="4" t="s">
        <v>632</v>
      </c>
      <c r="O133" s="4" t="s">
        <v>310</v>
      </c>
      <c r="P133" s="5" t="e">
        <f>VLOOKUP(B133,Import!A$1:B$20000,2,FALSE)</f>
        <v>#N/A</v>
      </c>
      <c r="Q133" s="6" t="s">
        <v>311</v>
      </c>
      <c r="R133" s="9" t="e">
        <f>VLOOKUP(S133,Import!A$1:B$20000,2,FALSE)</f>
        <v>#N/A</v>
      </c>
      <c r="S133" s="10" t="str">
        <f t="shared" si="4"/>
        <v>31B_A_C703_X_X_X_1E_N4322_V_B_A</v>
      </c>
      <c r="T133" s="4">
        <v>1000</v>
      </c>
    </row>
    <row r="134" spans="1:20" ht="12">
      <c r="A134" s="7">
        <f>IF(ISBLANK(Inm_19921),"",$T$134*Inm_19921)</f>
      </c>
      <c r="B134" s="7">
        <v>19921</v>
      </c>
      <c r="C134" s="8" t="s">
        <v>666</v>
      </c>
      <c r="D134" s="218" t="s">
        <v>672</v>
      </c>
      <c r="E134" s="4">
        <v>33</v>
      </c>
      <c r="F134" s="4" t="s">
        <v>310</v>
      </c>
      <c r="G134" s="4" t="s">
        <v>660</v>
      </c>
      <c r="H134" s="4" t="s">
        <v>305</v>
      </c>
      <c r="I134" s="4" t="s">
        <v>305</v>
      </c>
      <c r="J134" s="4" t="s">
        <v>305</v>
      </c>
      <c r="K134" s="4" t="s">
        <v>441</v>
      </c>
      <c r="L134" s="4" t="s">
        <v>668</v>
      </c>
      <c r="M134" s="4" t="s">
        <v>308</v>
      </c>
      <c r="N134" s="4" t="s">
        <v>632</v>
      </c>
      <c r="O134" s="4" t="s">
        <v>310</v>
      </c>
      <c r="P134" s="5" t="e">
        <f>VLOOKUP(B134,Import!A$1:B$20000,2,FALSE)</f>
        <v>#N/A</v>
      </c>
      <c r="Q134" s="6" t="s">
        <v>311</v>
      </c>
      <c r="R134" s="9" t="e">
        <f>VLOOKUP(S134,Import!A$1:B$20000,2,FALSE)</f>
        <v>#N/A</v>
      </c>
      <c r="S134" s="10" t="str">
        <f t="shared" si="4"/>
        <v>33_A_C703_X_X_X_1E_N4322_V_B_A</v>
      </c>
      <c r="T134" s="4">
        <v>1000</v>
      </c>
    </row>
    <row r="135" spans="1:20" ht="12">
      <c r="A135" s="7">
        <f>IF(ISBLANK(Inm_19944),"",$T$135*Inm_19944)</f>
      </c>
      <c r="B135" s="7">
        <v>19944</v>
      </c>
      <c r="C135" s="8" t="s">
        <v>673</v>
      </c>
      <c r="D135" s="218" t="s">
        <v>674</v>
      </c>
      <c r="E135" s="4">
        <v>311</v>
      </c>
      <c r="F135" s="4" t="s">
        <v>310</v>
      </c>
      <c r="G135" s="4" t="s">
        <v>675</v>
      </c>
      <c r="H135" s="4" t="s">
        <v>305</v>
      </c>
      <c r="I135" s="4" t="s">
        <v>305</v>
      </c>
      <c r="J135" s="4" t="s">
        <v>305</v>
      </c>
      <c r="K135" s="4" t="s">
        <v>436</v>
      </c>
      <c r="L135" s="4" t="s">
        <v>676</v>
      </c>
      <c r="M135" s="4" t="s">
        <v>308</v>
      </c>
      <c r="N135" s="4" t="s">
        <v>309</v>
      </c>
      <c r="O135" s="4" t="s">
        <v>310</v>
      </c>
      <c r="P135" s="5" t="e">
        <f>VLOOKUP(B135,Import!A$1:B$20000,2,FALSE)</f>
        <v>#N/A</v>
      </c>
      <c r="Q135" s="6" t="s">
        <v>311</v>
      </c>
      <c r="R135" s="9" t="e">
        <f>VLOOKUP(S135,Import!A$1:B$20000,2,FALSE)</f>
        <v>#N/A</v>
      </c>
      <c r="S135" s="10" t="str">
        <f t="shared" si="4"/>
        <v>311_A_C7051_X_X_X_3P_N4331_V_M_A</v>
      </c>
      <c r="T135" s="4">
        <v>1000</v>
      </c>
    </row>
    <row r="136" spans="1:20" ht="12">
      <c r="A136" s="7">
        <f>IF(ISBLANK(Inm_19938),"",$T$136*Inm_19938)</f>
      </c>
      <c r="B136" s="7">
        <v>19938</v>
      </c>
      <c r="C136" s="8" t="s">
        <v>673</v>
      </c>
      <c r="D136" s="218" t="s">
        <v>677</v>
      </c>
      <c r="E136" s="4">
        <v>321</v>
      </c>
      <c r="F136" s="4" t="s">
        <v>310</v>
      </c>
      <c r="G136" s="4" t="s">
        <v>675</v>
      </c>
      <c r="H136" s="4" t="s">
        <v>305</v>
      </c>
      <c r="I136" s="4" t="s">
        <v>305</v>
      </c>
      <c r="J136" s="4" t="s">
        <v>305</v>
      </c>
      <c r="K136" s="4" t="s">
        <v>436</v>
      </c>
      <c r="L136" s="4" t="s">
        <v>676</v>
      </c>
      <c r="M136" s="4" t="s">
        <v>308</v>
      </c>
      <c r="N136" s="4" t="s">
        <v>309</v>
      </c>
      <c r="O136" s="4" t="s">
        <v>310</v>
      </c>
      <c r="P136" s="5" t="e">
        <f>VLOOKUP(B136,Import!A$1:B$20000,2,FALSE)</f>
        <v>#N/A</v>
      </c>
      <c r="Q136" s="6" t="s">
        <v>311</v>
      </c>
      <c r="R136" s="9" t="e">
        <f>VLOOKUP(S136,Import!A$1:B$20000,2,FALSE)</f>
        <v>#N/A</v>
      </c>
      <c r="S136" s="10" t="str">
        <f t="shared" si="4"/>
        <v>321_A_C7051_X_X_X_3P_N4331_V_M_A</v>
      </c>
      <c r="T136" s="4">
        <v>1000</v>
      </c>
    </row>
    <row r="137" spans="1:20" ht="12">
      <c r="A137" s="7">
        <f>IF(ISBLANK(Inm_19932),"",$T$137*Inm_19932)</f>
      </c>
      <c r="B137" s="7">
        <v>19932</v>
      </c>
      <c r="C137" s="8" t="s">
        <v>673</v>
      </c>
      <c r="D137" s="218" t="s">
        <v>678</v>
      </c>
      <c r="E137" s="4">
        <v>322</v>
      </c>
      <c r="F137" s="4" t="s">
        <v>310</v>
      </c>
      <c r="G137" s="4" t="s">
        <v>675</v>
      </c>
      <c r="H137" s="4" t="s">
        <v>305</v>
      </c>
      <c r="I137" s="4" t="s">
        <v>305</v>
      </c>
      <c r="J137" s="4" t="s">
        <v>305</v>
      </c>
      <c r="K137" s="4" t="s">
        <v>436</v>
      </c>
      <c r="L137" s="4" t="s">
        <v>676</v>
      </c>
      <c r="M137" s="4" t="s">
        <v>308</v>
      </c>
      <c r="N137" s="4" t="s">
        <v>309</v>
      </c>
      <c r="O137" s="4" t="s">
        <v>310</v>
      </c>
      <c r="P137" s="5" t="e">
        <f>VLOOKUP(B137,Import!A$1:B$20000,2,FALSE)</f>
        <v>#N/A</v>
      </c>
      <c r="Q137" s="6" t="s">
        <v>311</v>
      </c>
      <c r="R137" s="9" t="e">
        <f>VLOOKUP(S137,Import!A$1:B$20000,2,FALSE)</f>
        <v>#N/A</v>
      </c>
      <c r="S137" s="10" t="str">
        <f t="shared" si="4"/>
        <v>322_A_C7051_X_X_X_3P_N4331_V_M_A</v>
      </c>
      <c r="T137" s="4">
        <v>1000</v>
      </c>
    </row>
    <row r="138" spans="1:20" ht="12">
      <c r="A138" s="7">
        <f>IF(ISBLANK(Inm_19926),"",$T$138*Inm_19926)</f>
      </c>
      <c r="B138" s="7">
        <v>19926</v>
      </c>
      <c r="C138" s="8" t="s">
        <v>673</v>
      </c>
      <c r="D138" s="218" t="s">
        <v>679</v>
      </c>
      <c r="E138" s="4" t="s">
        <v>649</v>
      </c>
      <c r="F138" s="4" t="s">
        <v>310</v>
      </c>
      <c r="G138" s="4" t="s">
        <v>675</v>
      </c>
      <c r="H138" s="4" t="s">
        <v>305</v>
      </c>
      <c r="I138" s="4" t="s">
        <v>305</v>
      </c>
      <c r="J138" s="4" t="s">
        <v>305</v>
      </c>
      <c r="K138" s="4" t="s">
        <v>436</v>
      </c>
      <c r="L138" s="4" t="s">
        <v>676</v>
      </c>
      <c r="M138" s="4" t="s">
        <v>308</v>
      </c>
      <c r="N138" s="4" t="s">
        <v>309</v>
      </c>
      <c r="O138" s="4" t="s">
        <v>310</v>
      </c>
      <c r="P138" s="5" t="e">
        <f>VLOOKUP(B138,Import!A$1:B$20000,2,FALSE)</f>
        <v>#N/A</v>
      </c>
      <c r="Q138" s="6" t="s">
        <v>311</v>
      </c>
      <c r="R138" s="9" t="e">
        <f>VLOOKUP(S138,Import!A$1:B$20000,2,FALSE)</f>
        <v>#N/A</v>
      </c>
      <c r="S138" s="10" t="str">
        <f t="shared" si="4"/>
        <v>31B_A_C7051_X_X_X_3P_N4331_V_M_A</v>
      </c>
      <c r="T138" s="4">
        <v>1000</v>
      </c>
    </row>
    <row r="139" spans="1:20" ht="12">
      <c r="A139" s="7">
        <f>IF(ISBLANK(Inm_19920),"",$T$139*Inm_19920)</f>
      </c>
      <c r="B139" s="7">
        <v>19920</v>
      </c>
      <c r="C139" s="8" t="s">
        <v>673</v>
      </c>
      <c r="D139" s="218" t="s">
        <v>680</v>
      </c>
      <c r="E139" s="4">
        <v>33</v>
      </c>
      <c r="F139" s="4" t="s">
        <v>310</v>
      </c>
      <c r="G139" s="4" t="s">
        <v>675</v>
      </c>
      <c r="H139" s="4" t="s">
        <v>305</v>
      </c>
      <c r="I139" s="4" t="s">
        <v>305</v>
      </c>
      <c r="J139" s="4" t="s">
        <v>305</v>
      </c>
      <c r="K139" s="4" t="s">
        <v>436</v>
      </c>
      <c r="L139" s="4" t="s">
        <v>676</v>
      </c>
      <c r="M139" s="4" t="s">
        <v>308</v>
      </c>
      <c r="N139" s="4" t="s">
        <v>309</v>
      </c>
      <c r="O139" s="4" t="s">
        <v>310</v>
      </c>
      <c r="P139" s="5" t="e">
        <f>VLOOKUP(B139,Import!A$1:B$20000,2,FALSE)</f>
        <v>#N/A</v>
      </c>
      <c r="Q139" s="6" t="s">
        <v>311</v>
      </c>
      <c r="R139" s="9" t="e">
        <f>VLOOKUP(S139,Import!A$1:B$20000,2,FALSE)</f>
        <v>#N/A</v>
      </c>
      <c r="S139" s="10" t="str">
        <f t="shared" si="4"/>
        <v>33_A_C7051_X_X_X_3P_N4331_V_M_A</v>
      </c>
      <c r="T139" s="4">
        <v>1000</v>
      </c>
    </row>
    <row r="140" spans="1:20" ht="12">
      <c r="A140" s="7">
        <f>IF(ISBLANK(Inm_19943),"",$T$140*Inm_19943)</f>
      </c>
      <c r="B140" s="7">
        <v>19943</v>
      </c>
      <c r="C140" s="8" t="s">
        <v>681</v>
      </c>
      <c r="D140" s="218" t="s">
        <v>682</v>
      </c>
      <c r="E140" s="4">
        <v>311</v>
      </c>
      <c r="F140" s="4" t="s">
        <v>310</v>
      </c>
      <c r="G140" s="4" t="s">
        <v>683</v>
      </c>
      <c r="H140" s="4" t="s">
        <v>305</v>
      </c>
      <c r="I140" s="4" t="s">
        <v>305</v>
      </c>
      <c r="J140" s="4" t="s">
        <v>305</v>
      </c>
      <c r="K140" s="4" t="s">
        <v>436</v>
      </c>
      <c r="L140" s="4" t="s">
        <v>684</v>
      </c>
      <c r="M140" s="4" t="s">
        <v>308</v>
      </c>
      <c r="N140" s="4" t="s">
        <v>632</v>
      </c>
      <c r="O140" s="4" t="s">
        <v>310</v>
      </c>
      <c r="P140" s="5" t="e">
        <f>VLOOKUP(B140,Import!A$1:B$20000,2,FALSE)</f>
        <v>#N/A</v>
      </c>
      <c r="Q140" s="6" t="s">
        <v>311</v>
      </c>
      <c r="R140" s="9" t="e">
        <f>VLOOKUP(S140,Import!A$1:B$20000,2,FALSE)</f>
        <v>#N/A</v>
      </c>
      <c r="S140" s="10" t="str">
        <f t="shared" si="4"/>
        <v>311_A_C7052_X_X_X_3P_N4332_V_B_A</v>
      </c>
      <c r="T140" s="4">
        <v>1000</v>
      </c>
    </row>
    <row r="141" spans="1:20" ht="12">
      <c r="A141" s="7">
        <f>IF(ISBLANK(Inm_19937),"",$T$141*Inm_19937)</f>
      </c>
      <c r="B141" s="7">
        <v>19937</v>
      </c>
      <c r="C141" s="8" t="s">
        <v>681</v>
      </c>
      <c r="D141" s="218" t="s">
        <v>685</v>
      </c>
      <c r="E141" s="4">
        <v>321</v>
      </c>
      <c r="F141" s="4" t="s">
        <v>310</v>
      </c>
      <c r="G141" s="4" t="s">
        <v>683</v>
      </c>
      <c r="H141" s="4" t="s">
        <v>305</v>
      </c>
      <c r="I141" s="4" t="s">
        <v>305</v>
      </c>
      <c r="J141" s="4" t="s">
        <v>305</v>
      </c>
      <c r="K141" s="4" t="s">
        <v>436</v>
      </c>
      <c r="L141" s="4" t="s">
        <v>684</v>
      </c>
      <c r="M141" s="4" t="s">
        <v>308</v>
      </c>
      <c r="N141" s="4" t="s">
        <v>632</v>
      </c>
      <c r="O141" s="4" t="s">
        <v>310</v>
      </c>
      <c r="P141" s="5" t="e">
        <f>VLOOKUP(B141,Import!A$1:B$20000,2,FALSE)</f>
        <v>#N/A</v>
      </c>
      <c r="Q141" s="6" t="s">
        <v>311</v>
      </c>
      <c r="R141" s="9" t="e">
        <f>VLOOKUP(S141,Import!A$1:B$20000,2,FALSE)</f>
        <v>#N/A</v>
      </c>
      <c r="S141" s="10" t="str">
        <f t="shared" si="4"/>
        <v>321_A_C7052_X_X_X_3P_N4332_V_B_A</v>
      </c>
      <c r="T141" s="4">
        <v>1000</v>
      </c>
    </row>
    <row r="142" spans="1:20" ht="12">
      <c r="A142" s="7">
        <f>IF(ISBLANK(Inm_19931),"",$T$142*Inm_19931)</f>
      </c>
      <c r="B142" s="7">
        <v>19931</v>
      </c>
      <c r="C142" s="8" t="s">
        <v>681</v>
      </c>
      <c r="D142" s="218" t="s">
        <v>686</v>
      </c>
      <c r="E142" s="4">
        <v>322</v>
      </c>
      <c r="F142" s="4" t="s">
        <v>310</v>
      </c>
      <c r="G142" s="4" t="s">
        <v>683</v>
      </c>
      <c r="H142" s="4" t="s">
        <v>305</v>
      </c>
      <c r="I142" s="4" t="s">
        <v>305</v>
      </c>
      <c r="J142" s="4" t="s">
        <v>305</v>
      </c>
      <c r="K142" s="4" t="s">
        <v>436</v>
      </c>
      <c r="L142" s="4" t="s">
        <v>684</v>
      </c>
      <c r="M142" s="4" t="s">
        <v>308</v>
      </c>
      <c r="N142" s="4" t="s">
        <v>632</v>
      </c>
      <c r="O142" s="4" t="s">
        <v>310</v>
      </c>
      <c r="P142" s="5" t="e">
        <f>VLOOKUP(B142,Import!A$1:B$20000,2,FALSE)</f>
        <v>#N/A</v>
      </c>
      <c r="Q142" s="6" t="s">
        <v>311</v>
      </c>
      <c r="R142" s="9" t="e">
        <f>VLOOKUP(S142,Import!A$1:B$20000,2,FALSE)</f>
        <v>#N/A</v>
      </c>
      <c r="S142" s="10" t="str">
        <f t="shared" si="4"/>
        <v>322_A_C7052_X_X_X_3P_N4332_V_B_A</v>
      </c>
      <c r="T142" s="4">
        <v>1000</v>
      </c>
    </row>
    <row r="143" spans="1:20" ht="12">
      <c r="A143" s="7">
        <f>IF(ISBLANK(Inm_19925),"",$T$143*Inm_19925)</f>
      </c>
      <c r="B143" s="7">
        <v>19925</v>
      </c>
      <c r="C143" s="8" t="s">
        <v>681</v>
      </c>
      <c r="D143" s="218" t="s">
        <v>687</v>
      </c>
      <c r="E143" s="4" t="s">
        <v>649</v>
      </c>
      <c r="F143" s="4" t="s">
        <v>310</v>
      </c>
      <c r="G143" s="4" t="s">
        <v>683</v>
      </c>
      <c r="H143" s="4" t="s">
        <v>305</v>
      </c>
      <c r="I143" s="4" t="s">
        <v>305</v>
      </c>
      <c r="J143" s="4" t="s">
        <v>305</v>
      </c>
      <c r="K143" s="4" t="s">
        <v>436</v>
      </c>
      <c r="L143" s="4" t="s">
        <v>684</v>
      </c>
      <c r="M143" s="4" t="s">
        <v>308</v>
      </c>
      <c r="N143" s="4" t="s">
        <v>632</v>
      </c>
      <c r="O143" s="4" t="s">
        <v>310</v>
      </c>
      <c r="P143" s="5" t="e">
        <f>VLOOKUP(B143,Import!A$1:B$20000,2,FALSE)</f>
        <v>#N/A</v>
      </c>
      <c r="Q143" s="6" t="s">
        <v>311</v>
      </c>
      <c r="R143" s="9" t="e">
        <f>VLOOKUP(S143,Import!A$1:B$20000,2,FALSE)</f>
        <v>#N/A</v>
      </c>
      <c r="S143" s="10" t="str">
        <f t="shared" si="4"/>
        <v>31B_A_C7052_X_X_X_3P_N4332_V_B_A</v>
      </c>
      <c r="T143" s="4">
        <v>1000</v>
      </c>
    </row>
    <row r="144" spans="1:20" ht="12">
      <c r="A144" s="7">
        <f>IF(ISBLANK(Inm_19919),"",$T$144*Inm_19919)</f>
      </c>
      <c r="B144" s="7">
        <v>19919</v>
      </c>
      <c r="C144" s="8" t="s">
        <v>681</v>
      </c>
      <c r="D144" s="218" t="s">
        <v>688</v>
      </c>
      <c r="E144" s="4">
        <v>33</v>
      </c>
      <c r="F144" s="4" t="s">
        <v>310</v>
      </c>
      <c r="G144" s="4" t="s">
        <v>683</v>
      </c>
      <c r="H144" s="4" t="s">
        <v>305</v>
      </c>
      <c r="I144" s="4" t="s">
        <v>305</v>
      </c>
      <c r="J144" s="4" t="s">
        <v>305</v>
      </c>
      <c r="K144" s="4" t="s">
        <v>436</v>
      </c>
      <c r="L144" s="4" t="s">
        <v>684</v>
      </c>
      <c r="M144" s="4" t="s">
        <v>308</v>
      </c>
      <c r="N144" s="4" t="s">
        <v>632</v>
      </c>
      <c r="O144" s="4" t="s">
        <v>310</v>
      </c>
      <c r="P144" s="5" t="e">
        <f>VLOOKUP(B144,Import!A$1:B$20000,2,FALSE)</f>
        <v>#N/A</v>
      </c>
      <c r="Q144" s="6" t="s">
        <v>311</v>
      </c>
      <c r="R144" s="9" t="e">
        <f>VLOOKUP(S144,Import!A$1:B$20000,2,FALSE)</f>
        <v>#N/A</v>
      </c>
      <c r="S144" s="10" t="str">
        <f t="shared" si="4"/>
        <v>33_A_C7052_X_X_X_3P_N4332_V_B_A</v>
      </c>
      <c r="T144" s="4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P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5.8515625" style="12" customWidth="1"/>
    <col min="2" max="2" width="18.140625" style="23" customWidth="1"/>
    <col min="3" max="3" width="10.28125" style="24" customWidth="1"/>
    <col min="4" max="4" width="12.00390625" style="25" bestFit="1" customWidth="1"/>
    <col min="5" max="16" width="9.140625" style="26" customWidth="1"/>
  </cols>
  <sheetData>
    <row r="1" spans="1:16" s="12" customFormat="1" ht="13.5" thickBot="1">
      <c r="A1" s="21" t="s">
        <v>274</v>
      </c>
      <c r="B1" s="21" t="s">
        <v>275</v>
      </c>
      <c r="C1" s="21" t="s">
        <v>1</v>
      </c>
      <c r="D1" s="22" t="s">
        <v>294</v>
      </c>
      <c r="E1" s="21"/>
      <c r="F1" s="21"/>
      <c r="G1" s="21"/>
      <c r="H1" s="21"/>
      <c r="I1" s="21"/>
      <c r="J1" s="21"/>
      <c r="K1" s="21"/>
      <c r="L1" s="21"/>
      <c r="M1" s="21"/>
      <c r="N1" s="23"/>
      <c r="O1" s="23"/>
      <c r="P1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A1">
      <selection activeCell="E9" sqref="E9"/>
    </sheetView>
  </sheetViews>
  <sheetFormatPr defaultColWidth="0" defaultRowHeight="12.75" zeroHeight="1"/>
  <cols>
    <col min="1" max="1" width="15.8515625" style="55" customWidth="1"/>
    <col min="2" max="2" width="31.00390625" style="54" customWidth="1"/>
    <col min="3" max="3" width="69.8515625" style="54" customWidth="1"/>
    <col min="4" max="4" width="3.7109375" style="54" customWidth="1"/>
    <col min="5" max="5" width="38.421875" style="55" customWidth="1"/>
    <col min="6" max="6" width="11.28125" style="34" hidden="1" customWidth="1"/>
    <col min="7" max="7" width="7.28125" style="34" hidden="1" customWidth="1"/>
    <col min="8" max="9" width="18.57421875" style="34" hidden="1" customWidth="1"/>
    <col min="10" max="16384" width="9.140625" style="34" hidden="1" customWidth="1"/>
  </cols>
  <sheetData>
    <row r="1" s="55" customFormat="1" ht="12.75">
      <c r="A1" s="231"/>
    </row>
    <row r="2" spans="2:4" s="55" customFormat="1" ht="18" customHeight="1" thickBot="1">
      <c r="B2" s="56"/>
      <c r="C2" s="56"/>
      <c r="D2" s="56"/>
    </row>
    <row r="3" spans="2:5" ht="13.5" thickTop="1">
      <c r="B3" s="40"/>
      <c r="C3" s="41"/>
      <c r="D3" s="42"/>
      <c r="E3" s="56"/>
    </row>
    <row r="4" spans="2:8" ht="14.25" customHeight="1">
      <c r="B4" s="43"/>
      <c r="C4" s="27"/>
      <c r="D4" s="44"/>
      <c r="E4" s="56"/>
      <c r="F4" s="35"/>
      <c r="G4" s="35"/>
      <c r="H4" s="35"/>
    </row>
    <row r="5" spans="2:9" ht="14.25" customHeight="1">
      <c r="B5" s="43"/>
      <c r="C5" s="27"/>
      <c r="D5" s="44"/>
      <c r="E5" s="56"/>
      <c r="F5" s="36"/>
      <c r="G5" s="36"/>
      <c r="H5" s="36"/>
      <c r="I5" s="35"/>
    </row>
    <row r="6" spans="2:9" ht="14.25" customHeight="1">
      <c r="B6" s="43"/>
      <c r="C6" s="27"/>
      <c r="D6" s="44"/>
      <c r="E6" s="56"/>
      <c r="F6" s="36"/>
      <c r="G6" s="36"/>
      <c r="H6" s="36"/>
      <c r="I6" s="35"/>
    </row>
    <row r="7" spans="2:9" ht="14.25" customHeight="1">
      <c r="B7" s="43"/>
      <c r="C7" s="27"/>
      <c r="D7" s="44"/>
      <c r="E7" s="56"/>
      <c r="F7" s="36"/>
      <c r="G7" s="36"/>
      <c r="H7" s="36"/>
      <c r="I7" s="35"/>
    </row>
    <row r="8" spans="2:9" ht="20.25">
      <c r="B8" s="43"/>
      <c r="C8" s="39" t="s">
        <v>731</v>
      </c>
      <c r="D8" s="45"/>
      <c r="E8" s="56"/>
      <c r="F8" s="36"/>
      <c r="G8" s="36"/>
      <c r="H8" s="36"/>
      <c r="I8" s="35"/>
    </row>
    <row r="9" spans="2:9" ht="14.25" customHeight="1">
      <c r="B9" s="43"/>
      <c r="C9" s="27"/>
      <c r="D9" s="44"/>
      <c r="E9" s="56"/>
      <c r="F9" s="36"/>
      <c r="G9" s="36"/>
      <c r="H9" s="36"/>
      <c r="I9" s="35"/>
    </row>
    <row r="10" spans="2:9" ht="12.75">
      <c r="B10" s="43"/>
      <c r="C10" s="38" t="s">
        <v>732</v>
      </c>
      <c r="D10" s="44"/>
      <c r="E10" s="56"/>
      <c r="F10" s="36"/>
      <c r="G10" s="36"/>
      <c r="H10" s="36"/>
      <c r="I10" s="35"/>
    </row>
    <row r="11" spans="2:9" ht="14.25" customHeight="1">
      <c r="B11" s="43"/>
      <c r="C11" s="27"/>
      <c r="D11" s="44"/>
      <c r="E11" s="56"/>
      <c r="F11" s="36"/>
      <c r="G11" s="36"/>
      <c r="H11" s="36"/>
      <c r="I11" s="35"/>
    </row>
    <row r="12" spans="2:9" ht="14.25" customHeight="1">
      <c r="B12" s="43"/>
      <c r="C12" s="27"/>
      <c r="D12" s="46"/>
      <c r="E12" s="56"/>
      <c r="F12" s="36"/>
      <c r="G12" s="36"/>
      <c r="H12" s="36"/>
      <c r="I12" s="35"/>
    </row>
    <row r="13" spans="2:9" ht="14.25" customHeight="1">
      <c r="B13" s="43"/>
      <c r="C13" s="27"/>
      <c r="D13" s="44"/>
      <c r="E13" s="56"/>
      <c r="F13" s="36"/>
      <c r="G13" s="36"/>
      <c r="H13" s="36"/>
      <c r="I13" s="35"/>
    </row>
    <row r="14" spans="2:9" ht="14.25" customHeight="1">
      <c r="B14" s="43"/>
      <c r="C14" s="28"/>
      <c r="D14" s="47"/>
      <c r="E14" s="57"/>
      <c r="F14" s="36"/>
      <c r="G14" s="36"/>
      <c r="H14" s="36"/>
      <c r="I14" s="35"/>
    </row>
    <row r="15" spans="2:9" ht="14.25" customHeight="1">
      <c r="B15" s="43"/>
      <c r="C15" s="29"/>
      <c r="D15" s="47"/>
      <c r="E15" s="57"/>
      <c r="F15" s="36"/>
      <c r="G15" s="36"/>
      <c r="H15" s="36"/>
      <c r="I15" s="35"/>
    </row>
    <row r="16" spans="2:9" ht="12.75">
      <c r="B16" s="43"/>
      <c r="C16" s="37" t="s">
        <v>2</v>
      </c>
      <c r="D16" s="48"/>
      <c r="E16" s="58"/>
      <c r="F16" s="36"/>
      <c r="G16" s="36"/>
      <c r="H16" s="36"/>
      <c r="I16" s="35"/>
    </row>
    <row r="17" spans="2:9" ht="12.75">
      <c r="B17" s="43"/>
      <c r="C17" s="37" t="s">
        <v>3</v>
      </c>
      <c r="D17" s="46"/>
      <c r="E17" s="56"/>
      <c r="F17" s="36"/>
      <c r="G17" s="36"/>
      <c r="H17" s="36"/>
      <c r="I17" s="35"/>
    </row>
    <row r="18" spans="2:9" ht="12.75">
      <c r="B18" s="43"/>
      <c r="C18" s="28"/>
      <c r="D18" s="49"/>
      <c r="E18" s="56"/>
      <c r="F18" s="36"/>
      <c r="G18" s="36"/>
      <c r="H18" s="36"/>
      <c r="I18" s="35"/>
    </row>
    <row r="19" spans="2:8" ht="18" hidden="1">
      <c r="B19" s="43"/>
      <c r="C19" s="30" t="s">
        <v>4</v>
      </c>
      <c r="D19" s="44"/>
      <c r="E19" s="59"/>
      <c r="F19" s="36"/>
      <c r="G19" s="36"/>
      <c r="H19" s="35"/>
    </row>
    <row r="20" spans="2:7" ht="23.25" customHeight="1" hidden="1">
      <c r="B20" s="50" t="s">
        <v>8</v>
      </c>
      <c r="C20" s="31"/>
      <c r="D20" s="44"/>
      <c r="E20" s="56"/>
      <c r="F20" s="36"/>
      <c r="G20" s="35"/>
    </row>
    <row r="21" spans="2:7" ht="23.25" customHeight="1" hidden="1">
      <c r="B21" s="50" t="s">
        <v>6</v>
      </c>
      <c r="C21" s="32"/>
      <c r="D21" s="44"/>
      <c r="E21" s="56"/>
      <c r="F21" s="36"/>
      <c r="G21" s="35"/>
    </row>
    <row r="22" spans="2:8" ht="23.25" customHeight="1" hidden="1">
      <c r="B22" s="50" t="s">
        <v>7</v>
      </c>
      <c r="C22" s="31"/>
      <c r="D22" s="44"/>
      <c r="E22" s="56"/>
      <c r="F22" s="36"/>
      <c r="G22" s="36"/>
      <c r="H22" s="35"/>
    </row>
    <row r="23" spans="2:9" ht="25.5" customHeight="1" hidden="1">
      <c r="B23" s="50" t="s">
        <v>5</v>
      </c>
      <c r="C23" s="33">
        <f ca="1">NOW()</f>
        <v>45044.348686805555</v>
      </c>
      <c r="D23" s="44"/>
      <c r="E23" s="56"/>
      <c r="F23" s="36"/>
      <c r="G23" s="36"/>
      <c r="H23" s="36"/>
      <c r="I23" s="35"/>
    </row>
    <row r="24" spans="2:9" ht="16.5" customHeight="1" thickBot="1">
      <c r="B24" s="51"/>
      <c r="C24" s="52"/>
      <c r="D24" s="53"/>
      <c r="E24" s="56"/>
      <c r="F24" s="36"/>
      <c r="G24" s="36"/>
      <c r="H24" s="36"/>
      <c r="I24" s="35"/>
    </row>
    <row r="25" spans="2:9" ht="13.5" customHeight="1" thickTop="1">
      <c r="B25" s="60"/>
      <c r="C25" s="61"/>
      <c r="D25" s="61"/>
      <c r="E25" s="56"/>
      <c r="F25" s="35"/>
      <c r="G25" s="35"/>
      <c r="H25" s="35"/>
      <c r="I25" s="35"/>
    </row>
    <row r="26" spans="2:9" ht="13.5" customHeight="1">
      <c r="B26" s="55"/>
      <c r="C26" s="55"/>
      <c r="D26" s="55"/>
      <c r="F26" s="35"/>
      <c r="G26" s="35"/>
      <c r="H26" s="35"/>
      <c r="I26" s="35"/>
    </row>
    <row r="27" spans="2:4" ht="12.75">
      <c r="B27" s="56"/>
      <c r="C27" s="55"/>
      <c r="D27" s="55"/>
    </row>
    <row r="28" spans="2:4" ht="12.75">
      <c r="B28" s="55"/>
      <c r="C28" s="55"/>
      <c r="D28" s="55"/>
    </row>
    <row r="29" spans="2:4" ht="12.75">
      <c r="B29" s="55"/>
      <c r="C29" s="55"/>
      <c r="D29" s="55"/>
    </row>
    <row r="30" spans="2:4" ht="12.75">
      <c r="B30" s="55"/>
      <c r="C30" s="55"/>
      <c r="D30" s="55"/>
    </row>
    <row r="31" spans="2:4" ht="12.75">
      <c r="B31" s="55"/>
      <c r="C31" s="55"/>
      <c r="D31" s="55"/>
    </row>
    <row r="32" spans="2:4" ht="12.75">
      <c r="B32" s="55"/>
      <c r="C32" s="55"/>
      <c r="D32" s="55"/>
    </row>
    <row r="33" spans="2:4" ht="12.75">
      <c r="B33" s="55"/>
      <c r="C33" s="55"/>
      <c r="D33" s="55"/>
    </row>
    <row r="34" spans="2:4" ht="12.75">
      <c r="B34" s="55"/>
      <c r="C34" s="55"/>
      <c r="D34" s="55"/>
    </row>
    <row r="35" spans="2:4" ht="12.75">
      <c r="B35" s="55"/>
      <c r="C35" s="55"/>
      <c r="D35" s="55"/>
    </row>
    <row r="36" spans="2:4" ht="12.75">
      <c r="B36" s="55"/>
      <c r="C36" s="55"/>
      <c r="D36" s="55"/>
    </row>
    <row r="37" spans="2:4" ht="12.75">
      <c r="B37" s="55"/>
      <c r="C37" s="55"/>
      <c r="D37" s="55"/>
    </row>
    <row r="38" spans="2:4" ht="12.75">
      <c r="B38" s="55"/>
      <c r="C38" s="55"/>
      <c r="D38" s="55"/>
    </row>
    <row r="39" spans="2:4" ht="12.75">
      <c r="B39" s="55"/>
      <c r="C39" s="55"/>
      <c r="D39" s="55"/>
    </row>
    <row r="40" spans="2:4" ht="12.75">
      <c r="B40" s="55"/>
      <c r="C40" s="55"/>
      <c r="D40" s="55"/>
    </row>
    <row r="41" spans="2:4" ht="12.75">
      <c r="B41" s="55"/>
      <c r="C41" s="55"/>
      <c r="D41" s="55"/>
    </row>
  </sheetData>
  <sheetProtection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.7109375" style="62" customWidth="1"/>
    <col min="2" max="2" width="10.57421875" style="62" customWidth="1"/>
    <col min="3" max="3" width="9.57421875" style="62" customWidth="1"/>
    <col min="4" max="4" width="10.8515625" style="62" customWidth="1"/>
    <col min="5" max="5" width="12.00390625" style="62" customWidth="1"/>
    <col min="6" max="6" width="9.421875" style="62" customWidth="1"/>
    <col min="7" max="7" width="9.140625" style="62" customWidth="1"/>
    <col min="8" max="8" width="11.140625" style="62" customWidth="1"/>
    <col min="9" max="9" width="11.7109375" style="62" customWidth="1"/>
    <col min="10" max="16384" width="9.140625" style="62" customWidth="1"/>
  </cols>
  <sheetData>
    <row r="1" spans="7:9" ht="12.75">
      <c r="G1" s="253"/>
      <c r="H1" s="253"/>
      <c r="I1" s="253"/>
    </row>
    <row r="2" spans="7:9" ht="12.75">
      <c r="G2" s="253"/>
      <c r="H2" s="253"/>
      <c r="I2" s="253"/>
    </row>
    <row r="3" ht="12.75">
      <c r="H3" s="63"/>
    </row>
    <row r="4" spans="7:9" ht="12.75">
      <c r="G4" s="254" t="s">
        <v>733</v>
      </c>
      <c r="H4" s="255"/>
      <c r="I4" s="256"/>
    </row>
    <row r="5" spans="7:9" ht="12.75">
      <c r="G5" s="64"/>
      <c r="H5" s="64"/>
      <c r="I5" s="64"/>
    </row>
    <row r="6" spans="7:9" ht="12.75">
      <c r="G6" s="64"/>
      <c r="H6" s="64"/>
      <c r="I6" s="64"/>
    </row>
    <row r="7" spans="1:11" ht="12.75">
      <c r="A7" s="65"/>
      <c r="B7" s="66"/>
      <c r="C7" s="66"/>
      <c r="D7" s="66"/>
      <c r="E7" s="66"/>
      <c r="F7" s="66"/>
      <c r="G7" s="66"/>
      <c r="H7" s="67"/>
      <c r="I7" s="66"/>
      <c r="J7" s="66"/>
      <c r="K7" s="66"/>
    </row>
    <row r="8" spans="1:9" ht="9" customHeight="1">
      <c r="A8" s="68" t="s">
        <v>9</v>
      </c>
      <c r="B8" s="69"/>
      <c r="C8" s="70"/>
      <c r="D8" s="71"/>
      <c r="E8" s="72" t="s">
        <v>10</v>
      </c>
      <c r="F8" s="72"/>
      <c r="G8" s="71"/>
      <c r="H8" s="73"/>
      <c r="I8" s="257"/>
    </row>
    <row r="9" spans="1:9" ht="12.75">
      <c r="A9" s="250"/>
      <c r="B9" s="251"/>
      <c r="C9" s="251"/>
      <c r="D9" s="252"/>
      <c r="E9" s="259"/>
      <c r="F9" s="260"/>
      <c r="G9" s="252"/>
      <c r="H9" s="73"/>
      <c r="I9" s="257"/>
    </row>
    <row r="10" spans="1:9" ht="9" customHeight="1">
      <c r="A10" s="76" t="s">
        <v>11</v>
      </c>
      <c r="B10" s="27"/>
      <c r="C10" s="27"/>
      <c r="D10" s="77"/>
      <c r="E10" s="78" t="s">
        <v>10</v>
      </c>
      <c r="F10" s="78"/>
      <c r="G10" s="77"/>
      <c r="H10" s="73"/>
      <c r="I10" s="257"/>
    </row>
    <row r="11" spans="1:9" ht="12.75">
      <c r="A11" s="250"/>
      <c r="B11" s="251"/>
      <c r="C11" s="251"/>
      <c r="D11" s="252"/>
      <c r="E11" s="261"/>
      <c r="F11" s="251"/>
      <c r="G11" s="252"/>
      <c r="H11" s="73"/>
      <c r="I11" s="258"/>
    </row>
    <row r="12" spans="1:9" ht="9" customHeight="1">
      <c r="A12" s="68" t="s">
        <v>12</v>
      </c>
      <c r="B12" s="70"/>
      <c r="C12" s="70"/>
      <c r="D12" s="70"/>
      <c r="E12" s="70"/>
      <c r="F12" s="70"/>
      <c r="G12" s="71"/>
      <c r="H12" s="73"/>
      <c r="I12" s="79"/>
    </row>
    <row r="13" spans="1:8" ht="12.75">
      <c r="A13" s="250"/>
      <c r="B13" s="251"/>
      <c r="C13" s="251"/>
      <c r="D13" s="251"/>
      <c r="E13" s="251"/>
      <c r="F13" s="251"/>
      <c r="G13" s="252"/>
      <c r="H13" s="63"/>
    </row>
    <row r="14" spans="2:11" ht="12.75">
      <c r="B14" s="80"/>
      <c r="C14" s="268"/>
      <c r="D14" s="267"/>
      <c r="E14" s="82"/>
      <c r="F14" s="82"/>
      <c r="G14" s="82"/>
      <c r="H14" s="82"/>
      <c r="I14" s="82"/>
      <c r="J14" s="82"/>
      <c r="K14" s="82"/>
    </row>
    <row r="15" spans="2:11" ht="12.75">
      <c r="B15" s="83"/>
      <c r="C15" s="83"/>
      <c r="D15" s="83"/>
      <c r="E15" s="82"/>
      <c r="F15" s="82"/>
      <c r="G15" s="82"/>
      <c r="J15" s="82"/>
      <c r="K15" s="82"/>
    </row>
    <row r="16" spans="2:6" ht="12.75">
      <c r="B16" s="84"/>
      <c r="C16" s="82"/>
      <c r="D16" s="82"/>
      <c r="E16" s="82"/>
      <c r="F16" s="82"/>
    </row>
    <row r="17" spans="2:7" ht="12.75">
      <c r="B17" s="85"/>
      <c r="D17" s="85"/>
      <c r="E17" s="82"/>
      <c r="F17" s="82"/>
      <c r="G17" s="82"/>
    </row>
    <row r="18" spans="2:7" ht="12.75">
      <c r="B18" s="86"/>
      <c r="D18" s="85"/>
      <c r="E18" s="82"/>
      <c r="F18" s="82"/>
      <c r="G18" s="82"/>
    </row>
    <row r="19" spans="2:6" ht="12.75">
      <c r="B19" s="84"/>
      <c r="C19" s="82"/>
      <c r="D19" s="82"/>
      <c r="E19" s="82"/>
      <c r="F19" s="82"/>
    </row>
    <row r="20" spans="2:6" ht="12.75">
      <c r="B20" s="84"/>
      <c r="C20" s="82"/>
      <c r="D20" s="82"/>
      <c r="E20" s="82"/>
      <c r="F20" s="82"/>
    </row>
    <row r="21" spans="2:11" ht="12.75">
      <c r="B21" s="269" t="s">
        <v>13</v>
      </c>
      <c r="C21" s="269"/>
      <c r="D21" s="269"/>
      <c r="E21" s="269"/>
      <c r="F21" s="269"/>
      <c r="G21" s="269"/>
      <c r="H21" s="269"/>
      <c r="I21" s="269"/>
      <c r="J21" s="269"/>
      <c r="K21" s="269"/>
    </row>
    <row r="22" spans="2:7" ht="12.75">
      <c r="B22" s="270" t="s">
        <v>31</v>
      </c>
      <c r="C22" s="269"/>
      <c r="D22" s="269"/>
      <c r="E22" s="269"/>
      <c r="F22" s="269"/>
      <c r="G22" s="269"/>
    </row>
    <row r="23" spans="2:11" ht="15">
      <c r="B23" s="87"/>
      <c r="C23" s="27"/>
      <c r="D23" s="27"/>
      <c r="E23" s="83"/>
      <c r="F23" s="83"/>
      <c r="G23" s="88"/>
      <c r="H23" s="89"/>
      <c r="I23" s="27"/>
      <c r="J23" s="83"/>
      <c r="K23" s="83"/>
    </row>
    <row r="24" spans="2:11" ht="12.75">
      <c r="B24" s="90"/>
      <c r="C24" s="27"/>
      <c r="D24" s="27"/>
      <c r="E24" s="83"/>
      <c r="F24" s="83"/>
      <c r="G24" s="91"/>
      <c r="H24" s="92"/>
      <c r="I24" s="27"/>
      <c r="J24" s="83"/>
      <c r="K24" s="83"/>
    </row>
    <row r="25" spans="2:11" ht="12.75">
      <c r="B25" s="90"/>
      <c r="C25" s="27"/>
      <c r="D25" s="27"/>
      <c r="E25" s="83"/>
      <c r="F25" s="83"/>
      <c r="G25" s="91"/>
      <c r="H25" s="27"/>
      <c r="I25" s="27"/>
      <c r="J25" s="83"/>
      <c r="K25" s="83"/>
    </row>
    <row r="26" spans="2:11" ht="12.75">
      <c r="B26" s="93"/>
      <c r="C26" s="80"/>
      <c r="D26" s="80"/>
      <c r="E26" s="80"/>
      <c r="F26" s="80"/>
      <c r="G26" s="80"/>
      <c r="H26" s="27"/>
      <c r="I26" s="27"/>
      <c r="J26" s="27"/>
      <c r="K26" s="27"/>
    </row>
    <row r="27" spans="2:11" ht="12.75">
      <c r="B27" s="91"/>
      <c r="C27" s="27"/>
      <c r="D27" s="27"/>
      <c r="E27" s="83"/>
      <c r="F27" s="83"/>
      <c r="G27" s="91"/>
      <c r="H27" s="27"/>
      <c r="I27" s="83"/>
      <c r="J27" s="83"/>
      <c r="K27" s="83"/>
    </row>
    <row r="28" spans="2:11" ht="12.75">
      <c r="B28" s="27"/>
      <c r="C28" s="27"/>
      <c r="D28" s="27"/>
      <c r="E28" s="83"/>
      <c r="F28" s="83"/>
      <c r="G28" s="83"/>
      <c r="H28" s="268"/>
      <c r="I28" s="271"/>
      <c r="J28" s="271"/>
      <c r="K28" s="271"/>
    </row>
    <row r="29" spans="5:11" ht="12.75">
      <c r="E29" s="82"/>
      <c r="F29" s="82"/>
      <c r="G29" s="82"/>
      <c r="H29" s="94"/>
      <c r="I29" s="91"/>
      <c r="J29" s="83"/>
      <c r="K29" s="83"/>
    </row>
    <row r="30" spans="2:11" ht="12.75">
      <c r="B30" s="85" t="s">
        <v>14</v>
      </c>
      <c r="K30" s="82"/>
    </row>
    <row r="31" spans="2:11" ht="12.75">
      <c r="B31" s="62" t="s">
        <v>15</v>
      </c>
      <c r="K31" s="82"/>
    </row>
    <row r="32" spans="5:11" ht="12.75">
      <c r="E32" s="82"/>
      <c r="F32" s="82"/>
      <c r="G32" s="85"/>
      <c r="J32" s="82"/>
      <c r="K32" s="82"/>
    </row>
    <row r="33" spans="2:11" ht="15">
      <c r="B33" s="95" t="s">
        <v>32</v>
      </c>
      <c r="E33" s="82"/>
      <c r="F33" s="82"/>
      <c r="G33" s="85"/>
      <c r="J33" s="82"/>
      <c r="K33" s="82"/>
    </row>
    <row r="34" spans="5:11" ht="12.75">
      <c r="E34" s="82"/>
      <c r="F34" s="82"/>
      <c r="G34" s="85"/>
      <c r="J34" s="82"/>
      <c r="K34" s="82"/>
    </row>
    <row r="35" spans="2:7" ht="12.75">
      <c r="B35" s="82"/>
      <c r="C35" s="82"/>
      <c r="D35" s="82"/>
      <c r="E35" s="82"/>
      <c r="F35" s="82"/>
      <c r="G35" s="82"/>
    </row>
    <row r="36" spans="2:11" ht="12.75"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2:11" ht="12.75">
      <c r="B37" s="66"/>
      <c r="C37" s="82"/>
      <c r="D37" s="82"/>
      <c r="E37" s="82"/>
      <c r="F37" s="82"/>
      <c r="G37" s="82"/>
      <c r="H37" s="82"/>
      <c r="I37" s="82"/>
      <c r="J37" s="82"/>
      <c r="K37" s="82"/>
    </row>
    <row r="38" spans="2:11" ht="12.75"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2:11" ht="12.75"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2:11" ht="12.75">
      <c r="B40" s="86" t="s">
        <v>16</v>
      </c>
      <c r="C40" s="82"/>
      <c r="D40" s="82"/>
      <c r="E40" s="92"/>
      <c r="F40" s="92"/>
      <c r="H40" s="85"/>
      <c r="I40" s="82"/>
      <c r="J40" s="82"/>
      <c r="K40" s="82"/>
    </row>
    <row r="41" spans="2:11" ht="12.75">
      <c r="B41" s="96" t="s">
        <v>17</v>
      </c>
      <c r="C41" s="97"/>
      <c r="D41" s="97"/>
      <c r="E41" s="70"/>
      <c r="F41" s="70"/>
      <c r="G41" s="97"/>
      <c r="H41" s="96" t="s">
        <v>18</v>
      </c>
      <c r="I41" s="98"/>
      <c r="J41" s="83"/>
      <c r="K41" s="27"/>
    </row>
    <row r="42" spans="2:11" ht="12.75">
      <c r="B42" s="266"/>
      <c r="C42" s="267"/>
      <c r="D42" s="267"/>
      <c r="E42" s="80"/>
      <c r="F42" s="80"/>
      <c r="G42" s="81"/>
      <c r="H42" s="99"/>
      <c r="I42" s="100"/>
      <c r="J42" s="81"/>
      <c r="K42" s="81"/>
    </row>
    <row r="43" spans="2:11" ht="12.75">
      <c r="B43" s="266"/>
      <c r="C43" s="267"/>
      <c r="D43" s="267"/>
      <c r="E43" s="83"/>
      <c r="F43" s="83"/>
      <c r="G43" s="83"/>
      <c r="H43" s="101"/>
      <c r="I43" s="102"/>
      <c r="J43" s="83"/>
      <c r="K43" s="27"/>
    </row>
    <row r="44" spans="2:11" ht="12.75">
      <c r="B44" s="266"/>
      <c r="C44" s="267"/>
      <c r="D44" s="267"/>
      <c r="E44" s="80"/>
      <c r="F44" s="80"/>
      <c r="G44" s="81"/>
      <c r="H44" s="103"/>
      <c r="I44" s="100"/>
      <c r="J44" s="81"/>
      <c r="K44" s="81"/>
    </row>
    <row r="45" spans="2:11" ht="12.75">
      <c r="B45" s="96" t="s">
        <v>19</v>
      </c>
      <c r="C45" s="97"/>
      <c r="D45" s="97"/>
      <c r="E45" s="70"/>
      <c r="F45" s="70"/>
      <c r="G45" s="97"/>
      <c r="H45" s="96" t="s">
        <v>20</v>
      </c>
      <c r="I45" s="98"/>
      <c r="J45" s="83"/>
      <c r="K45" s="27"/>
    </row>
    <row r="46" spans="2:11" ht="12.75">
      <c r="B46" s="250"/>
      <c r="C46" s="251"/>
      <c r="D46" s="251"/>
      <c r="E46" s="104"/>
      <c r="F46" s="104"/>
      <c r="G46" s="74"/>
      <c r="H46" s="105"/>
      <c r="I46" s="75"/>
      <c r="J46" s="81"/>
      <c r="K46" s="81"/>
    </row>
    <row r="47" spans="10:11" ht="12.75">
      <c r="J47" s="27"/>
      <c r="K47" s="27"/>
    </row>
    <row r="48" spans="2:11" ht="12.75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ht="20.25">
      <c r="A49" s="106"/>
      <c r="B49" s="94"/>
      <c r="C49" s="94"/>
      <c r="D49" s="94"/>
      <c r="E49" s="94"/>
      <c r="F49" s="94"/>
      <c r="G49" s="94"/>
      <c r="H49" s="94"/>
      <c r="I49" s="94"/>
      <c r="J49" s="247"/>
      <c r="K49" s="247"/>
    </row>
    <row r="50" ht="12.75">
      <c r="J50" s="27"/>
    </row>
    <row r="51" spans="2:11" ht="12.75">
      <c r="B51" s="107" t="s">
        <v>21</v>
      </c>
      <c r="C51" s="108" t="s">
        <v>22</v>
      </c>
      <c r="D51" s="108" t="s">
        <v>23</v>
      </c>
      <c r="E51" s="107" t="s">
        <v>24</v>
      </c>
      <c r="F51" s="263" t="s">
        <v>25</v>
      </c>
      <c r="G51" s="264"/>
      <c r="H51" s="108" t="s">
        <v>26</v>
      </c>
      <c r="I51" s="108"/>
      <c r="J51" s="109"/>
      <c r="K51" s="110"/>
    </row>
    <row r="52" spans="2:11" ht="22.5">
      <c r="B52" s="111" t="s">
        <v>27</v>
      </c>
      <c r="C52" s="111" t="s">
        <v>28</v>
      </c>
      <c r="D52" s="111" t="s">
        <v>29</v>
      </c>
      <c r="E52" s="112"/>
      <c r="F52" s="265"/>
      <c r="G52" s="265"/>
      <c r="H52" s="113"/>
      <c r="I52" s="114"/>
      <c r="J52" s="115"/>
      <c r="K52" s="116"/>
    </row>
    <row r="53" spans="2:11" ht="22.5">
      <c r="B53" s="111" t="s">
        <v>30</v>
      </c>
      <c r="C53" s="117"/>
      <c r="D53" s="118"/>
      <c r="E53" s="112"/>
      <c r="F53" s="265"/>
      <c r="G53" s="265"/>
      <c r="H53" s="113"/>
      <c r="I53" s="114"/>
      <c r="J53" s="248"/>
      <c r="K53" s="249"/>
    </row>
    <row r="54" spans="2:3" ht="12.75">
      <c r="B54" s="262"/>
      <c r="C54" s="262"/>
    </row>
  </sheetData>
  <sheetProtection/>
  <protectedRanges>
    <protectedRange sqref="A11:G11" name="Omr?de3"/>
    <protectedRange sqref="A13:G13" name="Omr?de2"/>
    <protectedRange sqref="A9:G9" name="Omr?de1"/>
  </protectedRanges>
  <mergeCells count="22">
    <mergeCell ref="B42:D42"/>
    <mergeCell ref="B43:D43"/>
    <mergeCell ref="C14:D14"/>
    <mergeCell ref="B21:K21"/>
    <mergeCell ref="B22:G22"/>
    <mergeCell ref="H28:K28"/>
    <mergeCell ref="B54:C54"/>
    <mergeCell ref="F51:G51"/>
    <mergeCell ref="F52:G52"/>
    <mergeCell ref="F53:G53"/>
    <mergeCell ref="B44:D44"/>
    <mergeCell ref="B46:D46"/>
    <mergeCell ref="J49:K49"/>
    <mergeCell ref="J53:K53"/>
    <mergeCell ref="A13:G13"/>
    <mergeCell ref="G1:I2"/>
    <mergeCell ref="G4:I4"/>
    <mergeCell ref="I8:I11"/>
    <mergeCell ref="A9:D9"/>
    <mergeCell ref="E9:G9"/>
    <mergeCell ref="A11:D11"/>
    <mergeCell ref="E11:G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120" bestFit="1" customWidth="1"/>
    <col min="2" max="2" width="13.00390625" style="120" customWidth="1"/>
    <col min="3" max="3" width="4.8515625" style="197" customWidth="1"/>
    <col min="4" max="4" width="29.7109375" style="120" customWidth="1"/>
    <col min="5" max="16384" width="9.140625" style="120" customWidth="1"/>
  </cols>
  <sheetData>
    <row r="1" spans="1:8" ht="15.75">
      <c r="A1" s="232" t="s">
        <v>734</v>
      </c>
      <c r="B1" s="125"/>
      <c r="D1" s="125"/>
      <c r="E1" s="125"/>
      <c r="F1" s="125"/>
      <c r="G1" s="125"/>
      <c r="H1" s="125"/>
    </row>
    <row r="2" spans="1:5" ht="12.75">
      <c r="A2" s="122"/>
      <c r="C2" s="198"/>
      <c r="E2" s="123"/>
    </row>
    <row r="3" spans="1:6" ht="15.75" thickBot="1">
      <c r="A3" s="194" t="s">
        <v>140</v>
      </c>
      <c r="B3" s="121"/>
      <c r="D3" s="121"/>
      <c r="E3" s="121"/>
      <c r="F3" s="121"/>
    </row>
    <row r="4" spans="1:4" ht="15.75">
      <c r="A4" s="141"/>
      <c r="B4" s="126"/>
      <c r="C4" s="199"/>
      <c r="D4" s="186" t="s">
        <v>34</v>
      </c>
    </row>
    <row r="5" spans="1:4" ht="12.75">
      <c r="A5" s="176" t="s">
        <v>113</v>
      </c>
      <c r="B5" s="177"/>
      <c r="C5" s="196" t="s">
        <v>143</v>
      </c>
      <c r="D5" s="230"/>
    </row>
    <row r="6" spans="1:4" ht="12.75">
      <c r="A6" s="176" t="s">
        <v>114</v>
      </c>
      <c r="B6" s="177"/>
      <c r="C6" s="196" t="s">
        <v>144</v>
      </c>
      <c r="D6" s="230"/>
    </row>
    <row r="7" spans="1:4" ht="12.75">
      <c r="A7" s="176" t="s">
        <v>115</v>
      </c>
      <c r="B7" s="177" t="s">
        <v>91</v>
      </c>
      <c r="C7" s="196" t="s">
        <v>145</v>
      </c>
      <c r="D7" s="230"/>
    </row>
    <row r="8" spans="1:4" ht="12.75">
      <c r="A8" s="132"/>
      <c r="B8" s="145"/>
      <c r="C8" s="196"/>
      <c r="D8" s="272"/>
    </row>
    <row r="9" spans="1:5" ht="12.75">
      <c r="A9" s="132" t="s">
        <v>116</v>
      </c>
      <c r="B9" s="145"/>
      <c r="C9" s="196"/>
      <c r="D9" s="276"/>
      <c r="E9" s="123"/>
    </row>
    <row r="10" spans="1:4" ht="12.75">
      <c r="A10" s="176" t="s">
        <v>117</v>
      </c>
      <c r="B10" s="177"/>
      <c r="C10" s="196" t="s">
        <v>146</v>
      </c>
      <c r="D10" s="273"/>
    </row>
    <row r="11" spans="1:4" ht="12.75">
      <c r="A11" s="176" t="s">
        <v>118</v>
      </c>
      <c r="B11" s="177"/>
      <c r="C11" s="196" t="s">
        <v>147</v>
      </c>
      <c r="D11" s="230"/>
    </row>
    <row r="12" spans="1:4" ht="12.75">
      <c r="A12" s="176" t="s">
        <v>689</v>
      </c>
      <c r="B12" s="177"/>
      <c r="C12" s="196" t="s">
        <v>148</v>
      </c>
      <c r="D12" s="230"/>
    </row>
    <row r="13" spans="1:4" ht="12.75">
      <c r="A13" s="132"/>
      <c r="B13" s="134"/>
      <c r="C13" s="196"/>
      <c r="D13" s="272"/>
    </row>
    <row r="14" spans="1:4" ht="12.75">
      <c r="A14" s="176" t="s">
        <v>119</v>
      </c>
      <c r="B14" s="177" t="s">
        <v>98</v>
      </c>
      <c r="C14" s="196" t="s">
        <v>149</v>
      </c>
      <c r="D14" s="273"/>
    </row>
    <row r="15" spans="1:4" ht="12.75">
      <c r="A15" s="176" t="s">
        <v>120</v>
      </c>
      <c r="B15" s="177" t="s">
        <v>98</v>
      </c>
      <c r="C15" s="196" t="s">
        <v>150</v>
      </c>
      <c r="D15" s="230"/>
    </row>
    <row r="16" spans="1:4" ht="12.75">
      <c r="A16" s="132"/>
      <c r="B16" s="134"/>
      <c r="C16" s="196"/>
      <c r="D16" s="272"/>
    </row>
    <row r="17" spans="1:4" ht="12.75">
      <c r="A17" s="132" t="s">
        <v>121</v>
      </c>
      <c r="B17" s="134"/>
      <c r="C17" s="196"/>
      <c r="D17" s="276"/>
    </row>
    <row r="18" spans="1:4" ht="12.75">
      <c r="A18" s="176" t="s">
        <v>117</v>
      </c>
      <c r="B18" s="177" t="s">
        <v>98</v>
      </c>
      <c r="C18" s="196" t="s">
        <v>151</v>
      </c>
      <c r="D18" s="273"/>
    </row>
    <row r="19" spans="1:4" ht="12.75">
      <c r="A19" s="176" t="s">
        <v>122</v>
      </c>
      <c r="B19" s="177" t="s">
        <v>98</v>
      </c>
      <c r="C19" s="196" t="s">
        <v>152</v>
      </c>
      <c r="D19" s="230"/>
    </row>
    <row r="20" spans="1:4" ht="12.75">
      <c r="A20" s="176" t="s">
        <v>123</v>
      </c>
      <c r="B20" s="177" t="s">
        <v>98</v>
      </c>
      <c r="C20" s="196" t="s">
        <v>153</v>
      </c>
      <c r="D20" s="230"/>
    </row>
    <row r="21" spans="1:4" ht="12.75">
      <c r="A21" s="176" t="s">
        <v>124</v>
      </c>
      <c r="B21" s="177" t="s">
        <v>98</v>
      </c>
      <c r="C21" s="196" t="s">
        <v>154</v>
      </c>
      <c r="D21" s="230"/>
    </row>
    <row r="22" spans="1:4" ht="12.75">
      <c r="A22" s="132"/>
      <c r="B22" s="134"/>
      <c r="C22" s="196"/>
      <c r="D22" s="274"/>
    </row>
    <row r="23" spans="1:4" ht="12.75">
      <c r="A23" s="202" t="s">
        <v>258</v>
      </c>
      <c r="B23" s="203"/>
      <c r="C23" s="196" t="s">
        <v>155</v>
      </c>
      <c r="D23" s="275"/>
    </row>
    <row r="24" spans="1:4" ht="12.75">
      <c r="A24" s="176" t="s">
        <v>125</v>
      </c>
      <c r="B24" s="177" t="s">
        <v>98</v>
      </c>
      <c r="C24" s="196" t="s">
        <v>156</v>
      </c>
      <c r="D24" s="230"/>
    </row>
    <row r="25" spans="1:4" ht="12.75">
      <c r="A25" s="132"/>
      <c r="B25" s="134"/>
      <c r="C25" s="196"/>
      <c r="D25" s="274"/>
    </row>
    <row r="26" spans="1:4" ht="12.75">
      <c r="A26" s="176" t="s">
        <v>126</v>
      </c>
      <c r="B26" s="177"/>
      <c r="C26" s="196" t="s">
        <v>157</v>
      </c>
      <c r="D26" s="275"/>
    </row>
    <row r="27" spans="1:4" ht="12.75">
      <c r="A27" s="132"/>
      <c r="B27" s="134"/>
      <c r="C27" s="196"/>
      <c r="D27" s="274"/>
    </row>
    <row r="28" spans="1:4" ht="12.75">
      <c r="A28" s="176" t="s">
        <v>127</v>
      </c>
      <c r="B28" s="177"/>
      <c r="C28" s="196" t="s">
        <v>158</v>
      </c>
      <c r="D28" s="275"/>
    </row>
    <row r="29" spans="1:4" ht="12.75">
      <c r="A29" s="176" t="s">
        <v>128</v>
      </c>
      <c r="B29" s="177"/>
      <c r="C29" s="196" t="s">
        <v>159</v>
      </c>
      <c r="D29" s="230"/>
    </row>
    <row r="30" spans="1:4" ht="12.75">
      <c r="A30" s="176" t="s">
        <v>194</v>
      </c>
      <c r="B30" s="177"/>
      <c r="C30" s="196" t="s">
        <v>160</v>
      </c>
      <c r="D30" s="230"/>
    </row>
    <row r="31" spans="1:4" ht="12.75">
      <c r="A31" s="176" t="s">
        <v>129</v>
      </c>
      <c r="B31" s="177" t="s">
        <v>98</v>
      </c>
      <c r="C31" s="196" t="s">
        <v>161</v>
      </c>
      <c r="D31" s="230"/>
    </row>
    <row r="32" spans="1:4" ht="12.75">
      <c r="A32" s="176" t="s">
        <v>130</v>
      </c>
      <c r="B32" s="177" t="s">
        <v>98</v>
      </c>
      <c r="C32" s="196" t="s">
        <v>162</v>
      </c>
      <c r="D32" s="230"/>
    </row>
    <row r="33" spans="1:4" ht="12.75">
      <c r="A33" s="176" t="s">
        <v>131</v>
      </c>
      <c r="B33" s="177" t="s">
        <v>91</v>
      </c>
      <c r="C33" s="196" t="s">
        <v>163</v>
      </c>
      <c r="D33" s="230"/>
    </row>
    <row r="34" spans="1:4" ht="12.75">
      <c r="A34" s="176" t="s">
        <v>132</v>
      </c>
      <c r="B34" s="177" t="s">
        <v>91</v>
      </c>
      <c r="C34" s="196" t="s">
        <v>164</v>
      </c>
      <c r="D34" s="230"/>
    </row>
    <row r="35" spans="1:4" ht="12.75">
      <c r="A35" s="176" t="s">
        <v>133</v>
      </c>
      <c r="B35" s="177" t="s">
        <v>98</v>
      </c>
      <c r="C35" s="196" t="s">
        <v>165</v>
      </c>
      <c r="D35" s="230"/>
    </row>
    <row r="36" spans="1:4" ht="12.75">
      <c r="A36" s="132"/>
      <c r="B36" s="134"/>
      <c r="C36" s="196"/>
      <c r="D36" s="274"/>
    </row>
    <row r="37" spans="1:4" ht="12.75">
      <c r="A37" s="202" t="s">
        <v>134</v>
      </c>
      <c r="B37" s="203"/>
      <c r="C37" s="196" t="s">
        <v>166</v>
      </c>
      <c r="D37" s="275"/>
    </row>
    <row r="38" spans="1:4" ht="12.75">
      <c r="A38" s="132"/>
      <c r="B38" s="134"/>
      <c r="C38" s="196"/>
      <c r="D38" s="274"/>
    </row>
    <row r="39" spans="1:4" ht="12.75">
      <c r="A39" s="176" t="s">
        <v>135</v>
      </c>
      <c r="B39" s="177" t="s">
        <v>91</v>
      </c>
      <c r="C39" s="196" t="s">
        <v>167</v>
      </c>
      <c r="D39" s="275"/>
    </row>
    <row r="40" spans="1:4" ht="12.75">
      <c r="A40" s="176" t="s">
        <v>136</v>
      </c>
      <c r="B40" s="177" t="s">
        <v>98</v>
      </c>
      <c r="C40" s="196" t="s">
        <v>168</v>
      </c>
      <c r="D40" s="230"/>
    </row>
    <row r="41" spans="1:4" ht="12.75">
      <c r="A41" s="176" t="s">
        <v>137</v>
      </c>
      <c r="B41" s="177" t="s">
        <v>98</v>
      </c>
      <c r="C41" s="196" t="s">
        <v>169</v>
      </c>
      <c r="D41" s="230"/>
    </row>
    <row r="42" spans="1:4" ht="12.75">
      <c r="A42" s="176" t="s">
        <v>138</v>
      </c>
      <c r="B42" s="177" t="s">
        <v>91</v>
      </c>
      <c r="C42" s="196" t="s">
        <v>170</v>
      </c>
      <c r="D42" s="230"/>
    </row>
    <row r="43" spans="1:4" ht="12.75">
      <c r="A43" s="176" t="s">
        <v>139</v>
      </c>
      <c r="B43" s="177" t="s">
        <v>98</v>
      </c>
      <c r="C43" s="196" t="s">
        <v>171</v>
      </c>
      <c r="D43" s="230"/>
    </row>
    <row r="44" spans="1:4" ht="12.75">
      <c r="A44" s="176" t="s">
        <v>96</v>
      </c>
      <c r="B44" s="177" t="s">
        <v>91</v>
      </c>
      <c r="C44" s="196" t="s">
        <v>172</v>
      </c>
      <c r="D44" s="230"/>
    </row>
    <row r="45" spans="1:4" ht="12.75">
      <c r="A45" s="176" t="s">
        <v>189</v>
      </c>
      <c r="B45" s="177" t="s">
        <v>91</v>
      </c>
      <c r="C45" s="196" t="s">
        <v>173</v>
      </c>
      <c r="D45" s="230"/>
    </row>
    <row r="46" spans="1:4" ht="12.75">
      <c r="A46" s="132"/>
      <c r="B46" s="134"/>
      <c r="C46" s="196"/>
      <c r="D46" s="274"/>
    </row>
    <row r="47" spans="1:4" ht="12.75">
      <c r="A47" s="202" t="s">
        <v>190</v>
      </c>
      <c r="B47" s="203"/>
      <c r="C47" s="196" t="s">
        <v>174</v>
      </c>
      <c r="D47" s="275"/>
    </row>
    <row r="48" spans="1:4" ht="12.75">
      <c r="A48" s="132"/>
      <c r="B48" s="134"/>
      <c r="C48" s="196"/>
      <c r="D48" s="274"/>
    </row>
    <row r="49" spans="1:4" ht="12.75">
      <c r="A49" s="176" t="s">
        <v>191</v>
      </c>
      <c r="B49" s="177" t="s">
        <v>98</v>
      </c>
      <c r="C49" s="196" t="s">
        <v>175</v>
      </c>
      <c r="D49" s="275"/>
    </row>
    <row r="50" spans="1:4" ht="12.75">
      <c r="A50" s="176" t="s">
        <v>192</v>
      </c>
      <c r="B50" s="177" t="s">
        <v>98</v>
      </c>
      <c r="C50" s="196" t="s">
        <v>176</v>
      </c>
      <c r="D50" s="230"/>
    </row>
    <row r="51" spans="1:4" ht="12.75">
      <c r="A51" s="132"/>
      <c r="B51" s="134"/>
      <c r="C51" s="196"/>
      <c r="D51" s="274"/>
    </row>
    <row r="52" spans="1:4" ht="13.5" thickBot="1">
      <c r="A52" s="151" t="s">
        <v>193</v>
      </c>
      <c r="B52" s="148"/>
      <c r="C52" s="200" t="s">
        <v>177</v>
      </c>
      <c r="D52" s="277"/>
    </row>
    <row r="53" spans="1:4" ht="12.75">
      <c r="A53" s="149"/>
      <c r="B53" s="123"/>
      <c r="C53" s="201"/>
      <c r="D53" s="123"/>
    </row>
  </sheetData>
  <sheetProtection/>
  <protectedRanges>
    <protectedRange sqref="D53" name="Omr?de4_1"/>
    <protectedRange sqref="D17" name="Omr?de4_10_1_2"/>
    <protectedRange sqref="D46 D25 D48 D51 D27 D38 D8:D9 D36 D16 D22" name="Omr?de4_10_1_1_1"/>
    <protectedRange sqref="D5:D7" name="Omr?de4_10_1_1"/>
    <protectedRange sqref="D11:D12" name="Omr?de4_10_1_1_3"/>
    <protectedRange sqref="D13 D15" name="Omr?de4_10_1_1_4"/>
    <protectedRange sqref="D19:D21" name="Omr?de4_10_1_1_6"/>
    <protectedRange sqref="D24" name="Omr?de4_10_1_1_2"/>
    <protectedRange sqref="D29:D35" name="Omr?de4_10_1_1_5"/>
    <protectedRange sqref="D40:D45" name="Omr?de4_10_1_1_7"/>
    <protectedRange sqref="D50" name="Omr?de4_10_1_1_8"/>
  </protectedRanges>
  <mergeCells count="11">
    <mergeCell ref="D48:D49"/>
    <mergeCell ref="D13:D14"/>
    <mergeCell ref="D38:D39"/>
    <mergeCell ref="D16:D18"/>
    <mergeCell ref="D8:D10"/>
    <mergeCell ref="D51:D52"/>
    <mergeCell ref="D22:D23"/>
    <mergeCell ref="D25:D26"/>
    <mergeCell ref="D27:D28"/>
    <mergeCell ref="D36:D37"/>
    <mergeCell ref="D46:D4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8515625" style="120" customWidth="1"/>
    <col min="2" max="2" width="13.00390625" style="120" customWidth="1"/>
    <col min="3" max="3" width="5.57421875" style="188" customWidth="1"/>
    <col min="4" max="4" width="35.28125" style="120" customWidth="1"/>
    <col min="5" max="16384" width="9.140625" style="120" customWidth="1"/>
  </cols>
  <sheetData>
    <row r="1" spans="1:3" ht="15.75">
      <c r="A1" s="232" t="s">
        <v>734</v>
      </c>
      <c r="C1" s="124"/>
    </row>
    <row r="2" spans="1:5" ht="12.75">
      <c r="A2" s="122"/>
      <c r="C2" s="124"/>
      <c r="E2" s="123"/>
    </row>
    <row r="3" spans="1:6" ht="15.75" thickBot="1">
      <c r="A3" s="194" t="s">
        <v>141</v>
      </c>
      <c r="B3" s="121"/>
      <c r="D3" s="121"/>
      <c r="E3" s="121"/>
      <c r="F3" s="121"/>
    </row>
    <row r="4" spans="1:4" ht="15.75">
      <c r="A4" s="141" t="s">
        <v>35</v>
      </c>
      <c r="B4" s="126"/>
      <c r="C4" s="189"/>
      <c r="D4" s="128" t="s">
        <v>34</v>
      </c>
    </row>
    <row r="5" spans="1:4" ht="12.75">
      <c r="A5" s="129"/>
      <c r="B5" s="130"/>
      <c r="C5" s="187"/>
      <c r="D5" s="287"/>
    </row>
    <row r="6" spans="1:4" ht="12.75">
      <c r="A6" s="169" t="s">
        <v>36</v>
      </c>
      <c r="B6" s="170"/>
      <c r="C6" s="187">
        <v>101</v>
      </c>
      <c r="D6" s="279"/>
    </row>
    <row r="7" spans="1:4" ht="12.75">
      <c r="A7" s="172" t="s">
        <v>37</v>
      </c>
      <c r="B7" s="171"/>
      <c r="C7" s="187">
        <v>111</v>
      </c>
      <c r="D7" s="219"/>
    </row>
    <row r="8" spans="1:4" ht="12.75">
      <c r="A8" s="132" t="s">
        <v>38</v>
      </c>
      <c r="B8" s="171"/>
      <c r="C8" s="187">
        <v>112</v>
      </c>
      <c r="D8" s="219"/>
    </row>
    <row r="9" spans="1:4" ht="12.75">
      <c r="A9" s="172" t="s">
        <v>39</v>
      </c>
      <c r="B9" s="171"/>
      <c r="C9" s="187">
        <v>121</v>
      </c>
      <c r="D9" s="219"/>
    </row>
    <row r="10" spans="1:4" ht="12.75">
      <c r="A10" s="133" t="s">
        <v>40</v>
      </c>
      <c r="B10" s="136"/>
      <c r="C10" s="187"/>
      <c r="D10" s="288"/>
    </row>
    <row r="11" spans="1:4" ht="12.75">
      <c r="A11" s="176" t="s">
        <v>41</v>
      </c>
      <c r="B11" s="150"/>
      <c r="C11" s="187">
        <v>131</v>
      </c>
      <c r="D11" s="289"/>
    </row>
    <row r="12" spans="1:4" ht="12.75">
      <c r="A12" s="180" t="s">
        <v>42</v>
      </c>
      <c r="B12" s="134"/>
      <c r="C12" s="187">
        <v>132</v>
      </c>
      <c r="D12" s="233"/>
    </row>
    <row r="13" spans="1:4" ht="12.75">
      <c r="A13" s="133" t="s">
        <v>43</v>
      </c>
      <c r="B13" s="174"/>
      <c r="C13" s="187">
        <v>133</v>
      </c>
      <c r="D13" s="233"/>
    </row>
    <row r="14" spans="1:4" ht="12.75">
      <c r="A14" s="180" t="s">
        <v>44</v>
      </c>
      <c r="B14" s="175"/>
      <c r="C14" s="187">
        <v>134</v>
      </c>
      <c r="D14" s="220"/>
    </row>
    <row r="15" spans="1:4" ht="12.75">
      <c r="A15" s="133" t="s">
        <v>45</v>
      </c>
      <c r="B15" s="134"/>
      <c r="C15" s="187"/>
      <c r="D15" s="288"/>
    </row>
    <row r="16" spans="1:4" ht="12.75">
      <c r="A16" s="176" t="s">
        <v>46</v>
      </c>
      <c r="B16" s="177"/>
      <c r="C16" s="187">
        <v>135</v>
      </c>
      <c r="D16" s="289"/>
    </row>
    <row r="17" spans="1:4" ht="12.75">
      <c r="A17" s="178" t="s">
        <v>108</v>
      </c>
      <c r="B17" s="134"/>
      <c r="C17" s="187">
        <v>138</v>
      </c>
      <c r="D17" s="219"/>
    </row>
    <row r="18" spans="1:4" ht="12.75">
      <c r="A18" s="180" t="s">
        <v>47</v>
      </c>
      <c r="B18" s="181"/>
      <c r="C18" s="187">
        <v>136</v>
      </c>
      <c r="D18" s="219"/>
    </row>
    <row r="19" spans="1:4" ht="12.75">
      <c r="A19" s="172" t="s">
        <v>48</v>
      </c>
      <c r="B19" s="134"/>
      <c r="C19" s="187">
        <v>137</v>
      </c>
      <c r="D19" s="219"/>
    </row>
    <row r="20" spans="1:4" ht="12.75">
      <c r="A20" s="132" t="s">
        <v>49</v>
      </c>
      <c r="B20" s="181"/>
      <c r="C20" s="187">
        <v>141</v>
      </c>
      <c r="D20" s="219"/>
    </row>
    <row r="21" spans="1:4" ht="12.75">
      <c r="A21" s="178" t="s">
        <v>297</v>
      </c>
      <c r="B21" s="181"/>
      <c r="C21" s="187">
        <v>142</v>
      </c>
      <c r="D21" s="219"/>
    </row>
    <row r="22" spans="1:4" ht="12.75">
      <c r="A22" s="172" t="s">
        <v>50</v>
      </c>
      <c r="B22" s="181"/>
      <c r="C22" s="187">
        <v>151</v>
      </c>
      <c r="D22" s="219"/>
    </row>
    <row r="23" spans="1:6" ht="12.75">
      <c r="A23" s="172" t="s">
        <v>51</v>
      </c>
      <c r="B23" s="134"/>
      <c r="C23" s="187">
        <v>152</v>
      </c>
      <c r="D23" s="219"/>
      <c r="F23" s="124"/>
    </row>
    <row r="24" spans="1:8" ht="12.75">
      <c r="A24" s="172" t="s">
        <v>53</v>
      </c>
      <c r="B24" s="179"/>
      <c r="C24" s="187">
        <v>153</v>
      </c>
      <c r="D24" s="219"/>
      <c r="E24" s="124"/>
      <c r="H24" s="124"/>
    </row>
    <row r="25" spans="1:8" ht="12.75">
      <c r="A25" s="132" t="s">
        <v>54</v>
      </c>
      <c r="B25" s="179"/>
      <c r="C25" s="187">
        <v>154</v>
      </c>
      <c r="D25" s="219"/>
      <c r="H25" s="124"/>
    </row>
    <row r="26" spans="1:4" ht="12.75">
      <c r="A26" s="173" t="s">
        <v>55</v>
      </c>
      <c r="B26" s="179"/>
      <c r="C26" s="187">
        <v>155</v>
      </c>
      <c r="D26" s="219"/>
    </row>
    <row r="27" spans="1:4" ht="12.75">
      <c r="A27" s="172" t="s">
        <v>56</v>
      </c>
      <c r="B27" s="179"/>
      <c r="C27" s="187">
        <v>156</v>
      </c>
      <c r="D27" s="219"/>
    </row>
    <row r="28" spans="1:4" ht="12.75">
      <c r="A28" s="132" t="s">
        <v>57</v>
      </c>
      <c r="B28" s="179"/>
      <c r="C28" s="187">
        <v>157</v>
      </c>
      <c r="D28" s="219"/>
    </row>
    <row r="29" spans="1:5" ht="12.75">
      <c r="A29" s="172" t="s">
        <v>58</v>
      </c>
      <c r="B29" s="179"/>
      <c r="C29" s="187">
        <v>158</v>
      </c>
      <c r="D29" s="219"/>
      <c r="E29" s="124"/>
    </row>
    <row r="30" spans="1:4" ht="12.75">
      <c r="A30" s="172" t="s">
        <v>59</v>
      </c>
      <c r="B30" s="179"/>
      <c r="C30" s="187">
        <v>161</v>
      </c>
      <c r="D30" s="219"/>
    </row>
    <row r="31" spans="1:4" ht="12.75">
      <c r="A31" s="132" t="s">
        <v>60</v>
      </c>
      <c r="B31" s="179"/>
      <c r="C31" s="187">
        <v>162</v>
      </c>
      <c r="D31" s="219"/>
    </row>
    <row r="32" spans="1:4" ht="12" customHeight="1">
      <c r="A32" s="172" t="s">
        <v>61</v>
      </c>
      <c r="B32" s="179"/>
      <c r="C32" s="187">
        <v>163</v>
      </c>
      <c r="D32" s="219"/>
    </row>
    <row r="33" spans="1:4" ht="12.75">
      <c r="A33" s="135" t="s">
        <v>109</v>
      </c>
      <c r="B33" s="181"/>
      <c r="C33" s="187">
        <v>164</v>
      </c>
      <c r="D33" s="219"/>
    </row>
    <row r="34" spans="1:4" ht="12.75">
      <c r="A34" s="173" t="s">
        <v>62</v>
      </c>
      <c r="B34" s="134"/>
      <c r="C34" s="187">
        <v>171</v>
      </c>
      <c r="D34" s="219"/>
    </row>
    <row r="35" spans="1:4" ht="12.75">
      <c r="A35" s="173" t="s">
        <v>63</v>
      </c>
      <c r="B35" s="179"/>
      <c r="C35" s="187">
        <v>181</v>
      </c>
      <c r="D35" s="219"/>
    </row>
    <row r="36" spans="1:4" ht="12.75">
      <c r="A36" s="173"/>
      <c r="B36" s="179"/>
      <c r="C36" s="187"/>
      <c r="D36" s="288"/>
    </row>
    <row r="37" spans="1:5" ht="12.75">
      <c r="A37" s="129" t="s">
        <v>64</v>
      </c>
      <c r="B37" s="134"/>
      <c r="C37" s="187">
        <v>191</v>
      </c>
      <c r="D37" s="289"/>
      <c r="E37" s="124"/>
    </row>
    <row r="38" spans="1:5" ht="13.5" thickBot="1">
      <c r="A38" s="185" t="s">
        <v>296</v>
      </c>
      <c r="B38" s="183"/>
      <c r="C38" s="204">
        <v>192</v>
      </c>
      <c r="D38" s="219"/>
      <c r="E38" s="124"/>
    </row>
    <row r="39" spans="1:4" ht="13.5" thickBot="1">
      <c r="A39" s="152"/>
      <c r="B39" s="153"/>
      <c r="C39" s="190"/>
      <c r="D39" s="153"/>
    </row>
    <row r="40" spans="1:4" ht="15.75">
      <c r="A40" s="141" t="s">
        <v>65</v>
      </c>
      <c r="B40" s="126"/>
      <c r="C40" s="191"/>
      <c r="D40" s="128" t="s">
        <v>34</v>
      </c>
    </row>
    <row r="41" spans="1:4" ht="12.75">
      <c r="A41" s="129"/>
      <c r="B41" s="136"/>
      <c r="C41" s="147"/>
      <c r="D41" s="287"/>
    </row>
    <row r="42" spans="1:4" ht="12.75">
      <c r="A42" s="132" t="s">
        <v>66</v>
      </c>
      <c r="B42" s="134"/>
      <c r="C42" s="147">
        <v>201</v>
      </c>
      <c r="D42" s="279"/>
    </row>
    <row r="43" spans="1:4" ht="12.75">
      <c r="A43" s="178" t="s">
        <v>67</v>
      </c>
      <c r="B43" s="181"/>
      <c r="C43" s="187">
        <v>202</v>
      </c>
      <c r="D43" s="219"/>
    </row>
    <row r="44" spans="1:4" ht="12.75">
      <c r="A44" s="178" t="s">
        <v>68</v>
      </c>
      <c r="B44" s="134"/>
      <c r="C44" s="187">
        <v>203</v>
      </c>
      <c r="D44" s="219"/>
    </row>
    <row r="45" spans="1:4" ht="12.75">
      <c r="A45" s="135" t="s">
        <v>69</v>
      </c>
      <c r="B45" s="181"/>
      <c r="C45" s="187">
        <v>204</v>
      </c>
      <c r="D45" s="219"/>
    </row>
    <row r="46" spans="1:5" ht="12.75">
      <c r="A46" s="178" t="s">
        <v>70</v>
      </c>
      <c r="B46" s="181"/>
      <c r="C46" s="187">
        <v>205</v>
      </c>
      <c r="D46" s="234">
        <f>Inm_19957</f>
        <v>0</v>
      </c>
      <c r="E46" s="236" t="s">
        <v>727</v>
      </c>
    </row>
    <row r="47" spans="1:4" ht="12.75">
      <c r="A47" s="172" t="s">
        <v>71</v>
      </c>
      <c r="B47" s="181"/>
      <c r="C47" s="187">
        <v>211</v>
      </c>
      <c r="D47" s="219"/>
    </row>
    <row r="48" spans="1:4" ht="12.75">
      <c r="A48" s="169" t="s">
        <v>72</v>
      </c>
      <c r="B48" s="181"/>
      <c r="C48" s="187">
        <v>221</v>
      </c>
      <c r="D48" s="219"/>
    </row>
    <row r="49" spans="1:4" ht="12.75">
      <c r="A49" s="184" t="s">
        <v>298</v>
      </c>
      <c r="B49" s="177"/>
      <c r="C49" s="187">
        <v>222</v>
      </c>
      <c r="D49" s="219"/>
    </row>
    <row r="50" spans="1:4" ht="12.75">
      <c r="A50" s="135"/>
      <c r="B50" s="134"/>
      <c r="C50" s="187"/>
      <c r="D50" s="278"/>
    </row>
    <row r="51" spans="1:5" ht="12.75">
      <c r="A51" s="133" t="s">
        <v>73</v>
      </c>
      <c r="B51" s="136"/>
      <c r="C51" s="187"/>
      <c r="D51" s="290"/>
      <c r="E51" s="124"/>
    </row>
    <row r="52" spans="1:4" ht="12.75">
      <c r="A52" s="176" t="s">
        <v>74</v>
      </c>
      <c r="B52" s="177"/>
      <c r="C52" s="187">
        <v>231</v>
      </c>
      <c r="D52" s="279"/>
    </row>
    <row r="53" spans="1:4" ht="12.75">
      <c r="A53" s="135" t="s">
        <v>299</v>
      </c>
      <c r="B53" s="181"/>
      <c r="C53" s="187">
        <v>233</v>
      </c>
      <c r="D53" s="219"/>
    </row>
    <row r="54" spans="1:4" ht="12.75">
      <c r="A54" s="180" t="s">
        <v>75</v>
      </c>
      <c r="B54" s="181"/>
      <c r="C54" s="187">
        <v>232</v>
      </c>
      <c r="D54" s="219"/>
    </row>
    <row r="55" spans="1:4" ht="12.75">
      <c r="A55" s="132"/>
      <c r="B55" s="179"/>
      <c r="C55" s="187"/>
      <c r="D55" s="278"/>
    </row>
    <row r="56" spans="1:4" ht="12.75">
      <c r="A56" s="169" t="s">
        <v>76</v>
      </c>
      <c r="B56" s="177"/>
      <c r="C56" s="187">
        <v>241</v>
      </c>
      <c r="D56" s="279"/>
    </row>
    <row r="57" spans="1:5" ht="12.75">
      <c r="A57" s="172" t="s">
        <v>77</v>
      </c>
      <c r="B57" s="179"/>
      <c r="C57" s="187">
        <v>242</v>
      </c>
      <c r="D57" s="219"/>
      <c r="E57" s="124"/>
    </row>
    <row r="58" spans="1:4" ht="12.75">
      <c r="A58" s="132" t="s">
        <v>78</v>
      </c>
      <c r="B58" s="181"/>
      <c r="C58" s="187">
        <v>243</v>
      </c>
      <c r="D58" s="219"/>
    </row>
    <row r="59" spans="1:4" ht="12.75">
      <c r="A59" s="173"/>
      <c r="B59" s="134"/>
      <c r="C59" s="187"/>
      <c r="D59" s="222"/>
    </row>
    <row r="60" spans="1:4" ht="12.75">
      <c r="A60" s="132" t="s">
        <v>40</v>
      </c>
      <c r="B60" s="134"/>
      <c r="C60" s="187"/>
      <c r="D60" s="221"/>
    </row>
    <row r="61" spans="1:4" ht="12.75">
      <c r="A61" s="132" t="s">
        <v>79</v>
      </c>
      <c r="B61" s="177"/>
      <c r="C61" s="187">
        <v>251</v>
      </c>
      <c r="D61" s="223"/>
    </row>
    <row r="62" spans="1:4" ht="12.75">
      <c r="A62" s="180" t="s">
        <v>80</v>
      </c>
      <c r="B62" s="134"/>
      <c r="C62" s="187">
        <v>252</v>
      </c>
      <c r="D62" s="219"/>
    </row>
    <row r="63" spans="1:4" ht="12.75">
      <c r="A63" s="133" t="s">
        <v>81</v>
      </c>
      <c r="B63" s="179"/>
      <c r="C63" s="187">
        <v>253</v>
      </c>
      <c r="D63" s="219"/>
    </row>
    <row r="64" spans="1:4" ht="12.75">
      <c r="A64" s="180" t="s">
        <v>82</v>
      </c>
      <c r="B64" s="181"/>
      <c r="C64" s="187">
        <v>254</v>
      </c>
      <c r="D64" s="219"/>
    </row>
    <row r="65" spans="1:4" ht="12.75">
      <c r="A65" s="180" t="s">
        <v>83</v>
      </c>
      <c r="B65" s="179"/>
      <c r="C65" s="187">
        <v>255</v>
      </c>
      <c r="D65" s="219"/>
    </row>
    <row r="66" spans="1:4" ht="12.75">
      <c r="A66" s="132" t="s">
        <v>84</v>
      </c>
      <c r="B66" s="181"/>
      <c r="C66" s="187">
        <v>261</v>
      </c>
      <c r="D66" s="219"/>
    </row>
    <row r="67" spans="1:4" ht="12.75">
      <c r="A67" s="173" t="s">
        <v>85</v>
      </c>
      <c r="B67" s="181"/>
      <c r="C67" s="187">
        <v>262</v>
      </c>
      <c r="D67" s="219"/>
    </row>
    <row r="68" spans="1:4" ht="12.75">
      <c r="A68" s="173" t="s">
        <v>86</v>
      </c>
      <c r="B68" s="134"/>
      <c r="C68" s="187">
        <v>271</v>
      </c>
      <c r="D68" s="219"/>
    </row>
    <row r="69" spans="1:4" ht="12.75">
      <c r="A69" s="182" t="s">
        <v>300</v>
      </c>
      <c r="B69" s="179"/>
      <c r="C69" s="187">
        <v>272</v>
      </c>
      <c r="D69" s="219"/>
    </row>
    <row r="70" spans="1:4" ht="12.75">
      <c r="A70" s="173" t="s">
        <v>87</v>
      </c>
      <c r="B70" s="179"/>
      <c r="C70" s="187">
        <v>281</v>
      </c>
      <c r="D70" s="219"/>
    </row>
    <row r="71" spans="1:4" ht="12.75">
      <c r="A71" s="173" t="s">
        <v>59</v>
      </c>
      <c r="B71" s="181"/>
      <c r="C71" s="187">
        <v>282</v>
      </c>
      <c r="D71" s="219"/>
    </row>
    <row r="72" spans="1:4" ht="12.75">
      <c r="A72" s="173"/>
      <c r="B72" s="134"/>
      <c r="C72" s="187"/>
      <c r="D72" s="285">
        <f>Inm_20073</f>
        <v>0</v>
      </c>
    </row>
    <row r="73" spans="1:5" ht="12.75">
      <c r="A73" s="129" t="s">
        <v>88</v>
      </c>
      <c r="B73" s="177"/>
      <c r="C73" s="187">
        <v>291</v>
      </c>
      <c r="D73" s="286"/>
      <c r="E73" s="236" t="s">
        <v>728</v>
      </c>
    </row>
    <row r="74" spans="1:5" ht="13.5" thickBot="1">
      <c r="A74" s="185" t="s">
        <v>295</v>
      </c>
      <c r="B74" s="137"/>
      <c r="C74" s="192">
        <v>292</v>
      </c>
      <c r="D74" s="217">
        <f>Inm_20036</f>
        <v>0</v>
      </c>
      <c r="E74" s="236" t="s">
        <v>729</v>
      </c>
    </row>
    <row r="75" spans="1:4" ht="29.25" customHeight="1" thickBot="1">
      <c r="A75" s="195" t="s">
        <v>142</v>
      </c>
      <c r="B75" s="123"/>
      <c r="C75" s="193"/>
      <c r="D75" s="140"/>
    </row>
    <row r="76" spans="1:4" ht="15.75">
      <c r="A76" s="141"/>
      <c r="B76" s="126"/>
      <c r="C76" s="189"/>
      <c r="D76" s="128" t="s">
        <v>34</v>
      </c>
    </row>
    <row r="77" spans="1:4" ht="12.75">
      <c r="A77" s="132" t="s">
        <v>89</v>
      </c>
      <c r="B77" s="134"/>
      <c r="C77" s="187"/>
      <c r="D77" s="278"/>
    </row>
    <row r="78" spans="1:4" ht="12.75">
      <c r="A78" s="169" t="s">
        <v>111</v>
      </c>
      <c r="B78" s="134"/>
      <c r="C78" s="187">
        <v>401</v>
      </c>
      <c r="D78" s="279"/>
    </row>
    <row r="79" spans="1:4" ht="12.75">
      <c r="A79" s="169" t="s">
        <v>90</v>
      </c>
      <c r="B79" s="181" t="s">
        <v>91</v>
      </c>
      <c r="C79" s="187">
        <v>402</v>
      </c>
      <c r="D79" s="223"/>
    </row>
    <row r="80" spans="1:4" ht="12.75">
      <c r="A80" s="132" t="s">
        <v>92</v>
      </c>
      <c r="B80" s="134"/>
      <c r="C80" s="187"/>
      <c r="D80" s="278"/>
    </row>
    <row r="81" spans="1:4" ht="12.75">
      <c r="A81" s="169" t="s">
        <v>93</v>
      </c>
      <c r="B81" s="134"/>
      <c r="C81" s="187">
        <v>403</v>
      </c>
      <c r="D81" s="279"/>
    </row>
    <row r="82" spans="1:4" ht="12.75">
      <c r="A82" s="132" t="s">
        <v>94</v>
      </c>
      <c r="B82" s="181"/>
      <c r="C82" s="187">
        <v>404</v>
      </c>
      <c r="D82" s="220"/>
    </row>
    <row r="83" spans="1:4" ht="12.75">
      <c r="A83" s="172" t="s">
        <v>95</v>
      </c>
      <c r="B83" s="181"/>
      <c r="C83" s="187">
        <v>411</v>
      </c>
      <c r="D83" s="220"/>
    </row>
    <row r="84" spans="1:4" ht="12.75">
      <c r="A84" s="280" t="s">
        <v>110</v>
      </c>
      <c r="B84" s="281"/>
      <c r="C84" s="284">
        <v>421</v>
      </c>
      <c r="D84" s="278"/>
    </row>
    <row r="85" spans="1:4" ht="12.75">
      <c r="A85" s="282"/>
      <c r="B85" s="283"/>
      <c r="C85" s="284"/>
      <c r="D85" s="279"/>
    </row>
    <row r="86" spans="1:4" ht="12.75">
      <c r="A86" s="169" t="s">
        <v>96</v>
      </c>
      <c r="B86" s="145" t="s">
        <v>91</v>
      </c>
      <c r="C86" s="187">
        <v>431</v>
      </c>
      <c r="D86" s="223"/>
    </row>
    <row r="87" spans="1:4" ht="12.75">
      <c r="A87" s="169" t="s">
        <v>97</v>
      </c>
      <c r="B87" s="179" t="s">
        <v>98</v>
      </c>
      <c r="C87" s="187">
        <v>432</v>
      </c>
      <c r="D87" s="223"/>
    </row>
    <row r="88" spans="1:4" ht="12.75">
      <c r="A88" s="169" t="s">
        <v>99</v>
      </c>
      <c r="B88" s="179" t="s">
        <v>98</v>
      </c>
      <c r="C88" s="187">
        <v>435</v>
      </c>
      <c r="D88" s="223"/>
    </row>
    <row r="89" spans="1:4" ht="12.75">
      <c r="A89" s="132" t="s">
        <v>100</v>
      </c>
      <c r="B89" s="179"/>
      <c r="C89" s="187">
        <v>436</v>
      </c>
      <c r="D89" s="223"/>
    </row>
    <row r="90" spans="1:4" ht="12.75">
      <c r="A90" s="172" t="s">
        <v>101</v>
      </c>
      <c r="B90" s="179" t="s">
        <v>98</v>
      </c>
      <c r="C90" s="187">
        <v>441</v>
      </c>
      <c r="D90" s="223"/>
    </row>
    <row r="91" spans="1:4" ht="12.75">
      <c r="A91" s="172" t="s">
        <v>102</v>
      </c>
      <c r="B91" s="179" t="s">
        <v>91</v>
      </c>
      <c r="C91" s="187">
        <v>433</v>
      </c>
      <c r="D91" s="223"/>
    </row>
    <row r="92" spans="1:4" ht="12.75">
      <c r="A92" s="169" t="s">
        <v>103</v>
      </c>
      <c r="B92" s="179" t="s">
        <v>91</v>
      </c>
      <c r="C92" s="187">
        <v>434</v>
      </c>
      <c r="D92" s="223"/>
    </row>
    <row r="93" spans="1:4" ht="12.75">
      <c r="A93" s="169" t="s">
        <v>104</v>
      </c>
      <c r="B93" s="179" t="s">
        <v>91</v>
      </c>
      <c r="C93" s="187">
        <v>451</v>
      </c>
      <c r="D93" s="223"/>
    </row>
    <row r="94" spans="1:5" ht="12.75">
      <c r="A94" s="169" t="s">
        <v>105</v>
      </c>
      <c r="B94" s="181" t="s">
        <v>91</v>
      </c>
      <c r="C94" s="187">
        <v>461</v>
      </c>
      <c r="D94" s="235">
        <f>Inm_19957</f>
        <v>0</v>
      </c>
      <c r="E94" s="236" t="s">
        <v>727</v>
      </c>
    </row>
    <row r="95" spans="1:5" ht="12.75">
      <c r="A95" s="169" t="s">
        <v>106</v>
      </c>
      <c r="B95" s="181"/>
      <c r="C95" s="187">
        <v>471</v>
      </c>
      <c r="D95" s="235">
        <f>Inm_20035</f>
        <v>0</v>
      </c>
      <c r="E95" s="236" t="s">
        <v>730</v>
      </c>
    </row>
    <row r="96" spans="1:4" ht="13.5" thickBot="1">
      <c r="A96" s="142" t="s">
        <v>107</v>
      </c>
      <c r="B96" s="143"/>
      <c r="C96" s="192">
        <v>481</v>
      </c>
      <c r="D96" s="224"/>
    </row>
    <row r="97" ht="12.75"/>
  </sheetData>
  <sheetProtection/>
  <protectedRanges>
    <protectedRange sqref="D75:D76 D39" name="Omr?de4_1"/>
    <protectedRange sqref="E11:E14" name="Omr?de4_8_1"/>
    <protectedRange sqref="D2 E21 E15:E19 D41" name="Omr?de4_10_1"/>
    <protectedRange sqref="E7" name="Omr?de4_12_2"/>
    <protectedRange sqref="E8" name="Omr?de4_12_3"/>
    <protectedRange sqref="E9" name="Omr?de4_12_4"/>
    <protectedRange sqref="E10" name="Omr?de4_12_5"/>
    <protectedRange sqref="D5 D15 D10" name="Omr?de4_10_1_1"/>
    <protectedRange sqref="D73:D74 D36" name="Omr?de4_10_1_2"/>
    <protectedRange sqref="D59:D60 D51 D42 D55" name="Omr?de4_10_1_4"/>
    <protectedRange sqref="D50 D72" name="Omr?de4_5_1_1"/>
    <protectedRange sqref="D77 D84 D79:D80" name="Omr?de4_10_1_6"/>
    <protectedRange sqref="D7:D9" name="Omr?de4_10_1_3"/>
    <protectedRange sqref="D12:D14" name="Omr?de4_10_1_5"/>
    <protectedRange sqref="D17:D35" name="Omr?de4_10_1_7"/>
    <protectedRange sqref="D38" name="Omr?de4_10_1_8"/>
    <protectedRange sqref="D43:D49" name="Omr?de4_10_1_9"/>
    <protectedRange sqref="D53:D54" name="Omr?de4_10_1_10"/>
    <protectedRange sqref="D57:D58" name="Omr?de4_10_1_11"/>
    <protectedRange sqref="D62:D71" name="Omr?de4_10_1_12"/>
    <protectedRange sqref="D82:D83" name="Omr?de4_10_1_13"/>
    <protectedRange sqref="D86:D96" name="Omr?de4_10_1_14"/>
  </protectedRanges>
  <mergeCells count="13">
    <mergeCell ref="D5:D6"/>
    <mergeCell ref="D10:D11"/>
    <mergeCell ref="D15:D16"/>
    <mergeCell ref="D55:D56"/>
    <mergeCell ref="D36:D37"/>
    <mergeCell ref="D41:D42"/>
    <mergeCell ref="D50:D52"/>
    <mergeCell ref="D77:D78"/>
    <mergeCell ref="D80:D81"/>
    <mergeCell ref="D84:D85"/>
    <mergeCell ref="A84:B85"/>
    <mergeCell ref="C84:C85"/>
    <mergeCell ref="D72:D7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120" customWidth="1"/>
    <col min="2" max="2" width="7.28125" style="120" customWidth="1"/>
    <col min="3" max="3" width="6.421875" style="120" customWidth="1"/>
    <col min="4" max="4" width="5.57421875" style="125" customWidth="1"/>
    <col min="5" max="5" width="31.00390625" style="120" customWidth="1"/>
    <col min="6" max="6" width="28.140625" style="120" customWidth="1"/>
    <col min="7" max="8" width="26.28125" style="120" customWidth="1"/>
    <col min="9" max="9" width="23.8515625" style="120" customWidth="1"/>
    <col min="10" max="16384" width="9.140625" style="120" customWidth="1"/>
  </cols>
  <sheetData>
    <row r="1" spans="1:4" ht="15.75">
      <c r="A1" s="119" t="s">
        <v>734</v>
      </c>
      <c r="D1" s="121"/>
    </row>
    <row r="2" spans="1:6" ht="12.75">
      <c r="A2" s="122"/>
      <c r="B2" s="123"/>
      <c r="C2" s="123"/>
      <c r="D2" s="149"/>
      <c r="E2" s="123"/>
      <c r="F2" s="123"/>
    </row>
    <row r="3" spans="1:8" ht="15.75" thickBot="1">
      <c r="A3" s="194" t="s">
        <v>178</v>
      </c>
      <c r="B3" s="121"/>
      <c r="C3" s="121"/>
      <c r="E3" s="121"/>
      <c r="F3" s="121"/>
      <c r="G3" s="121"/>
      <c r="H3" s="121"/>
    </row>
    <row r="4" spans="1:5" ht="15.75">
      <c r="A4" s="291"/>
      <c r="B4" s="292"/>
      <c r="C4" s="293"/>
      <c r="D4" s="127"/>
      <c r="E4" s="128" t="s">
        <v>34</v>
      </c>
    </row>
    <row r="5" spans="1:5" ht="12.75" customHeight="1">
      <c r="A5" s="132" t="s">
        <v>195</v>
      </c>
      <c r="B5" s="136"/>
      <c r="C5" s="136"/>
      <c r="D5" s="146"/>
      <c r="E5" s="278"/>
    </row>
    <row r="6" spans="1:5" ht="12.75">
      <c r="A6" s="169" t="s">
        <v>196</v>
      </c>
      <c r="B6" s="150"/>
      <c r="C6" s="170"/>
      <c r="D6" s="146">
        <v>300</v>
      </c>
      <c r="E6" s="279"/>
    </row>
    <row r="7" spans="1:5" ht="12.75">
      <c r="A7" s="169" t="s">
        <v>197</v>
      </c>
      <c r="B7" s="150"/>
      <c r="C7" s="170"/>
      <c r="D7" s="131">
        <v>301</v>
      </c>
      <c r="E7" s="219"/>
    </row>
    <row r="8" spans="1:5" ht="13.5" thickBot="1">
      <c r="A8" s="151" t="s">
        <v>198</v>
      </c>
      <c r="B8" s="137"/>
      <c r="C8" s="137"/>
      <c r="D8" s="144">
        <v>302</v>
      </c>
      <c r="E8" s="225"/>
    </row>
    <row r="9" spans="1:5" ht="12.75">
      <c r="A9" s="138"/>
      <c r="B9" s="140"/>
      <c r="C9" s="140"/>
      <c r="D9" s="139"/>
      <c r="E9" s="140"/>
    </row>
    <row r="10" spans="1:4" s="123" customFormat="1" ht="15.75" thickBot="1">
      <c r="A10" s="206" t="s">
        <v>179</v>
      </c>
      <c r="D10" s="122"/>
    </row>
    <row r="11" spans="1:5" ht="15.75">
      <c r="A11" s="205" t="s">
        <v>199</v>
      </c>
      <c r="B11" s="126"/>
      <c r="C11" s="126"/>
      <c r="D11" s="127"/>
      <c r="E11" s="128" t="s">
        <v>34</v>
      </c>
    </row>
    <row r="12" spans="1:5" ht="12.75">
      <c r="A12" s="129" t="s">
        <v>180</v>
      </c>
      <c r="B12" s="136"/>
      <c r="C12" s="136"/>
      <c r="D12" s="131"/>
      <c r="E12" s="278"/>
    </row>
    <row r="13" spans="1:5" ht="12.75">
      <c r="A13" s="169" t="s">
        <v>200</v>
      </c>
      <c r="B13" s="150"/>
      <c r="C13" s="170"/>
      <c r="D13" s="131">
        <v>501</v>
      </c>
      <c r="E13" s="279"/>
    </row>
    <row r="14" spans="1:5" ht="12.75">
      <c r="A14" s="169" t="s">
        <v>201</v>
      </c>
      <c r="B14" s="150"/>
      <c r="C14" s="170"/>
      <c r="D14" s="131">
        <v>502</v>
      </c>
      <c r="E14" s="219"/>
    </row>
    <row r="15" spans="1:5" ht="12" customHeight="1">
      <c r="A15" s="132"/>
      <c r="B15" s="136"/>
      <c r="C15" s="136"/>
      <c r="D15" s="131"/>
      <c r="E15" s="278"/>
    </row>
    <row r="16" spans="1:5" ht="12.75">
      <c r="A16" s="202" t="s">
        <v>181</v>
      </c>
      <c r="B16" s="150"/>
      <c r="C16" s="170"/>
      <c r="D16" s="131"/>
      <c r="E16" s="290"/>
    </row>
    <row r="17" spans="1:5" ht="12.75">
      <c r="A17" s="169" t="s">
        <v>200</v>
      </c>
      <c r="B17" s="150"/>
      <c r="C17" s="170"/>
      <c r="D17" s="131">
        <v>603</v>
      </c>
      <c r="E17" s="279"/>
    </row>
    <row r="18" spans="1:5" ht="12.75">
      <c r="A18" s="169" t="s">
        <v>201</v>
      </c>
      <c r="B18" s="150"/>
      <c r="C18" s="170"/>
      <c r="D18" s="131">
        <v>604</v>
      </c>
      <c r="E18" s="219"/>
    </row>
    <row r="19" spans="1:5" ht="12.75">
      <c r="A19" s="169" t="s">
        <v>202</v>
      </c>
      <c r="B19" s="150"/>
      <c r="C19" s="170"/>
      <c r="D19" s="131">
        <v>605</v>
      </c>
      <c r="E19" s="219"/>
    </row>
    <row r="20" spans="1:5" ht="13.5" thickBot="1">
      <c r="A20" s="154" t="s">
        <v>203</v>
      </c>
      <c r="B20" s="137"/>
      <c r="C20" s="137"/>
      <c r="D20" s="144">
        <v>606</v>
      </c>
      <c r="E20" s="219"/>
    </row>
    <row r="21" spans="1:5" ht="12.75">
      <c r="A21" s="138"/>
      <c r="B21" s="140"/>
      <c r="C21" s="140"/>
      <c r="D21" s="139"/>
      <c r="E21" s="140"/>
    </row>
    <row r="22" spans="1:5" ht="15.75" thickBot="1">
      <c r="A22" s="206" t="s">
        <v>182</v>
      </c>
      <c r="B22" s="123"/>
      <c r="C22" s="123"/>
      <c r="D22" s="122"/>
      <c r="E22" s="123"/>
    </row>
    <row r="23" spans="1:9" ht="19.5" customHeight="1">
      <c r="A23" s="141"/>
      <c r="B23" s="126"/>
      <c r="C23" s="126"/>
      <c r="D23" s="127"/>
      <c r="E23" s="209" t="s">
        <v>204</v>
      </c>
      <c r="F23" s="126"/>
      <c r="G23" s="126"/>
      <c r="H23" s="126"/>
      <c r="I23" s="207"/>
    </row>
    <row r="24" spans="1:9" ht="25.5">
      <c r="A24" s="129"/>
      <c r="B24" s="136"/>
      <c r="C24" s="136"/>
      <c r="D24" s="146"/>
      <c r="E24" s="208" t="s">
        <v>205</v>
      </c>
      <c r="F24" s="208" t="s">
        <v>206</v>
      </c>
      <c r="G24" s="208" t="s">
        <v>207</v>
      </c>
      <c r="H24" s="216" t="s">
        <v>208</v>
      </c>
      <c r="I24" s="210" t="s">
        <v>209</v>
      </c>
    </row>
    <row r="25" spans="1:9" ht="12.75">
      <c r="A25" s="129" t="s">
        <v>183</v>
      </c>
      <c r="B25" s="136"/>
      <c r="C25" s="136"/>
      <c r="D25" s="146"/>
      <c r="E25" s="211"/>
      <c r="F25" s="211"/>
      <c r="G25" s="211"/>
      <c r="H25" s="215"/>
      <c r="I25" s="212"/>
    </row>
    <row r="26" spans="1:9" ht="14.25" customHeight="1">
      <c r="A26" s="169" t="s">
        <v>184</v>
      </c>
      <c r="B26" s="150"/>
      <c r="C26" s="170"/>
      <c r="D26" s="155">
        <v>701</v>
      </c>
      <c r="E26" s="226"/>
      <c r="F26" s="226"/>
      <c r="G26" s="226"/>
      <c r="H26" s="227"/>
      <c r="I26" s="223"/>
    </row>
    <row r="27" spans="1:9" ht="14.25" customHeight="1">
      <c r="A27" s="169" t="s">
        <v>210</v>
      </c>
      <c r="B27" s="150"/>
      <c r="C27" s="170"/>
      <c r="D27" s="155">
        <v>702</v>
      </c>
      <c r="E27" s="226"/>
      <c r="F27" s="226"/>
      <c r="G27" s="226"/>
      <c r="H27" s="226"/>
      <c r="I27" s="223"/>
    </row>
    <row r="28" spans="1:9" ht="14.25" customHeight="1">
      <c r="A28" s="213" t="s">
        <v>185</v>
      </c>
      <c r="B28" s="136"/>
      <c r="C28" s="136"/>
      <c r="D28" s="155"/>
      <c r="E28" s="294"/>
      <c r="F28" s="294"/>
      <c r="G28" s="294"/>
      <c r="H28" s="294"/>
      <c r="I28" s="278"/>
    </row>
    <row r="29" spans="1:9" ht="14.25" customHeight="1">
      <c r="A29" s="169" t="s">
        <v>186</v>
      </c>
      <c r="B29" s="150"/>
      <c r="C29" s="170"/>
      <c r="D29" s="155">
        <v>703</v>
      </c>
      <c r="E29" s="295"/>
      <c r="F29" s="295"/>
      <c r="G29" s="295"/>
      <c r="H29" s="295"/>
      <c r="I29" s="279"/>
    </row>
    <row r="30" spans="1:9" ht="14.25" customHeight="1">
      <c r="A30" s="169" t="s">
        <v>211</v>
      </c>
      <c r="B30" s="150"/>
      <c r="C30" s="170"/>
      <c r="D30" s="155">
        <v>704</v>
      </c>
      <c r="E30" s="226"/>
      <c r="F30" s="226"/>
      <c r="G30" s="226"/>
      <c r="H30" s="219"/>
      <c r="I30" s="219"/>
    </row>
    <row r="31" spans="1:9" ht="14.25" customHeight="1">
      <c r="A31" s="213" t="s">
        <v>187</v>
      </c>
      <c r="B31" s="136"/>
      <c r="C31" s="136"/>
      <c r="D31" s="155"/>
      <c r="E31" s="294"/>
      <c r="F31" s="294"/>
      <c r="G31" s="294"/>
      <c r="H31" s="294"/>
      <c r="I31" s="278"/>
    </row>
    <row r="32" spans="1:9" ht="14.25" customHeight="1">
      <c r="A32" s="169" t="s">
        <v>188</v>
      </c>
      <c r="B32" s="150"/>
      <c r="C32" s="170"/>
      <c r="D32" s="155">
        <v>705</v>
      </c>
      <c r="E32" s="295"/>
      <c r="F32" s="295"/>
      <c r="G32" s="295"/>
      <c r="H32" s="295"/>
      <c r="I32" s="279"/>
    </row>
    <row r="33" spans="1:9" ht="14.25" customHeight="1" thickBot="1">
      <c r="A33" s="214" t="s">
        <v>212</v>
      </c>
      <c r="B33" s="137"/>
      <c r="C33" s="137"/>
      <c r="D33" s="156">
        <v>706</v>
      </c>
      <c r="E33" s="228"/>
      <c r="F33" s="228"/>
      <c r="G33" s="228"/>
      <c r="H33" s="229"/>
      <c r="I33" s="229"/>
    </row>
    <row r="34" spans="1:4" ht="12.75">
      <c r="A34" s="124"/>
      <c r="D34" s="120"/>
    </row>
    <row r="35" ht="12.75">
      <c r="D35" s="120"/>
    </row>
    <row r="36" ht="12.75">
      <c r="D36" s="120"/>
    </row>
    <row r="37" ht="12.75">
      <c r="D37" s="120"/>
    </row>
    <row r="38" ht="12.75">
      <c r="D38" s="120"/>
    </row>
    <row r="39" ht="12.75">
      <c r="D39" s="120"/>
    </row>
    <row r="40" ht="12.75">
      <c r="D40" s="120"/>
    </row>
    <row r="41" ht="12.75">
      <c r="D41" s="120"/>
    </row>
    <row r="42" ht="12.75">
      <c r="D42" s="120"/>
    </row>
    <row r="43" ht="12.75">
      <c r="D43" s="121"/>
    </row>
    <row r="44" ht="12.75">
      <c r="D44" s="121"/>
    </row>
    <row r="45" ht="12.75">
      <c r="D45" s="121"/>
    </row>
  </sheetData>
  <sheetProtection/>
  <protectedRanges>
    <protectedRange sqref="E42" name="Omr?de4_1_5"/>
    <protectedRange sqref="C26:C41 E21:E25" name="Omr?de4_10_1_3"/>
    <protectedRange sqref="E9:E10" name="Omr?de4_12_5_3"/>
    <protectedRange sqref="E12" name="Omr?de4_10_1_1"/>
    <protectedRange sqref="E5 E8" name="Omr?de4_10_1_1_1"/>
    <protectedRange sqref="E15" name="Omr?de4_10_1_3_1"/>
    <protectedRange sqref="E16:E17" name="Omr?de4_10_1_1_2"/>
    <protectedRange sqref="F31:I32 E28:E29 F28:I29 E31:E32" name="Omr?de4_10_1_1_3"/>
    <protectedRange sqref="E7" name="Omr?de4_10_1_1_4"/>
    <protectedRange sqref="E14" name="Omr?de4_10_1_1_5"/>
    <protectedRange sqref="E18:E20" name="Omr?de4_10_1_1_6"/>
    <protectedRange sqref="E26:I27" name="Omr?de4_10_1_1_7"/>
    <protectedRange sqref="E30:I30" name="Omr?de4_10_1_1_8"/>
    <protectedRange sqref="E33:I33" name="Omr?de4_10_1_1_9"/>
  </protectedRanges>
  <mergeCells count="14">
    <mergeCell ref="I28:I29"/>
    <mergeCell ref="E31:E32"/>
    <mergeCell ref="F31:F32"/>
    <mergeCell ref="G31:G32"/>
    <mergeCell ref="H31:H32"/>
    <mergeCell ref="I31:I32"/>
    <mergeCell ref="G28:G29"/>
    <mergeCell ref="H28:H29"/>
    <mergeCell ref="E5:E6"/>
    <mergeCell ref="A4:C4"/>
    <mergeCell ref="E12:E13"/>
    <mergeCell ref="E15:E17"/>
    <mergeCell ref="E28:E29"/>
    <mergeCell ref="F28:F2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3.8515625" style="0" bestFit="1" customWidth="1"/>
    <col min="5" max="5" width="64.00390625" style="0" customWidth="1"/>
  </cols>
  <sheetData>
    <row r="1" ht="12.75">
      <c r="A1" s="167"/>
    </row>
    <row r="2" spans="1:15" ht="12.75">
      <c r="A2" s="12" t="s">
        <v>245</v>
      </c>
      <c r="O2" t="s">
        <v>52</v>
      </c>
    </row>
    <row r="3" spans="1:15" ht="12.75">
      <c r="A3" s="163" t="s">
        <v>246</v>
      </c>
      <c r="O3" t="s">
        <v>52</v>
      </c>
    </row>
    <row r="4" spans="1:15" ht="12.75">
      <c r="A4" s="163" t="s">
        <v>247</v>
      </c>
      <c r="O4" t="s">
        <v>52</v>
      </c>
    </row>
    <row r="5" spans="1:15" ht="12.75">
      <c r="A5" s="163" t="s">
        <v>248</v>
      </c>
      <c r="O5" t="s">
        <v>52</v>
      </c>
    </row>
    <row r="6" ht="12.75">
      <c r="O6" t="s">
        <v>52</v>
      </c>
    </row>
    <row r="7" spans="1:15" ht="12.75">
      <c r="A7" s="168" t="s">
        <v>218</v>
      </c>
      <c r="O7" t="s">
        <v>52</v>
      </c>
    </row>
    <row r="8" ht="12.75">
      <c r="O8" t="s">
        <v>52</v>
      </c>
    </row>
    <row r="9" spans="1:15" ht="12.75">
      <c r="A9" s="163" t="s">
        <v>249</v>
      </c>
      <c r="O9" t="s">
        <v>52</v>
      </c>
    </row>
    <row r="10" spans="1:15" ht="12.75">
      <c r="A10" s="163" t="s">
        <v>250</v>
      </c>
      <c r="O10" t="s">
        <v>52</v>
      </c>
    </row>
    <row r="11" spans="1:15" ht="12.75">
      <c r="A11" s="163" t="s">
        <v>251</v>
      </c>
      <c r="O11" t="s">
        <v>52</v>
      </c>
    </row>
    <row r="12" spans="1:15" ht="12.75">
      <c r="A12" s="163"/>
      <c r="O12" t="s">
        <v>52</v>
      </c>
    </row>
    <row r="13" spans="1:15" ht="12.75">
      <c r="A13" s="164" t="s">
        <v>112</v>
      </c>
      <c r="O13" t="s">
        <v>52</v>
      </c>
    </row>
    <row r="14" spans="1:15" ht="12.75">
      <c r="A14" s="164" t="s">
        <v>217</v>
      </c>
      <c r="O14" t="s">
        <v>52</v>
      </c>
    </row>
    <row r="15" spans="1:15" ht="12.75">
      <c r="A15" s="163" t="s">
        <v>252</v>
      </c>
      <c r="O15" t="s">
        <v>52</v>
      </c>
    </row>
    <row r="16" ht="12.75">
      <c r="O16" t="s">
        <v>52</v>
      </c>
    </row>
    <row r="17" spans="1:15" ht="12.75">
      <c r="A17" s="164" t="s">
        <v>216</v>
      </c>
      <c r="O17" t="s">
        <v>52</v>
      </c>
    </row>
    <row r="18" spans="1:15" ht="12.75">
      <c r="A18" s="163" t="s">
        <v>253</v>
      </c>
      <c r="O18" t="s">
        <v>52</v>
      </c>
    </row>
    <row r="19" ht="12.75">
      <c r="O19" t="s">
        <v>52</v>
      </c>
    </row>
    <row r="20" spans="1:15" ht="12.75">
      <c r="A20" s="164" t="s">
        <v>215</v>
      </c>
      <c r="O20" t="s">
        <v>52</v>
      </c>
    </row>
    <row r="21" spans="1:15" ht="12.75">
      <c r="A21" s="163" t="s">
        <v>254</v>
      </c>
      <c r="O21" t="s">
        <v>52</v>
      </c>
    </row>
    <row r="22" ht="12.75">
      <c r="O22" t="s">
        <v>52</v>
      </c>
    </row>
    <row r="23" spans="1:15" ht="12.75">
      <c r="A23" s="164" t="s">
        <v>214</v>
      </c>
      <c r="O23" t="s">
        <v>52</v>
      </c>
    </row>
    <row r="24" spans="1:15" ht="12.75">
      <c r="A24" s="163" t="s">
        <v>255</v>
      </c>
      <c r="O24" t="s">
        <v>52</v>
      </c>
    </row>
    <row r="25" ht="12.75">
      <c r="O25" t="s">
        <v>52</v>
      </c>
    </row>
    <row r="26" spans="1:15" ht="12.75">
      <c r="A26" s="12" t="s">
        <v>33</v>
      </c>
      <c r="O26" t="s">
        <v>52</v>
      </c>
    </row>
    <row r="27" spans="1:15" ht="12.75">
      <c r="A27" s="164" t="s">
        <v>219</v>
      </c>
      <c r="O27" t="s">
        <v>52</v>
      </c>
    </row>
    <row r="28" spans="1:15" ht="12.75">
      <c r="A28" s="163" t="s">
        <v>256</v>
      </c>
      <c r="O28" t="s">
        <v>52</v>
      </c>
    </row>
    <row r="29" ht="12.75">
      <c r="O29" t="s">
        <v>52</v>
      </c>
    </row>
    <row r="30" spans="1:15" ht="12.75">
      <c r="A30" s="164" t="s">
        <v>220</v>
      </c>
      <c r="B30" s="164"/>
      <c r="O30" t="s">
        <v>52</v>
      </c>
    </row>
    <row r="31" spans="1:15" ht="12.75">
      <c r="A31" s="163" t="s">
        <v>257</v>
      </c>
      <c r="O31" t="s">
        <v>52</v>
      </c>
    </row>
    <row r="32" spans="1:15" ht="12.75">
      <c r="A32" s="163" t="s">
        <v>259</v>
      </c>
      <c r="O32" t="s">
        <v>52</v>
      </c>
    </row>
    <row r="33" ht="12.75">
      <c r="O33" t="s">
        <v>52</v>
      </c>
    </row>
    <row r="34" spans="1:15" ht="12.75">
      <c r="A34" s="164" t="s">
        <v>221</v>
      </c>
      <c r="O34" t="s">
        <v>52</v>
      </c>
    </row>
    <row r="35" spans="1:15" ht="12.75">
      <c r="A35" s="163" t="s">
        <v>260</v>
      </c>
      <c r="O35" t="s">
        <v>52</v>
      </c>
    </row>
    <row r="36" ht="12.75">
      <c r="O36" t="s">
        <v>52</v>
      </c>
    </row>
    <row r="37" spans="1:15" ht="12.75">
      <c r="A37" s="164" t="s">
        <v>222</v>
      </c>
      <c r="O37" t="s">
        <v>52</v>
      </c>
    </row>
    <row r="38" spans="1:15" ht="12.75">
      <c r="A38" s="163" t="s">
        <v>261</v>
      </c>
      <c r="O38" t="s">
        <v>52</v>
      </c>
    </row>
    <row r="39" ht="12.75">
      <c r="O39" t="s">
        <v>52</v>
      </c>
    </row>
    <row r="40" spans="1:15" ht="12.75">
      <c r="A40" s="164" t="s">
        <v>223</v>
      </c>
      <c r="O40" t="s">
        <v>52</v>
      </c>
    </row>
    <row r="41" spans="1:15" ht="12.75">
      <c r="A41" s="163" t="s">
        <v>262</v>
      </c>
      <c r="O41" t="s">
        <v>52</v>
      </c>
    </row>
    <row r="42" spans="1:15" ht="12.75">
      <c r="A42" s="163" t="s">
        <v>263</v>
      </c>
      <c r="O42" t="s">
        <v>52</v>
      </c>
    </row>
    <row r="43" ht="12.75">
      <c r="O43" t="s">
        <v>52</v>
      </c>
    </row>
    <row r="44" spans="1:15" ht="12.75">
      <c r="A44" s="12" t="s">
        <v>264</v>
      </c>
      <c r="O44" t="s">
        <v>52</v>
      </c>
    </row>
    <row r="45" spans="1:15" ht="12.75">
      <c r="A45" s="163" t="s">
        <v>273</v>
      </c>
      <c r="O45" t="s">
        <v>52</v>
      </c>
    </row>
    <row r="46" spans="1:15" ht="12.75">
      <c r="A46" s="163" t="s">
        <v>265</v>
      </c>
      <c r="O46" t="s">
        <v>52</v>
      </c>
    </row>
    <row r="47" ht="12.75">
      <c r="O47" t="s">
        <v>52</v>
      </c>
    </row>
    <row r="48" spans="1:15" ht="12.75">
      <c r="A48" s="163" t="s">
        <v>266</v>
      </c>
      <c r="O48" t="s">
        <v>52</v>
      </c>
    </row>
    <row r="49" ht="12.75">
      <c r="O49" t="s">
        <v>52</v>
      </c>
    </row>
    <row r="50" spans="1:15" ht="12.75">
      <c r="A50" s="165" t="s">
        <v>267</v>
      </c>
      <c r="O50" t="s">
        <v>52</v>
      </c>
    </row>
    <row r="51" spans="1:15" ht="12.75">
      <c r="A51" s="166" t="s">
        <v>268</v>
      </c>
      <c r="E51" s="165"/>
      <c r="O51" t="s">
        <v>52</v>
      </c>
    </row>
    <row r="52" spans="1:15" ht="12.75">
      <c r="A52" s="166" t="s">
        <v>269</v>
      </c>
      <c r="E52" s="165"/>
      <c r="O52" t="s">
        <v>52</v>
      </c>
    </row>
    <row r="53" spans="1:15" ht="12.75">
      <c r="A53" s="166" t="s">
        <v>270</v>
      </c>
      <c r="E53" s="165"/>
      <c r="O53" t="s">
        <v>52</v>
      </c>
    </row>
    <row r="54" spans="1:15" ht="12.75">
      <c r="A54" s="166" t="s">
        <v>269</v>
      </c>
      <c r="E54" s="165"/>
      <c r="O54" t="s">
        <v>52</v>
      </c>
    </row>
    <row r="55" ht="12.75">
      <c r="O55" t="s">
        <v>52</v>
      </c>
    </row>
    <row r="56" spans="1:15" ht="12.75">
      <c r="A56" s="163" t="s">
        <v>271</v>
      </c>
      <c r="O56" t="s">
        <v>52</v>
      </c>
    </row>
    <row r="57" spans="1:15" ht="12.75">
      <c r="A57" s="163" t="s">
        <v>272</v>
      </c>
      <c r="O57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A1:B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2" customWidth="1"/>
    <col min="2" max="2" width="83.7109375" style="62" customWidth="1"/>
    <col min="3" max="16384" width="9.140625" style="62" customWidth="1"/>
  </cols>
  <sheetData>
    <row r="1" spans="1:2" ht="12.75">
      <c r="A1" s="157"/>
      <c r="B1" s="158"/>
    </row>
    <row r="2" spans="1:2" ht="25.5">
      <c r="A2" s="157"/>
      <c r="B2" s="159" t="s">
        <v>735</v>
      </c>
    </row>
    <row r="3" spans="1:2" ht="38.25">
      <c r="A3" s="157"/>
      <c r="B3" s="160" t="s">
        <v>736</v>
      </c>
    </row>
    <row r="4" spans="1:2" ht="30.75" customHeight="1">
      <c r="A4" s="157"/>
      <c r="B4" s="160" t="s">
        <v>226</v>
      </c>
    </row>
    <row r="5" spans="1:2" ht="42" customHeight="1">
      <c r="A5" s="157"/>
      <c r="B5" s="160" t="s">
        <v>227</v>
      </c>
    </row>
    <row r="6" spans="1:2" ht="29.25" customHeight="1">
      <c r="A6" s="157"/>
      <c r="B6" s="160" t="s">
        <v>228</v>
      </c>
    </row>
    <row r="7" spans="1:2" ht="16.5" customHeight="1">
      <c r="A7" s="157"/>
      <c r="B7" s="160" t="s">
        <v>229</v>
      </c>
    </row>
    <row r="8" spans="1:2" ht="46.5" customHeight="1">
      <c r="A8" s="157"/>
      <c r="B8" s="160" t="s">
        <v>230</v>
      </c>
    </row>
    <row r="9" spans="1:2" ht="31.5" customHeight="1">
      <c r="A9" s="157"/>
      <c r="B9" s="160" t="s">
        <v>231</v>
      </c>
    </row>
    <row r="10" spans="1:2" ht="41.25" customHeight="1">
      <c r="A10" s="157"/>
      <c r="B10" s="160" t="s">
        <v>232</v>
      </c>
    </row>
    <row r="11" spans="1:2" ht="8.25" customHeight="1">
      <c r="A11" s="157"/>
      <c r="B11" s="160"/>
    </row>
    <row r="12" spans="1:2" ht="11.25" customHeight="1">
      <c r="A12" s="157"/>
      <c r="B12" s="161" t="s">
        <v>213</v>
      </c>
    </row>
    <row r="13" spans="1:2" ht="25.5">
      <c r="A13" s="157"/>
      <c r="B13" s="160" t="s">
        <v>233</v>
      </c>
    </row>
    <row r="14" spans="1:2" ht="44.25" customHeight="1">
      <c r="A14" s="157"/>
      <c r="B14" s="160" t="s">
        <v>225</v>
      </c>
    </row>
    <row r="15" spans="1:2" ht="16.5" customHeight="1">
      <c r="A15" s="157"/>
      <c r="B15" s="160" t="s">
        <v>234</v>
      </c>
    </row>
    <row r="16" spans="1:2" ht="25.5">
      <c r="A16" s="157"/>
      <c r="B16" s="162" t="s">
        <v>235</v>
      </c>
    </row>
    <row r="17" spans="1:2" ht="25.5">
      <c r="A17" s="157"/>
      <c r="B17" s="162" t="s">
        <v>236</v>
      </c>
    </row>
    <row r="18" spans="1:2" ht="38.25">
      <c r="A18" s="157"/>
      <c r="B18" s="162" t="s">
        <v>224</v>
      </c>
    </row>
    <row r="19" ht="11.25" customHeight="1">
      <c r="A19" s="157"/>
    </row>
    <row r="20" spans="1:2" ht="27" customHeight="1">
      <c r="A20" s="157"/>
      <c r="B20" s="160" t="s">
        <v>237</v>
      </c>
    </row>
    <row r="21" spans="1:2" ht="18" customHeight="1">
      <c r="A21" s="157"/>
      <c r="B21" s="160" t="s">
        <v>238</v>
      </c>
    </row>
    <row r="22" spans="1:2" ht="42.75" customHeight="1">
      <c r="A22" s="157"/>
      <c r="B22" s="160" t="s">
        <v>239</v>
      </c>
    </row>
    <row r="23" spans="1:2" ht="43.5" customHeight="1">
      <c r="A23" s="157"/>
      <c r="B23" s="160" t="s">
        <v>240</v>
      </c>
    </row>
    <row r="24" spans="1:2" ht="42" customHeight="1">
      <c r="A24" s="157"/>
      <c r="B24" s="160" t="s">
        <v>241</v>
      </c>
    </row>
    <row r="25" spans="1:2" ht="42.75" customHeight="1">
      <c r="A25" s="157"/>
      <c r="B25" s="160" t="s">
        <v>242</v>
      </c>
    </row>
    <row r="26" spans="1:2" ht="46.5" customHeight="1">
      <c r="A26" s="157"/>
      <c r="B26" s="160" t="s">
        <v>243</v>
      </c>
    </row>
    <row r="27" spans="1:2" ht="21" customHeight="1">
      <c r="A27" s="157"/>
      <c r="B27" s="160" t="s">
        <v>244</v>
      </c>
    </row>
    <row r="28" spans="1:2" ht="12.75">
      <c r="A28" s="157"/>
      <c r="B28" s="157"/>
    </row>
    <row r="29" spans="1:2" ht="12.75">
      <c r="A29" s="157"/>
      <c r="B29" s="157"/>
    </row>
    <row r="30" ht="12.75">
      <c r="A30" s="1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Johansson Håkan IT/UTV/KOM-Ö</cp:lastModifiedBy>
  <cp:lastPrinted>2012-05-28T11:17:43Z</cp:lastPrinted>
  <dcterms:created xsi:type="dcterms:W3CDTF">2002-09-22T10:06:41Z</dcterms:created>
  <dcterms:modified xsi:type="dcterms:W3CDTF">2023-04-28T06:34:27Z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false</vt:bool>
  </property>
  <property fmtid="{D5CDD505-2E9C-101B-9397-08002B2CF9AE}" pid="3" name="Version">
    <vt:i4>1</vt:i4>
  </property>
  <property fmtid="{D5CDD505-2E9C-101B-9397-08002B2CF9AE}" pid="4" name="idBlankettNamn">
    <vt:lpwstr>InvBol_År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