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updateLinks="never" codeName="ThisWorkbook"/>
  <mc:AlternateContent xmlns:mc="http://schemas.openxmlformats.org/markup-compatibility/2006">
    <mc:Choice Requires="x15">
      <x15ac:absPath xmlns:x15ac="http://schemas.microsoft.com/office/spreadsheetml/2010/11/ac" url="P:\Prod\NR\Offentlig Ekonomi\RS\RS2025\Rikstotal\Augusti\"/>
    </mc:Choice>
  </mc:AlternateContent>
  <xr:revisionPtr revIDLastSave="0" documentId="13_ncr:1_{742CB86A-F350-4639-94CF-86100CDDA866}" xr6:coauthVersionLast="47" xr6:coauthVersionMax="47" xr10:uidLastSave="{00000000-0000-0000-0000-000000000000}"/>
  <bookViews>
    <workbookView xWindow="19755" yWindow="3285" windowWidth="26775" windowHeight="12480" tabRatio="806" xr2:uid="{00000000-000D-0000-FFFF-FFFF00000000}"/>
  </bookViews>
  <sheets>
    <sheet name="Information" sheetId="2" r:id="rId1"/>
    <sheet name="RR" sheetId="17" r:id="rId2"/>
    <sheet name="BR" sheetId="4" r:id="rId3"/>
    <sheet name="Verks int o kostn" sheetId="19" r:id="rId4"/>
    <sheet name="Skatter, bidrag o fin poster" sheetId="20" r:id="rId5"/>
    <sheet name="Investeringar" sheetId="7" r:id="rId6"/>
    <sheet name="Drift" sheetId="8" r:id="rId7"/>
    <sheet name="Motpart" sheetId="9" r:id="rId8"/>
    <sheet name="Pedagogisk verksamhet" sheetId="10" r:id="rId9"/>
    <sheet name="Äldre o personer funktionsn" sheetId="11" r:id="rId10"/>
    <sheet name="IFO" sheetId="12" r:id="rId11"/>
  </sheets>
  <definedNames>
    <definedName name="_GoBack" localSheetId="4">'Skatter, bidrag o fin poster'!$C$9</definedName>
    <definedName name="_HSL1">#REF!</definedName>
    <definedName name="_HSL2">#REF!</definedName>
    <definedName name="Affärsverksamhet">Drift!$Z$91</definedName>
    <definedName name="Balanskravsutredningen">RR!$G$30</definedName>
    <definedName name="Barn_o_ungdomsvård">IFO!$P$22</definedName>
    <definedName name="Barnomsorg">Drift!$Z$44</definedName>
    <definedName name="Bidrag_o_transfer.">Motpart!$N$49</definedName>
    <definedName name="Block_1">Drift!$Z$11</definedName>
    <definedName name="Block_2">Drift!$Z$18</definedName>
    <definedName name="Block_3">Drift!$Z$31</definedName>
    <definedName name="Block_6">Drift!$Z$86</definedName>
    <definedName name="BR">BR!$A$94</definedName>
    <definedName name="Datum">"2015-10-16"</definedName>
    <definedName name="Datumföre">"2016-10-17"</definedName>
    <definedName name="Drift">Drift!$A$117</definedName>
    <definedName name="EKchef">Information!$B$16</definedName>
    <definedName name="Ekcheftel">Information!$C$16</definedName>
    <definedName name="Epost1RS">Information!$D$14</definedName>
    <definedName name="Epost2RS">Information!$D$15</definedName>
    <definedName name="Epostaldre">Information!$D$31</definedName>
    <definedName name="EpostAO">Information!$D$32</definedName>
    <definedName name="EpostEkchef">Information!$D$16</definedName>
    <definedName name="Epostforskola">Information!$D$22</definedName>
    <definedName name="Epostgrund">Information!$D$23</definedName>
    <definedName name="Epostgymn">Information!$D$24</definedName>
    <definedName name="Eposthandik">Information!$D$33</definedName>
    <definedName name="Epostifo">Information!$D$34</definedName>
    <definedName name="EpostPV">Information!$D$21</definedName>
    <definedName name="epostpvchef">Information!$D$26</definedName>
    <definedName name="epostvochef">Information!$D$35</definedName>
    <definedName name="Epostvux">Information!$D$25</definedName>
    <definedName name="Extraordinära_RR">RR!$G$17</definedName>
    <definedName name="Familjerätt">IFO!$P$33</definedName>
    <definedName name="Fritidshem">'Pedagogisk verksamhet'!$R$17</definedName>
    <definedName name="Funktionsnedsättning">'Äldre o personer funktionsn'!$T$23</definedName>
    <definedName name="Förskola">'Pedagogisk verksamhet'!$R$9</definedName>
    <definedName name="Förskoleklass">'Pedagogisk verksamhet'!$R$25</definedName>
    <definedName name="Förändring_anläggningstillgångar">Investeringar!$I$16</definedName>
    <definedName name="Grundskola">'Pedagogisk verksamhet'!$R$32</definedName>
    <definedName name="Grundsärskola">'Pedagogisk verksamhet'!$R$45</definedName>
    <definedName name="Grundvux">'Pedagogisk verksamhet'!$R$87</definedName>
    <definedName name="Gymnasieskola">'Pedagogisk verksamhet'!$R$59</definedName>
    <definedName name="Gymnasiesärskola">'Pedagogisk verksamhet'!$R$73</definedName>
    <definedName name="Gymnvux">'Pedagogisk verksamhet'!$R$96</definedName>
    <definedName name="inv19_64">1</definedName>
    <definedName name="inv7_15">Information!$B$5</definedName>
    <definedName name="invanare">Information!$B$4</definedName>
    <definedName name="Investeringar">Investeringar!$G$68</definedName>
    <definedName name="Invånare">Information!$B$4</definedName>
    <definedName name="Jämförelsestörande_RR">RR!$G$23</definedName>
    <definedName name="Kontaktpers1RS">Information!$B$14</definedName>
    <definedName name="Kontaktpers2RS">Information!$B$15</definedName>
    <definedName name="Kontaktpersaldre">Information!$B$32</definedName>
    <definedName name="KontaktpersAO">Information!$B$31</definedName>
    <definedName name="Kontaktpersforskola">Information!$B$22</definedName>
    <definedName name="Kontaktpersgrund">Information!$B$23</definedName>
    <definedName name="Kontaktpersgymn">Information!$B$24</definedName>
    <definedName name="Kontaktpershandik">Information!$B$33</definedName>
    <definedName name="Kontaktpersifo">Information!$B$34</definedName>
    <definedName name="KontaktpersPV">Information!$B$21</definedName>
    <definedName name="Kontaktpersvux">Information!$B$25</definedName>
    <definedName name="Kontakttel1RS">Information!$C$14</definedName>
    <definedName name="Kontakttel2RS">Information!$C$15</definedName>
    <definedName name="Kontakttelaldre">Information!$C$32</definedName>
    <definedName name="KontakttelAO">Information!$C$31</definedName>
    <definedName name="Kontakttelforskola">Information!$C$22</definedName>
    <definedName name="Kontakttelgrund">Information!$C$23</definedName>
    <definedName name="Kontakttelgymn">Information!$C$24</definedName>
    <definedName name="Kontakttelhandik">Information!$C$33</definedName>
    <definedName name="Kontakttelifo">Information!$C$34</definedName>
    <definedName name="Kontakttelpv">Information!$C$21</definedName>
    <definedName name="Kontakttelpvchef">Information!$C$26</definedName>
    <definedName name="Kontakttelvux">Information!$C$25</definedName>
    <definedName name="Kontakttevochef">Information!$C$35</definedName>
    <definedName name="Kontrollblad_1">#REF!</definedName>
    <definedName name="Kontrollblad_10">#REF!</definedName>
    <definedName name="Kontrollblad_11">#REF!</definedName>
    <definedName name="Kontrollblad_12">#REF!</definedName>
    <definedName name="Kontrollblad_13">#REF!</definedName>
    <definedName name="Kontrollblad_14">#REF!</definedName>
    <definedName name="Kontrollblad_15">#REF!</definedName>
    <definedName name="Kontrollblad_16">#REF!</definedName>
    <definedName name="Kontrollblad_17">#REF!</definedName>
    <definedName name="Kontrollblad_18">#REF!</definedName>
    <definedName name="Kontrollblad_19">#REF!</definedName>
    <definedName name="Kontrollblad_2">#REF!</definedName>
    <definedName name="Kontrollblad_3">#REF!</definedName>
    <definedName name="Kontrollblad_4">#REF!</definedName>
    <definedName name="Kontrollblad_5">#REF!</definedName>
    <definedName name="Kontrollblad_6">#REF!</definedName>
    <definedName name="Kontrollblad_7">#REF!</definedName>
    <definedName name="Kontrollblad_8">#REF!</definedName>
    <definedName name="Kontrollblad_9">#REF!</definedName>
    <definedName name="Köp_huvudvht">Motpart!$C$49</definedName>
    <definedName name="LSS">'Äldre o personer funktionsn'!$T$33</definedName>
    <definedName name="Pvchef">Information!$B$26</definedName>
    <definedName name="SFI">'Pedagogisk verksamhet'!$R$105</definedName>
    <definedName name="Skatter_bidrag_finpost">'Skatter, bidrag o fin poster'!$H$35</definedName>
    <definedName name="solver_cvg" localSheetId="5" hidden="1">0.0001</definedName>
    <definedName name="solver_drv" localSheetId="5" hidden="1">1</definedName>
    <definedName name="solver_est" localSheetId="5" hidden="1">1</definedName>
    <definedName name="solver_itr" localSheetId="5" hidden="1">100</definedName>
    <definedName name="solver_lin" localSheetId="5" hidden="1">2</definedName>
    <definedName name="solver_neg" localSheetId="5" hidden="1">2</definedName>
    <definedName name="solver_num" localSheetId="5" hidden="1">0</definedName>
    <definedName name="solver_nwt" localSheetId="5" hidden="1">1</definedName>
    <definedName name="solver_opt" localSheetId="5" hidden="1">Investeringar!$D$22</definedName>
    <definedName name="solver_pre" localSheetId="5" hidden="1">0.000001</definedName>
    <definedName name="solver_scl" localSheetId="5" hidden="1">2</definedName>
    <definedName name="solver_sho" localSheetId="5" hidden="1">2</definedName>
    <definedName name="solver_tim" localSheetId="5" hidden="1">100</definedName>
    <definedName name="solver_tol" localSheetId="5" hidden="1">0.05</definedName>
    <definedName name="solver_typ" localSheetId="5" hidden="1">1</definedName>
    <definedName name="solver_val" localSheetId="5" hidden="1">0</definedName>
    <definedName name="Spec_intäkter">Motpart!$Y$49</definedName>
    <definedName name="Spec_VoO">'Äldre o personer funktionsn'!$R$47</definedName>
    <definedName name="Tillägg_1_Invest">Investeringar!$G$81</definedName>
    <definedName name="Tillägg_2_Invest">Investeringar!$G$97</definedName>
    <definedName name="Utbildning">Drift!$Z$52</definedName>
    <definedName name="_xlnm.Print_Area" localSheetId="6">Drift!$A$1:$AH$126</definedName>
    <definedName name="_xlnm.Print_Area" localSheetId="0">Information!$A$1:$E$50</definedName>
    <definedName name="_xlnm.Print_Area" localSheetId="5">Investeringar!$A$1:$M$104</definedName>
    <definedName name="_xlnm.Print_Area" localSheetId="7">Motpart!$A$1:$AD$53</definedName>
    <definedName name="_xlnm.Print_Area" localSheetId="1">RR!$A$1:$K$57</definedName>
    <definedName name="_xlnm.Print_Area" localSheetId="9">'Äldre o personer funktionsn'!$A$1:$U$61</definedName>
    <definedName name="_xlnm.Print_Titles" localSheetId="6">Drift!$A:$B,Drift!$1:$10</definedName>
    <definedName name="_xlnm.Print_Titles" localSheetId="7">Motpart!$A:$B,Motpart!$1:$8</definedName>
    <definedName name="Vht_int">'Verks int o kostn'!$F$35</definedName>
    <definedName name="Vht_kostn">'Verks int o kostn'!$F$77</definedName>
    <definedName name="VOchef">Information!$B$35</definedName>
    <definedName name="Vuxna_missb.">IFO!$P$13</definedName>
    <definedName name="Z_27C9E95B_0E2B_454F_B637_1CECC9579A10_.wvu.Cols" localSheetId="6" hidden="1">Drift!$AG:$IV</definedName>
    <definedName name="Z_27C9E95B_0E2B_454F_B637_1CECC9579A10_.wvu.Cols" localSheetId="10" hidden="1">IFO!#REF!</definedName>
    <definedName name="Z_27C9E95B_0E2B_454F_B637_1CECC9579A10_.wvu.Cols" localSheetId="0" hidden="1">Information!$F:$IV</definedName>
    <definedName name="Z_27C9E95B_0E2B_454F_B637_1CECC9579A10_.wvu.Cols" localSheetId="5" hidden="1">Investeringar!$M:$IV</definedName>
    <definedName name="Z_27C9E95B_0E2B_454F_B637_1CECC9579A10_.wvu.Cols" localSheetId="7" hidden="1">Motpart!$AE:$IV</definedName>
    <definedName name="Z_27C9E95B_0E2B_454F_B637_1CECC9579A10_.wvu.Cols" localSheetId="8" hidden="1">'Pedagogisk verksamhet'!$H:$H,'Pedagogisk verksamhet'!$Y:$IV</definedName>
    <definedName name="Z_27C9E95B_0E2B_454F_B637_1CECC9579A10_.wvu.Cols" localSheetId="1" hidden="1">RR!$L:$IV</definedName>
    <definedName name="Z_27C9E95B_0E2B_454F_B637_1CECC9579A10_.wvu.Cols" localSheetId="4" hidden="1">'Skatter, bidrag o fin poster'!$U:$IV</definedName>
    <definedName name="Z_27C9E95B_0E2B_454F_B637_1CECC9579A10_.wvu.Cols" localSheetId="9" hidden="1">'Äldre o personer funktionsn'!$V:$IV</definedName>
    <definedName name="Z_27C9E95B_0E2B_454F_B637_1CECC9579A10_.wvu.Rows" localSheetId="2" hidden="1">BR!$100:$65542,BR!#REF!,BR!$95:$95</definedName>
    <definedName name="Z_27C9E95B_0E2B_454F_B637_1CECC9579A10_.wvu.Rows" localSheetId="6" hidden="1">Drift!$303:$65536,Drift!$127:$302</definedName>
    <definedName name="Z_27C9E95B_0E2B_454F_B637_1CECC9579A10_.wvu.Rows" localSheetId="10" hidden="1">IFO!$39:$65536,IFO!$38:$38</definedName>
    <definedName name="Z_27C9E95B_0E2B_454F_B637_1CECC9579A10_.wvu.Rows" localSheetId="0" hidden="1">Information!$51:$65536</definedName>
    <definedName name="Z_27C9E95B_0E2B_454F_B637_1CECC9579A10_.wvu.Rows" localSheetId="5" hidden="1">Investeringar!$118:$65536,Investeringar!$105:$114</definedName>
    <definedName name="Z_27C9E95B_0E2B_454F_B637_1CECC9579A10_.wvu.Rows" localSheetId="7" hidden="1">Motpart!$55:$65538</definedName>
    <definedName name="Z_27C9E95B_0E2B_454F_B637_1CECC9579A10_.wvu.Rows" localSheetId="8" hidden="1">'Pedagogisk verksamhet'!$105:$65536</definedName>
    <definedName name="Z_27C9E95B_0E2B_454F_B637_1CECC9579A10_.wvu.Rows" localSheetId="1" hidden="1">RR!$67:$65545,RR!$59:$59</definedName>
    <definedName name="Z_27C9E95B_0E2B_454F_B637_1CECC9579A10_.wvu.Rows" localSheetId="4" hidden="1">'Skatter, bidrag o fin poster'!$45:$65536,'Skatter, bidrag o fin poster'!$44:$44</definedName>
    <definedName name="Z_27C9E95B_0E2B_454F_B637_1CECC9579A10_.wvu.Rows" localSheetId="3" hidden="1">'Verks int o kostn'!#REF!,'Verks int o kostn'!#REF!</definedName>
    <definedName name="Z_27C9E95B_0E2B_454F_B637_1CECC9579A10_.wvu.Rows" localSheetId="9" hidden="1">'Äldre o personer funktionsn'!$63:$65538</definedName>
    <definedName name="Z_97D6DB71_3F4C_4C5F_8C5B_51E3EBF78932_.wvu.Cols" localSheetId="2" hidden="1">BR!#REF!</definedName>
    <definedName name="Z_97D6DB71_3F4C_4C5F_8C5B_51E3EBF78932_.wvu.Cols" localSheetId="6" hidden="1">Drift!#REF!</definedName>
    <definedName name="Z_97D6DB71_3F4C_4C5F_8C5B_51E3EBF78932_.wvu.Cols" localSheetId="10" hidden="1">IFO!#REF!</definedName>
    <definedName name="Z_97D6DB71_3F4C_4C5F_8C5B_51E3EBF78932_.wvu.Cols" localSheetId="0" hidden="1">Information!#REF!</definedName>
    <definedName name="Z_97D6DB71_3F4C_4C5F_8C5B_51E3EBF78932_.wvu.Cols" localSheetId="5" hidden="1">Investeringar!#REF!</definedName>
    <definedName name="Z_97D6DB71_3F4C_4C5F_8C5B_51E3EBF78932_.wvu.Cols" localSheetId="7" hidden="1">Motpart!#REF!</definedName>
    <definedName name="Z_97D6DB71_3F4C_4C5F_8C5B_51E3EBF78932_.wvu.Cols" localSheetId="1" hidden="1">RR!#REF!</definedName>
    <definedName name="Z_97D6DB71_3F4C_4C5F_8C5B_51E3EBF78932_.wvu.Cols" localSheetId="4" hidden="1">'Skatter, bidrag o fin poster'!#REF!</definedName>
    <definedName name="Z_97D6DB71_3F4C_4C5F_8C5B_51E3EBF78932_.wvu.Cols" localSheetId="3" hidden="1">'Verks int o kostn'!#REF!</definedName>
    <definedName name="Z_97D6DB71_3F4C_4C5F_8C5B_51E3EBF78932_.wvu.Cols" localSheetId="9" hidden="1">'Äldre o personer funktionsn'!#REF!</definedName>
    <definedName name="Z_97D6DB71_3F4C_4C5F_8C5B_51E3EBF78932_.wvu.PrintTitles" localSheetId="6" hidden="1">Drift!$A:$B,Drift!$1:$10</definedName>
    <definedName name="Z_97D6DB71_3F4C_4C5F_8C5B_51E3EBF78932_.wvu.Rows" localSheetId="2" hidden="1">BR!#REF!,BR!#REF!,BR!$95:$95</definedName>
    <definedName name="Z_97D6DB71_3F4C_4C5F_8C5B_51E3EBF78932_.wvu.Rows" localSheetId="6" hidden="1">Drift!#REF!,Drift!$127:$302</definedName>
    <definedName name="Z_97D6DB71_3F4C_4C5F_8C5B_51E3EBF78932_.wvu.Rows" localSheetId="10" hidden="1">IFO!#REF!,IFO!$38:$38</definedName>
    <definedName name="Z_97D6DB71_3F4C_4C5F_8C5B_51E3EBF78932_.wvu.Rows" localSheetId="0" hidden="1">Information!#REF!</definedName>
    <definedName name="Z_97D6DB71_3F4C_4C5F_8C5B_51E3EBF78932_.wvu.Rows" localSheetId="5" hidden="1">Investeringar!#REF!,Investeringar!$105:$114</definedName>
    <definedName name="Z_97D6DB71_3F4C_4C5F_8C5B_51E3EBF78932_.wvu.Rows" localSheetId="7" hidden="1">Motpart!#REF!</definedName>
    <definedName name="Z_97D6DB71_3F4C_4C5F_8C5B_51E3EBF78932_.wvu.Rows" localSheetId="8" hidden="1">'Pedagogisk verksamhet'!#REF!</definedName>
    <definedName name="Z_97D6DB71_3F4C_4C5F_8C5B_51E3EBF78932_.wvu.Rows" localSheetId="1" hidden="1">RR!#REF!,RR!$59:$59</definedName>
    <definedName name="Z_97D6DB71_3F4C_4C5F_8C5B_51E3EBF78932_.wvu.Rows" localSheetId="4" hidden="1">'Skatter, bidrag o fin poster'!#REF!,'Skatter, bidrag o fin poster'!$44:$44</definedName>
    <definedName name="Z_97D6DB71_3F4C_4C5F_8C5B_51E3EBF78932_.wvu.Rows" localSheetId="3" hidden="1">'Verks int o kostn'!#REF!</definedName>
    <definedName name="Z_97D6DB71_3F4C_4C5F_8C5B_51E3EBF78932_.wvu.Rows" localSheetId="9" hidden="1">'Äldre o personer funktionsn'!#REF!</definedName>
    <definedName name="Z_99FBDEB7_DD08_4F57_81F4_3C180403E153_.wvu.Cols" localSheetId="2" hidden="1">BR!#REF!</definedName>
    <definedName name="Z_99FBDEB7_DD08_4F57_81F4_3C180403E153_.wvu.Cols" localSheetId="6" hidden="1">Drift!#REF!</definedName>
    <definedName name="Z_99FBDEB7_DD08_4F57_81F4_3C180403E153_.wvu.Cols" localSheetId="10" hidden="1">IFO!#REF!</definedName>
    <definedName name="Z_99FBDEB7_DD08_4F57_81F4_3C180403E153_.wvu.Cols" localSheetId="0" hidden="1">Information!#REF!</definedName>
    <definedName name="Z_99FBDEB7_DD08_4F57_81F4_3C180403E153_.wvu.Cols" localSheetId="5" hidden="1">Investeringar!#REF!</definedName>
    <definedName name="Z_99FBDEB7_DD08_4F57_81F4_3C180403E153_.wvu.Cols" localSheetId="7" hidden="1">Motpart!#REF!</definedName>
    <definedName name="Z_99FBDEB7_DD08_4F57_81F4_3C180403E153_.wvu.Cols" localSheetId="1" hidden="1">RR!#REF!</definedName>
    <definedName name="Z_99FBDEB7_DD08_4F57_81F4_3C180403E153_.wvu.Cols" localSheetId="4" hidden="1">'Skatter, bidrag o fin poster'!#REF!</definedName>
    <definedName name="Z_99FBDEB7_DD08_4F57_81F4_3C180403E153_.wvu.Cols" localSheetId="3" hidden="1">'Verks int o kostn'!#REF!</definedName>
    <definedName name="Z_99FBDEB7_DD08_4F57_81F4_3C180403E153_.wvu.Cols" localSheetId="9" hidden="1">'Äldre o personer funktionsn'!#REF!</definedName>
    <definedName name="Z_99FBDEB7_DD08_4F57_81F4_3C180403E153_.wvu.Rows" localSheetId="2" hidden="1">BR!#REF!,BR!#REF!,BR!$95:$95</definedName>
    <definedName name="Z_99FBDEB7_DD08_4F57_81F4_3C180403E153_.wvu.Rows" localSheetId="6" hidden="1">Drift!#REF!,Drift!$127:$302</definedName>
    <definedName name="Z_99FBDEB7_DD08_4F57_81F4_3C180403E153_.wvu.Rows" localSheetId="10" hidden="1">IFO!#REF!,IFO!$38:$38</definedName>
    <definedName name="Z_99FBDEB7_DD08_4F57_81F4_3C180403E153_.wvu.Rows" localSheetId="0" hidden="1">Information!#REF!</definedName>
    <definedName name="Z_99FBDEB7_DD08_4F57_81F4_3C180403E153_.wvu.Rows" localSheetId="5" hidden="1">Investeringar!#REF!,Investeringar!$105:$114</definedName>
    <definedName name="Z_99FBDEB7_DD08_4F57_81F4_3C180403E153_.wvu.Rows" localSheetId="7" hidden="1">Motpart!#REF!</definedName>
    <definedName name="Z_99FBDEB7_DD08_4F57_81F4_3C180403E153_.wvu.Rows" localSheetId="8" hidden="1">'Pedagogisk verksamhet'!#REF!</definedName>
    <definedName name="Z_99FBDEB7_DD08_4F57_81F4_3C180403E153_.wvu.Rows" localSheetId="1" hidden="1">RR!#REF!,RR!$59:$59</definedName>
    <definedName name="Z_99FBDEB7_DD08_4F57_81F4_3C180403E153_.wvu.Rows" localSheetId="4" hidden="1">'Skatter, bidrag o fin poster'!#REF!,'Skatter, bidrag o fin poster'!$44:$44</definedName>
    <definedName name="Z_99FBDEB7_DD08_4F57_81F4_3C180403E153_.wvu.Rows" localSheetId="3" hidden="1">'Verks int o kostn'!#REF!</definedName>
    <definedName name="Z_99FBDEB7_DD08_4F57_81F4_3C180403E153_.wvu.Rows" localSheetId="9" hidden="1">'Äldre o personer funktionsn'!#REF!</definedName>
    <definedName name="Z_FA98FB86_76DB_4A0E_BD94_632DC6B7BC81_.wvu.Cols" localSheetId="6" hidden="1">Drift!$AG:$IV</definedName>
    <definedName name="Z_FA98FB86_76DB_4A0E_BD94_632DC6B7BC81_.wvu.Cols" localSheetId="10" hidden="1">IFO!#REF!</definedName>
    <definedName name="Z_FA98FB86_76DB_4A0E_BD94_632DC6B7BC81_.wvu.Cols" localSheetId="0" hidden="1">Information!$F:$IV</definedName>
    <definedName name="Z_FA98FB86_76DB_4A0E_BD94_632DC6B7BC81_.wvu.Cols" localSheetId="5" hidden="1">Investeringar!$M:$IV</definedName>
    <definedName name="Z_FA98FB86_76DB_4A0E_BD94_632DC6B7BC81_.wvu.Cols" localSheetId="7" hidden="1">Motpart!$AE:$IV</definedName>
    <definedName name="Z_FA98FB86_76DB_4A0E_BD94_632DC6B7BC81_.wvu.Cols" localSheetId="8" hidden="1">'Pedagogisk verksamhet'!$H:$H,'Pedagogisk verksamhet'!$Y:$IV</definedName>
    <definedName name="Z_FA98FB86_76DB_4A0E_BD94_632DC6B7BC81_.wvu.Cols" localSheetId="1" hidden="1">RR!$L:$IV</definedName>
    <definedName name="Z_FA98FB86_76DB_4A0E_BD94_632DC6B7BC81_.wvu.Cols" localSheetId="4" hidden="1">'Skatter, bidrag o fin poster'!$U:$IV</definedName>
    <definedName name="Z_FA98FB86_76DB_4A0E_BD94_632DC6B7BC81_.wvu.Cols" localSheetId="9" hidden="1">'Äldre o personer funktionsn'!$V:$IV</definedName>
    <definedName name="Z_FA98FB86_76DB_4A0E_BD94_632DC6B7BC81_.wvu.Rows" localSheetId="2" hidden="1">BR!$100:$65542,BR!#REF!,BR!$95:$95</definedName>
    <definedName name="Z_FA98FB86_76DB_4A0E_BD94_632DC6B7BC81_.wvu.Rows" localSheetId="6" hidden="1">Drift!$303:$65536,Drift!$127:$302</definedName>
    <definedName name="Z_FA98FB86_76DB_4A0E_BD94_632DC6B7BC81_.wvu.Rows" localSheetId="10" hidden="1">IFO!$39:$65536,IFO!$38:$38</definedName>
    <definedName name="Z_FA98FB86_76DB_4A0E_BD94_632DC6B7BC81_.wvu.Rows" localSheetId="0" hidden="1">Information!$51:$65536</definedName>
    <definedName name="Z_FA98FB86_76DB_4A0E_BD94_632DC6B7BC81_.wvu.Rows" localSheetId="5" hidden="1">Investeringar!$118:$65536,Investeringar!$105:$114</definedName>
    <definedName name="Z_FA98FB86_76DB_4A0E_BD94_632DC6B7BC81_.wvu.Rows" localSheetId="7" hidden="1">Motpart!$55:$65538</definedName>
    <definedName name="Z_FA98FB86_76DB_4A0E_BD94_632DC6B7BC81_.wvu.Rows" localSheetId="8" hidden="1">'Pedagogisk verksamhet'!$105:$65536</definedName>
    <definedName name="Z_FA98FB86_76DB_4A0E_BD94_632DC6B7BC81_.wvu.Rows" localSheetId="1" hidden="1">RR!$67:$65545,RR!$59:$59</definedName>
    <definedName name="Z_FA98FB86_76DB_4A0E_BD94_632DC6B7BC81_.wvu.Rows" localSheetId="4" hidden="1">'Skatter, bidrag o fin poster'!$45:$65536,'Skatter, bidrag o fin poster'!$44:$44</definedName>
    <definedName name="Z_FA98FB86_76DB_4A0E_BD94_632DC6B7BC81_.wvu.Rows" localSheetId="3" hidden="1">'Verks int o kostn'!#REF!</definedName>
    <definedName name="Z_FA98FB86_76DB_4A0E_BD94_632DC6B7BC81_.wvu.Rows" localSheetId="9" hidden="1">'Äldre o personer funktionsn'!$63:$65538</definedName>
    <definedName name="År">2025</definedName>
    <definedName name="ÄF_inkl_IFO">Drift!$Z$72</definedName>
    <definedName name="Äldre">'Äldre o personer funktionsn'!$T$12</definedName>
    <definedName name="Övr._o_ek.bistånd">IFO!$P$30</definedName>
  </definedNames>
  <calcPr calcId="191029"/>
  <customWorkbookViews>
    <customWorkbookView name="Håkan Wilén - Personlig vy" guid="{FA98FB86-76DB-4A0E-BD94-632DC6B7BC81}" mergeInterval="0" personalView="1" maximized="1" xWindow="1" yWindow="1" windowWidth="1680" windowHeight="829" tabRatio="806" activeSheetId="3"/>
    <customWorkbookView name="scbelie - Personlig vy" guid="{97D6DB71-3F4C-4C5F-8C5B-51E3EBF78932}" mergeInterval="0" personalView="1" maximized="1" xWindow="1" yWindow="1" windowWidth="1676" windowHeight="829" tabRatio="806" activeSheetId="11"/>
    <customWorkbookView name="scbingj - Personlig vy" guid="{99FBDEB7-DD08-4F57-81F4-3C180403E153}" mergeInterval="0" personalView="1" maximized="1" xWindow="1" yWindow="1" windowWidth="1916" windowHeight="839" tabRatio="806" activeSheetId="10"/>
    <customWorkbookView name="SCB - Personlig vy" guid="{27C9E95B-0E2B-454F-B637-1CECC9579A10}" mergeInterval="0" personalView="1" maximized="1" windowWidth="1916" windowHeight="881" tabRatio="806"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4" i="12" l="1"/>
  <c r="I33" i="12"/>
  <c r="I32" i="12"/>
  <c r="I31" i="12"/>
  <c r="I30" i="12"/>
  <c r="I29" i="12"/>
  <c r="I26" i="12"/>
  <c r="I25" i="12"/>
  <c r="I24" i="12"/>
  <c r="I23" i="12"/>
  <c r="I22" i="12"/>
  <c r="I21" i="12"/>
  <c r="I18" i="12"/>
  <c r="I17" i="12"/>
  <c r="I16" i="12"/>
  <c r="I15" i="12"/>
  <c r="I14" i="12"/>
  <c r="I13" i="12"/>
  <c r="I12" i="12"/>
  <c r="J1" i="12"/>
  <c r="A1" i="12"/>
  <c r="M36" i="11"/>
  <c r="M35" i="11"/>
  <c r="M34" i="11"/>
  <c r="M33" i="11"/>
  <c r="M32" i="11"/>
  <c r="M28" i="11"/>
  <c r="M27" i="11"/>
  <c r="M26" i="11"/>
  <c r="M25" i="11"/>
  <c r="M24" i="11"/>
  <c r="M23" i="11"/>
  <c r="M22" i="11"/>
  <c r="M18" i="11"/>
  <c r="M17" i="11"/>
  <c r="M16" i="11"/>
  <c r="M15" i="11"/>
  <c r="M14" i="11"/>
  <c r="M13" i="11"/>
  <c r="M12" i="11"/>
  <c r="P1" i="11"/>
  <c r="A1" i="11"/>
  <c r="N110" i="10"/>
  <c r="N109" i="10"/>
  <c r="N108" i="10"/>
  <c r="N107" i="10"/>
  <c r="N106" i="10"/>
  <c r="N105" i="10"/>
  <c r="N104" i="10"/>
  <c r="M99" i="10"/>
  <c r="M98" i="10"/>
  <c r="M97" i="10"/>
  <c r="M96" i="10"/>
  <c r="M91" i="10"/>
  <c r="M90" i="10"/>
  <c r="M9" i="10"/>
  <c r="M89" i="10"/>
  <c r="M88" i="10"/>
  <c r="M87" i="10"/>
  <c r="M84" i="10"/>
  <c r="M83" i="10"/>
  <c r="M82" i="10"/>
  <c r="M81" i="10"/>
  <c r="M8" i="10"/>
  <c r="M79" i="10"/>
  <c r="M78" i="10"/>
  <c r="M77" i="10"/>
  <c r="M76" i="10"/>
  <c r="M75" i="10"/>
  <c r="M74" i="10"/>
  <c r="M73" i="10"/>
  <c r="M70" i="10"/>
  <c r="M69" i="10"/>
  <c r="M68" i="10"/>
  <c r="M67" i="10"/>
  <c r="M65" i="10"/>
  <c r="M64" i="10"/>
  <c r="M63" i="10"/>
  <c r="M62" i="10"/>
  <c r="M61" i="10"/>
  <c r="M60" i="10"/>
  <c r="M59" i="10"/>
  <c r="M56" i="10"/>
  <c r="M55" i="10"/>
  <c r="M54" i="10"/>
  <c r="M53" i="10"/>
  <c r="M51" i="10"/>
  <c r="M50" i="10"/>
  <c r="M49" i="10"/>
  <c r="M48" i="10"/>
  <c r="M47" i="10"/>
  <c r="M46" i="10"/>
  <c r="M45" i="10"/>
  <c r="M42" i="10"/>
  <c r="M41" i="10"/>
  <c r="M40" i="10"/>
  <c r="M38" i="10"/>
  <c r="M37" i="10"/>
  <c r="M36" i="10"/>
  <c r="M35" i="10"/>
  <c r="M34" i="10"/>
  <c r="M33" i="10"/>
  <c r="M32" i="10"/>
  <c r="M30" i="10"/>
  <c r="M29" i="10"/>
  <c r="M28" i="10"/>
  <c r="M27" i="10"/>
  <c r="M25" i="10"/>
  <c r="M24" i="10"/>
  <c r="M22" i="10"/>
  <c r="M21" i="10"/>
  <c r="M20" i="10"/>
  <c r="M19" i="10"/>
  <c r="M17" i="10"/>
  <c r="M16" i="10"/>
  <c r="M14" i="10"/>
  <c r="M13" i="10"/>
  <c r="M12" i="10"/>
  <c r="M11" i="10"/>
  <c r="M109" i="10"/>
  <c r="M108" i="10"/>
  <c r="M107" i="10"/>
  <c r="M106" i="10"/>
  <c r="M105" i="10"/>
  <c r="M100" i="10"/>
  <c r="J1" i="10"/>
  <c r="A1" i="10"/>
  <c r="AA1" i="9"/>
  <c r="K1" i="9"/>
  <c r="S1" i="9"/>
  <c r="C1" i="9"/>
  <c r="Z1" i="8"/>
  <c r="J1" i="8"/>
  <c r="R1" i="8"/>
  <c r="C1" i="8"/>
  <c r="H1" i="7"/>
  <c r="A1" i="7"/>
  <c r="T1" i="20"/>
  <c r="A1" i="20"/>
  <c r="J1" i="19"/>
  <c r="M38" i="19"/>
  <c r="A1" i="19"/>
  <c r="F1" i="4"/>
  <c r="A1" i="4"/>
  <c r="C47" i="17"/>
  <c r="C44" i="17"/>
  <c r="G1" i="17"/>
  <c r="A1" i="17"/>
  <c r="D44" i="19"/>
  <c r="K50" i="4" l="1"/>
  <c r="K49" i="4"/>
  <c r="C53" i="19"/>
  <c r="A5" i="2"/>
  <c r="A4" i="2"/>
  <c r="J53" i="19" l="1"/>
  <c r="F50" i="4" l="1"/>
  <c r="F49" i="4"/>
  <c r="B39" i="17" l="1"/>
  <c r="F58" i="4"/>
  <c r="F31" i="4" l="1"/>
  <c r="D31" i="4"/>
  <c r="U44" i="9" l="1"/>
  <c r="B38" i="17" l="1"/>
  <c r="B37" i="17"/>
  <c r="B41" i="4" l="1"/>
  <c r="Y43" i="9"/>
  <c r="M77" i="4" l="1"/>
  <c r="J59" i="19"/>
  <c r="J52" i="19"/>
  <c r="E22" i="19"/>
  <c r="C53" i="11"/>
  <c r="C54" i="11"/>
  <c r="I108" i="10"/>
  <c r="F104" i="10"/>
  <c r="D104" i="10"/>
  <c r="N24" i="9" l="1"/>
  <c r="X24" i="9" s="1"/>
  <c r="C24" i="9"/>
  <c r="W62" i="8" l="1"/>
  <c r="AH62" i="8" l="1"/>
  <c r="L17" i="11"/>
  <c r="K17" i="11"/>
  <c r="O17" i="11" s="1"/>
  <c r="K16" i="11"/>
  <c r="O16" i="11" s="1"/>
  <c r="E111" i="10" l="1"/>
  <c r="E112" i="10" s="1"/>
  <c r="N27" i="9"/>
  <c r="X27" i="9" s="1"/>
  <c r="N26" i="9"/>
  <c r="X26" i="9" s="1"/>
  <c r="N25" i="9"/>
  <c r="C26" i="9"/>
  <c r="M26" i="9" s="1"/>
  <c r="N23" i="9"/>
  <c r="X23" i="9" s="1"/>
  <c r="C27" i="9"/>
  <c r="M27" i="9" s="1"/>
  <c r="M24" i="9"/>
  <c r="C23" i="9"/>
  <c r="O107" i="10" l="1"/>
  <c r="G111" i="10"/>
  <c r="G112" i="10" s="1"/>
  <c r="O109" i="10" l="1"/>
  <c r="O106" i="10"/>
  <c r="O108" i="10"/>
  <c r="M104" i="10"/>
  <c r="M110" i="10" s="1"/>
  <c r="O105" i="10"/>
  <c r="W48" i="8"/>
  <c r="AH48" i="8" s="1"/>
  <c r="E19" i="19"/>
  <c r="O104" i="10" l="1"/>
  <c r="J57" i="4"/>
  <c r="F62" i="4"/>
  <c r="I11" i="10"/>
  <c r="I19" i="10"/>
  <c r="I27" i="10"/>
  <c r="B6" i="9"/>
  <c r="B6" i="8"/>
  <c r="I19" i="20"/>
  <c r="I5" i="20"/>
  <c r="B32" i="20"/>
  <c r="B18" i="20"/>
  <c r="B5" i="20"/>
  <c r="B38" i="19"/>
  <c r="B5" i="19"/>
  <c r="H12" i="4"/>
  <c r="B4" i="4"/>
  <c r="D81" i="4"/>
  <c r="M81" i="4"/>
  <c r="B35" i="17"/>
  <c r="B34" i="17"/>
  <c r="L74" i="4" l="1"/>
  <c r="N38" i="19"/>
  <c r="M39" i="19"/>
  <c r="N39" i="19"/>
  <c r="C46" i="19"/>
  <c r="L14" i="11" l="1"/>
  <c r="L15" i="11"/>
  <c r="K15" i="11"/>
  <c r="O15" i="11" s="1"/>
  <c r="K14" i="11"/>
  <c r="K25" i="11"/>
  <c r="F86" i="4" l="1"/>
  <c r="F83" i="4"/>
  <c r="F84" i="4"/>
  <c r="F85" i="4"/>
  <c r="F82" i="4"/>
  <c r="D38" i="11"/>
  <c r="E38" i="11"/>
  <c r="F38" i="11"/>
  <c r="G38" i="11"/>
  <c r="H38" i="11"/>
  <c r="I38" i="11"/>
  <c r="J38" i="11"/>
  <c r="C38" i="11"/>
  <c r="D30" i="11"/>
  <c r="E30" i="11"/>
  <c r="F30" i="11"/>
  <c r="G30" i="11"/>
  <c r="H30" i="11"/>
  <c r="I30" i="11"/>
  <c r="J30" i="11"/>
  <c r="C30" i="11"/>
  <c r="O14" i="11" l="1"/>
  <c r="AC43" i="9" l="1"/>
  <c r="F74" i="4"/>
  <c r="F71" i="4"/>
  <c r="F70" i="4"/>
  <c r="F69" i="4"/>
  <c r="J71" i="4" l="1"/>
  <c r="F67" i="4" l="1"/>
  <c r="L37" i="19" l="1"/>
  <c r="D31" i="19" l="1"/>
  <c r="L67" i="4"/>
  <c r="N36" i="9"/>
  <c r="N34" i="9"/>
  <c r="C36" i="9"/>
  <c r="C34" i="9"/>
  <c r="R37" i="11" l="1"/>
  <c r="R24" i="11"/>
  <c r="R14" i="11"/>
  <c r="E41" i="20" l="1"/>
  <c r="J7" i="7" l="1"/>
  <c r="L66" i="4"/>
  <c r="L65" i="4"/>
  <c r="E22" i="12" l="1"/>
  <c r="E13" i="12"/>
  <c r="J17" i="17" l="1"/>
  <c r="J32" i="19" l="1"/>
  <c r="J30" i="19"/>
  <c r="J25" i="19"/>
  <c r="N55" i="4" l="1"/>
  <c r="M54" i="4"/>
  <c r="M53" i="4"/>
  <c r="F53" i="4"/>
  <c r="F51" i="4"/>
  <c r="E63" i="4" l="1"/>
  <c r="D63" i="4"/>
  <c r="M78" i="4" s="1"/>
  <c r="D55" i="4"/>
  <c r="F55" i="4" s="1"/>
  <c r="M55" i="4" l="1"/>
  <c r="E34" i="19" l="1"/>
  <c r="F21" i="4"/>
  <c r="L75" i="4" l="1"/>
  <c r="J29" i="19" l="1"/>
  <c r="P125" i="8" l="1"/>
  <c r="D54" i="19" l="1"/>
  <c r="G43" i="11" l="1"/>
  <c r="G42" i="11"/>
  <c r="AB43" i="9"/>
  <c r="AA43" i="9"/>
  <c r="Z43" i="9"/>
  <c r="I17" i="17" l="1"/>
  <c r="R15" i="20" l="1"/>
  <c r="R16" i="20"/>
  <c r="D39" i="20" l="1"/>
  <c r="K30" i="20"/>
  <c r="D28" i="20"/>
  <c r="K16" i="20"/>
  <c r="D14" i="20"/>
  <c r="C11" i="17" s="1"/>
  <c r="C11" i="20"/>
  <c r="C10" i="20"/>
  <c r="C9" i="20"/>
  <c r="R8" i="20"/>
  <c r="C12" i="17" l="1"/>
  <c r="K31" i="20"/>
  <c r="K17" i="20"/>
  <c r="E12" i="10" l="1"/>
  <c r="C26" i="10"/>
  <c r="C18" i="10"/>
  <c r="C10" i="10"/>
  <c r="J8" i="7" l="1"/>
  <c r="J10" i="7"/>
  <c r="J9" i="7"/>
  <c r="D76" i="19" l="1"/>
  <c r="D72" i="19"/>
  <c r="N68" i="19"/>
  <c r="N61" i="19"/>
  <c r="D59" i="19"/>
  <c r="J55" i="19"/>
  <c r="N50" i="19"/>
  <c r="N49" i="19"/>
  <c r="E49" i="19"/>
  <c r="N45" i="19"/>
  <c r="D36" i="19"/>
  <c r="D37" i="19" s="1"/>
  <c r="D26" i="19"/>
  <c r="N22" i="19"/>
  <c r="D16" i="19"/>
  <c r="N16" i="19" s="1"/>
  <c r="N13" i="19"/>
  <c r="D12" i="19"/>
  <c r="N8" i="19"/>
  <c r="N6" i="19"/>
  <c r="M6" i="19"/>
  <c r="L4" i="19"/>
  <c r="D75" i="19" l="1"/>
  <c r="E26" i="19"/>
  <c r="N44" i="19"/>
  <c r="N12" i="19"/>
  <c r="N26" i="19"/>
  <c r="N59" i="19"/>
  <c r="N72" i="19"/>
  <c r="N31" i="19"/>
  <c r="D35" i="19"/>
  <c r="W122" i="8" l="1"/>
  <c r="I56" i="17" l="1"/>
  <c r="J52" i="17"/>
  <c r="I52" i="17"/>
  <c r="B40" i="17"/>
  <c r="B36" i="17"/>
  <c r="B33" i="17"/>
  <c r="B32" i="17"/>
  <c r="B31" i="17"/>
  <c r="J14" i="17"/>
  <c r="I14" i="17"/>
  <c r="D10" i="17"/>
  <c r="C10" i="17"/>
  <c r="J9" i="17"/>
  <c r="I9" i="17"/>
  <c r="J8" i="17"/>
  <c r="I8" i="17"/>
  <c r="J7" i="17"/>
  <c r="I7" i="17"/>
  <c r="D11" i="17" l="1"/>
  <c r="J11" i="17" s="1"/>
  <c r="I10" i="17"/>
  <c r="I11" i="17"/>
  <c r="J10" i="17"/>
  <c r="Q37" i="11" l="1"/>
  <c r="I38" i="10" l="1"/>
  <c r="I99" i="10" l="1"/>
  <c r="I90" i="10"/>
  <c r="I79" i="10"/>
  <c r="I65" i="10"/>
  <c r="I51" i="10"/>
  <c r="K88" i="4" l="1"/>
  <c r="D32" i="12" l="1"/>
  <c r="D30" i="12"/>
  <c r="D29" i="12"/>
  <c r="D21" i="12"/>
  <c r="D12" i="12"/>
  <c r="D32" i="11"/>
  <c r="D22" i="11"/>
  <c r="D12" i="11"/>
  <c r="L64" i="4"/>
  <c r="F60" i="4"/>
  <c r="N63" i="4"/>
  <c r="K61" i="4"/>
  <c r="F61" i="4"/>
  <c r="J61" i="4"/>
  <c r="F57" i="4"/>
  <c r="F9" i="4"/>
  <c r="D35" i="12"/>
  <c r="E35" i="12"/>
  <c r="D26" i="12"/>
  <c r="E26" i="12"/>
  <c r="D27" i="12"/>
  <c r="E27" i="12"/>
  <c r="D19" i="12"/>
  <c r="E19" i="12"/>
  <c r="D18" i="12"/>
  <c r="E18" i="12"/>
  <c r="E32" i="12"/>
  <c r="E30" i="12"/>
  <c r="E29" i="12"/>
  <c r="E21" i="12"/>
  <c r="E12" i="12"/>
  <c r="L26" i="11"/>
  <c r="L27" i="11"/>
  <c r="K26" i="11"/>
  <c r="O26" i="11" s="1"/>
  <c r="K27" i="11"/>
  <c r="O27" i="11" s="1"/>
  <c r="L34" i="11"/>
  <c r="L35" i="11"/>
  <c r="L36" i="11"/>
  <c r="L37" i="11"/>
  <c r="L33" i="11"/>
  <c r="L24" i="11"/>
  <c r="L25" i="11"/>
  <c r="L28" i="11"/>
  <c r="L29" i="11"/>
  <c r="L16" i="11"/>
  <c r="L18" i="11"/>
  <c r="L19" i="11"/>
  <c r="L13" i="11"/>
  <c r="L23" i="11"/>
  <c r="D20" i="11"/>
  <c r="H15" i="7"/>
  <c r="G15" i="7"/>
  <c r="D98" i="7"/>
  <c r="C98" i="7"/>
  <c r="E98" i="7" s="1"/>
  <c r="E33" i="4"/>
  <c r="N33" i="4" s="1"/>
  <c r="D26" i="4"/>
  <c r="M84" i="4"/>
  <c r="M82" i="4"/>
  <c r="AB110" i="8"/>
  <c r="J8" i="12"/>
  <c r="I8" i="12"/>
  <c r="K4" i="12"/>
  <c r="O4" i="11"/>
  <c r="N8" i="11"/>
  <c r="M8" i="11"/>
  <c r="AC4" i="8"/>
  <c r="AG38" i="8"/>
  <c r="AF38" i="8"/>
  <c r="AE5" i="8"/>
  <c r="AB5" i="8"/>
  <c r="AA5" i="8"/>
  <c r="AE4" i="8"/>
  <c r="Z5" i="8"/>
  <c r="O81" i="10"/>
  <c r="I32" i="11"/>
  <c r="I22" i="11"/>
  <c r="M6" i="12"/>
  <c r="F12" i="12"/>
  <c r="G12" i="12"/>
  <c r="G13" i="12"/>
  <c r="H13" i="12" s="1"/>
  <c r="K13" i="12" s="1"/>
  <c r="H14" i="12"/>
  <c r="K14" i="12" s="1"/>
  <c r="H15" i="12"/>
  <c r="K15" i="12" s="1"/>
  <c r="H16" i="12"/>
  <c r="K16" i="12" s="1"/>
  <c r="H17" i="12"/>
  <c r="K17" i="12" s="1"/>
  <c r="C18" i="12"/>
  <c r="F18" i="12"/>
  <c r="G18" i="12"/>
  <c r="C19" i="12"/>
  <c r="F19" i="12"/>
  <c r="F21" i="12"/>
  <c r="G21" i="12"/>
  <c r="G22" i="12"/>
  <c r="H22" i="12" s="1"/>
  <c r="K22" i="12" s="1"/>
  <c r="H23" i="12"/>
  <c r="K23" i="12" s="1"/>
  <c r="H24" i="12"/>
  <c r="K24" i="12" s="1"/>
  <c r="H25" i="12"/>
  <c r="K25" i="12" s="1"/>
  <c r="C26" i="12"/>
  <c r="F26" i="12"/>
  <c r="G26" i="12"/>
  <c r="C27" i="12"/>
  <c r="F27" i="12"/>
  <c r="F29" i="12"/>
  <c r="F30" i="12"/>
  <c r="F32" i="12"/>
  <c r="G32" i="12"/>
  <c r="H33" i="12"/>
  <c r="K33" i="12" s="1"/>
  <c r="H34" i="12"/>
  <c r="K34" i="12" s="1"/>
  <c r="C35" i="12"/>
  <c r="F35" i="12"/>
  <c r="G35" i="12"/>
  <c r="Q6" i="11"/>
  <c r="E12" i="11"/>
  <c r="C50" i="11" s="1"/>
  <c r="F12" i="11"/>
  <c r="G12" i="11"/>
  <c r="H12" i="11"/>
  <c r="I12" i="11"/>
  <c r="J12" i="11"/>
  <c r="K13" i="11"/>
  <c r="O13" i="11" s="1"/>
  <c r="K18" i="11"/>
  <c r="K19" i="11"/>
  <c r="C20" i="11"/>
  <c r="E20" i="11"/>
  <c r="F20" i="11"/>
  <c r="G20" i="11"/>
  <c r="H20" i="11"/>
  <c r="I20" i="11"/>
  <c r="J20" i="11"/>
  <c r="E22" i="11"/>
  <c r="F22" i="11"/>
  <c r="H22" i="11"/>
  <c r="J22" i="11"/>
  <c r="K23" i="11"/>
  <c r="K24" i="11"/>
  <c r="K28" i="11"/>
  <c r="K29" i="11"/>
  <c r="E32" i="11"/>
  <c r="F32" i="11"/>
  <c r="G32" i="11"/>
  <c r="H32" i="11"/>
  <c r="J32" i="11"/>
  <c r="K33" i="11"/>
  <c r="K34" i="11"/>
  <c r="O34" i="11"/>
  <c r="K35" i="11"/>
  <c r="K36" i="11"/>
  <c r="O36" i="11" s="1"/>
  <c r="K37" i="11"/>
  <c r="E50" i="11"/>
  <c r="F50" i="11"/>
  <c r="G50" i="11"/>
  <c r="H50" i="11"/>
  <c r="I50" i="11"/>
  <c r="J50" i="11"/>
  <c r="L50" i="11"/>
  <c r="M50" i="11"/>
  <c r="C51" i="11"/>
  <c r="C52" i="11"/>
  <c r="E55" i="11"/>
  <c r="F55" i="11"/>
  <c r="G55" i="11"/>
  <c r="H55" i="11"/>
  <c r="I55" i="11"/>
  <c r="J55" i="11"/>
  <c r="L55" i="11"/>
  <c r="M55" i="11"/>
  <c r="C56" i="11"/>
  <c r="C57" i="11"/>
  <c r="C58" i="11"/>
  <c r="E59" i="11"/>
  <c r="F59" i="11"/>
  <c r="G59" i="11"/>
  <c r="H59" i="11"/>
  <c r="I59" i="11"/>
  <c r="J59" i="11"/>
  <c r="L59" i="11"/>
  <c r="M59" i="11"/>
  <c r="C60" i="11"/>
  <c r="M7" i="10"/>
  <c r="N7" i="10"/>
  <c r="O7" i="10"/>
  <c r="D8" i="10"/>
  <c r="F8" i="10"/>
  <c r="G8" i="10"/>
  <c r="D16" i="10"/>
  <c r="F16" i="10"/>
  <c r="G16" i="10"/>
  <c r="E20" i="10"/>
  <c r="D24" i="10"/>
  <c r="F24" i="10"/>
  <c r="G24" i="10"/>
  <c r="D31" i="10"/>
  <c r="F31" i="10"/>
  <c r="G31" i="10"/>
  <c r="G40" i="10" s="1"/>
  <c r="G43" i="10" s="1"/>
  <c r="D44" i="10"/>
  <c r="F44" i="10"/>
  <c r="G44" i="10"/>
  <c r="G53" i="10" s="1"/>
  <c r="G57" i="10" s="1"/>
  <c r="D58" i="10"/>
  <c r="F58" i="10"/>
  <c r="G58" i="10"/>
  <c r="G67" i="10" s="1"/>
  <c r="G71" i="10" s="1"/>
  <c r="D72" i="10"/>
  <c r="F72" i="10"/>
  <c r="G72" i="10"/>
  <c r="G81" i="10" s="1"/>
  <c r="G85" i="10" s="1"/>
  <c r="O75" i="10"/>
  <c r="O84" i="10"/>
  <c r="O85" i="10"/>
  <c r="D86" i="10"/>
  <c r="F86" i="10"/>
  <c r="G86" i="10"/>
  <c r="G93" i="10" s="1"/>
  <c r="G94" i="10" s="1"/>
  <c r="O92" i="10"/>
  <c r="O93" i="10"/>
  <c r="O94" i="10"/>
  <c r="D95" i="10"/>
  <c r="F95" i="10"/>
  <c r="G95" i="10"/>
  <c r="G102" i="10" s="1"/>
  <c r="G103" i="10" s="1"/>
  <c r="C13" i="9"/>
  <c r="M13" i="9" s="1"/>
  <c r="N13" i="9"/>
  <c r="X13" i="9" s="1"/>
  <c r="C14" i="9"/>
  <c r="M14" i="9" s="1"/>
  <c r="N14" i="9"/>
  <c r="X14" i="9" s="1"/>
  <c r="C15" i="9"/>
  <c r="M15" i="9" s="1"/>
  <c r="N15" i="9"/>
  <c r="X15" i="9" s="1"/>
  <c r="C16" i="9"/>
  <c r="M16" i="9" s="1"/>
  <c r="N16" i="9"/>
  <c r="X16" i="9" s="1"/>
  <c r="C17" i="9"/>
  <c r="M17" i="9" s="1"/>
  <c r="N17" i="9"/>
  <c r="X17" i="9" s="1"/>
  <c r="C18" i="9"/>
  <c r="M18" i="9" s="1"/>
  <c r="N18" i="9"/>
  <c r="X18" i="9" s="1"/>
  <c r="C19" i="9"/>
  <c r="M19" i="9" s="1"/>
  <c r="N19" i="9"/>
  <c r="X19" i="9" s="1"/>
  <c r="C20" i="9"/>
  <c r="M20" i="9" s="1"/>
  <c r="N20" i="9"/>
  <c r="X20" i="9" s="1"/>
  <c r="C21" i="9"/>
  <c r="M21" i="9" s="1"/>
  <c r="N21" i="9"/>
  <c r="X21" i="9" s="1"/>
  <c r="C22" i="9"/>
  <c r="M22" i="9" s="1"/>
  <c r="N22" i="9"/>
  <c r="X22" i="9" s="1"/>
  <c r="M23" i="9"/>
  <c r="C25" i="9"/>
  <c r="M25" i="9" s="1"/>
  <c r="X25" i="9"/>
  <c r="C28" i="9"/>
  <c r="M28" i="9" s="1"/>
  <c r="N28" i="9"/>
  <c r="X28" i="9" s="1"/>
  <c r="C29" i="9"/>
  <c r="M29" i="9" s="1"/>
  <c r="N29" i="9"/>
  <c r="X29" i="9" s="1"/>
  <c r="C30" i="9"/>
  <c r="M30" i="9" s="1"/>
  <c r="N30" i="9"/>
  <c r="X30" i="9" s="1"/>
  <c r="C31" i="9"/>
  <c r="M31" i="9" s="1"/>
  <c r="N31" i="9"/>
  <c r="X31" i="9" s="1"/>
  <c r="C32" i="9"/>
  <c r="M32" i="9" s="1"/>
  <c r="N32" i="9"/>
  <c r="X32" i="9" s="1"/>
  <c r="C33" i="9"/>
  <c r="M33" i="9" s="1"/>
  <c r="N33" i="9"/>
  <c r="M34" i="9"/>
  <c r="X34" i="9"/>
  <c r="C35" i="9"/>
  <c r="N35" i="9"/>
  <c r="X35" i="9" s="1"/>
  <c r="M36" i="9"/>
  <c r="X36" i="9"/>
  <c r="C37" i="9"/>
  <c r="M37" i="9" s="1"/>
  <c r="N37" i="9"/>
  <c r="C38" i="9"/>
  <c r="M38" i="9" s="1"/>
  <c r="N38" i="9"/>
  <c r="X38" i="9" s="1"/>
  <c r="C39" i="9"/>
  <c r="M39" i="9" s="1"/>
  <c r="N39" i="9"/>
  <c r="X39" i="9" s="1"/>
  <c r="C41" i="9"/>
  <c r="M41" i="9" s="1"/>
  <c r="N41" i="9"/>
  <c r="X41" i="9" s="1"/>
  <c r="D42" i="9"/>
  <c r="E42" i="9"/>
  <c r="F42" i="9"/>
  <c r="G42" i="9"/>
  <c r="H42" i="9"/>
  <c r="I42" i="9"/>
  <c r="J42" i="9"/>
  <c r="K42" i="9"/>
  <c r="L42" i="9"/>
  <c r="O42" i="9"/>
  <c r="P42" i="9"/>
  <c r="Q42" i="9"/>
  <c r="R42" i="9"/>
  <c r="S42" i="9"/>
  <c r="T42" i="9"/>
  <c r="U42" i="9"/>
  <c r="V42" i="9"/>
  <c r="W42" i="9"/>
  <c r="Y42" i="9"/>
  <c r="Z42" i="9"/>
  <c r="AA42" i="9"/>
  <c r="AB42" i="9"/>
  <c r="AC42" i="9"/>
  <c r="AC44" i="9" s="1"/>
  <c r="W13" i="8"/>
  <c r="AH13" i="8" s="1"/>
  <c r="W14" i="8"/>
  <c r="AH14" i="8" s="1"/>
  <c r="W15" i="8"/>
  <c r="AH15" i="8" s="1"/>
  <c r="W16" i="8"/>
  <c r="AH16" i="8" s="1"/>
  <c r="C17" i="8"/>
  <c r="D17" i="8"/>
  <c r="E17" i="8"/>
  <c r="F17" i="8"/>
  <c r="C9" i="9" s="1"/>
  <c r="M9" i="9" s="1"/>
  <c r="G17" i="8"/>
  <c r="H17" i="8"/>
  <c r="N9" i="9" s="1"/>
  <c r="X9" i="9" s="1"/>
  <c r="I17" i="8"/>
  <c r="J17" i="8"/>
  <c r="L17" i="8"/>
  <c r="M17" i="8"/>
  <c r="N17" i="8"/>
  <c r="R17" i="8"/>
  <c r="S17" i="8"/>
  <c r="T17" i="8"/>
  <c r="V17" i="8"/>
  <c r="W19" i="8"/>
  <c r="AH19" i="8" s="1"/>
  <c r="W20" i="8"/>
  <c r="AH20" i="8" s="1"/>
  <c r="W21" i="8"/>
  <c r="AH21" i="8" s="1"/>
  <c r="W22" i="8"/>
  <c r="AH22" i="8" s="1"/>
  <c r="W23" i="8"/>
  <c r="AH23" i="8" s="1"/>
  <c r="W24" i="8"/>
  <c r="AH24" i="8" s="1"/>
  <c r="W25" i="8"/>
  <c r="AH25" i="8" s="1"/>
  <c r="W26" i="8"/>
  <c r="AH26" i="8" s="1"/>
  <c r="W27" i="8"/>
  <c r="AH27" i="8" s="1"/>
  <c r="W28" i="8"/>
  <c r="AH28" i="8" s="1"/>
  <c r="W29" i="8"/>
  <c r="AH29" i="8" s="1"/>
  <c r="C30" i="8"/>
  <c r="D30" i="8"/>
  <c r="E30" i="8"/>
  <c r="F30" i="8"/>
  <c r="C10" i="9" s="1"/>
  <c r="M10" i="9" s="1"/>
  <c r="G30" i="8"/>
  <c r="H30" i="8"/>
  <c r="N10" i="9" s="1"/>
  <c r="X10" i="9" s="1"/>
  <c r="I30" i="8"/>
  <c r="J30" i="8"/>
  <c r="L30" i="8"/>
  <c r="M30" i="8"/>
  <c r="N30" i="8"/>
  <c r="R30" i="8"/>
  <c r="S30" i="8"/>
  <c r="T30" i="8"/>
  <c r="V30" i="8"/>
  <c r="W33" i="8"/>
  <c r="AH33" i="8" s="1"/>
  <c r="W34" i="8"/>
  <c r="AH34" i="8" s="1"/>
  <c r="W35" i="8"/>
  <c r="AH35" i="8" s="1"/>
  <c r="W36" i="8"/>
  <c r="AH36" i="8" s="1"/>
  <c r="C37" i="8"/>
  <c r="D37" i="8"/>
  <c r="E37" i="8"/>
  <c r="E43" i="8" s="1"/>
  <c r="F37" i="8"/>
  <c r="C11" i="9" s="1"/>
  <c r="M11" i="9" s="1"/>
  <c r="G37" i="8"/>
  <c r="H37" i="8"/>
  <c r="I37" i="8"/>
  <c r="J37" i="8"/>
  <c r="L37" i="8"/>
  <c r="M37" i="8"/>
  <c r="N37" i="8"/>
  <c r="R37" i="8"/>
  <c r="S37" i="8"/>
  <c r="T37" i="8"/>
  <c r="V37" i="8"/>
  <c r="W39" i="8"/>
  <c r="AH39" i="8" s="1"/>
  <c r="W40" i="8"/>
  <c r="AH40" i="8" s="1"/>
  <c r="W41" i="8"/>
  <c r="AH41" i="8" s="1"/>
  <c r="C42" i="8"/>
  <c r="D42" i="8"/>
  <c r="E42" i="8"/>
  <c r="F42" i="8"/>
  <c r="C12" i="9" s="1"/>
  <c r="M12" i="9" s="1"/>
  <c r="G42" i="8"/>
  <c r="H42" i="8"/>
  <c r="N12" i="9" s="1"/>
  <c r="X12" i="9" s="1"/>
  <c r="I42" i="8"/>
  <c r="J42" i="8"/>
  <c r="L42" i="8"/>
  <c r="M42" i="8"/>
  <c r="N42" i="8"/>
  <c r="R42" i="8"/>
  <c r="S42" i="8"/>
  <c r="T42" i="8"/>
  <c r="V42" i="8"/>
  <c r="W46" i="8"/>
  <c r="AH46" i="8" s="1"/>
  <c r="W47" i="8"/>
  <c r="AH47" i="8" s="1"/>
  <c r="W49" i="8"/>
  <c r="AH49" i="8" s="1"/>
  <c r="W50" i="8"/>
  <c r="AH50" i="8" s="1"/>
  <c r="C51" i="8"/>
  <c r="D51" i="8"/>
  <c r="E51" i="8"/>
  <c r="F51" i="8"/>
  <c r="G51" i="8"/>
  <c r="H51" i="8"/>
  <c r="I51" i="8"/>
  <c r="J51" i="8"/>
  <c r="L51" i="8"/>
  <c r="M51" i="8"/>
  <c r="N51" i="8"/>
  <c r="R51" i="8"/>
  <c r="AE49" i="8" s="1"/>
  <c r="S51" i="8"/>
  <c r="T51" i="8"/>
  <c r="V51" i="8"/>
  <c r="W53" i="8"/>
  <c r="AH53" i="8" s="1"/>
  <c r="W54" i="8"/>
  <c r="AH54" i="8" s="1"/>
  <c r="W55" i="8"/>
  <c r="AH55" i="8" s="1"/>
  <c r="W56" i="8"/>
  <c r="AH56" i="8" s="1"/>
  <c r="W57" i="8"/>
  <c r="AH57" i="8" s="1"/>
  <c r="C58" i="8"/>
  <c r="C67" i="8" s="1"/>
  <c r="D58" i="8"/>
  <c r="D67" i="8" s="1"/>
  <c r="E58" i="8"/>
  <c r="E67" i="8" s="1"/>
  <c r="F58" i="8"/>
  <c r="F67" i="8" s="1"/>
  <c r="G58" i="8"/>
  <c r="G67" i="8" s="1"/>
  <c r="H58" i="8"/>
  <c r="H67" i="8" s="1"/>
  <c r="I58" i="8"/>
  <c r="I67" i="8" s="1"/>
  <c r="J58" i="8"/>
  <c r="J67" i="8" s="1"/>
  <c r="L58" i="8"/>
  <c r="L67" i="8" s="1"/>
  <c r="M58" i="8"/>
  <c r="M67" i="8" s="1"/>
  <c r="N58" i="8"/>
  <c r="N67" i="8" s="1"/>
  <c r="R58" i="8"/>
  <c r="R67" i="8" s="1"/>
  <c r="S58" i="8"/>
  <c r="S67" i="8" s="1"/>
  <c r="T58" i="8"/>
  <c r="T67" i="8" s="1"/>
  <c r="V58" i="8"/>
  <c r="V67" i="8" s="1"/>
  <c r="W60" i="8"/>
  <c r="E86" i="10" s="1"/>
  <c r="W61" i="8"/>
  <c r="AH61" i="8" s="1"/>
  <c r="W64" i="8"/>
  <c r="AH64" i="8" s="1"/>
  <c r="W65" i="8"/>
  <c r="AH65" i="8" s="1"/>
  <c r="W66" i="8"/>
  <c r="AH66" i="8" s="1"/>
  <c r="W70" i="8"/>
  <c r="W71" i="8"/>
  <c r="AH71" i="8" s="1"/>
  <c r="W73" i="8"/>
  <c r="AH73" i="8" s="1"/>
  <c r="W74" i="8"/>
  <c r="AH74" i="8" s="1"/>
  <c r="W75" i="8"/>
  <c r="W76" i="8"/>
  <c r="AH76" i="8" s="1"/>
  <c r="C77" i="8"/>
  <c r="D77" i="8"/>
  <c r="E77" i="8"/>
  <c r="F77" i="8"/>
  <c r="G77" i="8"/>
  <c r="H77" i="8"/>
  <c r="I77" i="8"/>
  <c r="J77" i="8"/>
  <c r="L77" i="8"/>
  <c r="M77" i="8"/>
  <c r="N77" i="8"/>
  <c r="R77" i="8"/>
  <c r="S77" i="8"/>
  <c r="T77" i="8"/>
  <c r="V77" i="8"/>
  <c r="W79" i="8"/>
  <c r="AH79" i="8" s="1"/>
  <c r="W80" i="8"/>
  <c r="AH80" i="8" s="1"/>
  <c r="W81" i="8"/>
  <c r="AH81" i="8" s="1"/>
  <c r="W82" i="8"/>
  <c r="AH82" i="8" s="1"/>
  <c r="C83" i="8"/>
  <c r="D83" i="8"/>
  <c r="E83" i="8"/>
  <c r="F83" i="8"/>
  <c r="G83" i="8"/>
  <c r="H83" i="8"/>
  <c r="I83" i="8"/>
  <c r="J83" i="8"/>
  <c r="L83" i="8"/>
  <c r="M83" i="8"/>
  <c r="N83" i="8"/>
  <c r="R83" i="8"/>
  <c r="S83" i="8"/>
  <c r="T83" i="8"/>
  <c r="V83" i="8"/>
  <c r="W84" i="8"/>
  <c r="AH84" i="8" s="1"/>
  <c r="W87" i="8"/>
  <c r="AH87" i="8" s="1"/>
  <c r="W88" i="8"/>
  <c r="C89" i="8"/>
  <c r="D89" i="8"/>
  <c r="E89" i="8"/>
  <c r="F89" i="8"/>
  <c r="G89" i="8"/>
  <c r="H89" i="8"/>
  <c r="I89" i="8"/>
  <c r="J89" i="8"/>
  <c r="L89" i="8"/>
  <c r="M89" i="8"/>
  <c r="N89" i="8"/>
  <c r="R89" i="8"/>
  <c r="S89" i="8"/>
  <c r="T89" i="8"/>
  <c r="V89" i="8"/>
  <c r="W93" i="8"/>
  <c r="AH93" i="8" s="1"/>
  <c r="W94" i="8"/>
  <c r="AH94" i="8" s="1"/>
  <c r="W95" i="8"/>
  <c r="W96" i="8"/>
  <c r="AH96" i="8" s="1"/>
  <c r="C97" i="8"/>
  <c r="D97" i="8"/>
  <c r="E97" i="8"/>
  <c r="F97" i="8"/>
  <c r="G97" i="8"/>
  <c r="H97" i="8"/>
  <c r="I97" i="8"/>
  <c r="J97" i="8"/>
  <c r="L97" i="8"/>
  <c r="M97" i="8"/>
  <c r="N97" i="8"/>
  <c r="R97" i="8"/>
  <c r="S97" i="8"/>
  <c r="T97" i="8"/>
  <c r="V97" i="8"/>
  <c r="W99" i="8"/>
  <c r="AH99" i="8" s="1"/>
  <c r="W100" i="8"/>
  <c r="AH100" i="8" s="1"/>
  <c r="W101" i="8"/>
  <c r="AH101" i="8" s="1"/>
  <c r="C102" i="8"/>
  <c r="D102" i="8"/>
  <c r="E102" i="8"/>
  <c r="F102" i="8"/>
  <c r="G102" i="8"/>
  <c r="H102" i="8"/>
  <c r="I102" i="8"/>
  <c r="J102" i="8"/>
  <c r="L102" i="8"/>
  <c r="M102" i="8"/>
  <c r="N102" i="8"/>
  <c r="R102" i="8"/>
  <c r="S102" i="8"/>
  <c r="T102" i="8"/>
  <c r="V102" i="8"/>
  <c r="W104" i="8"/>
  <c r="AH104" i="8" s="1"/>
  <c r="W105" i="8"/>
  <c r="AH105" i="8" s="1"/>
  <c r="W106" i="8"/>
  <c r="AH106" i="8" s="1"/>
  <c r="W107" i="8"/>
  <c r="AH107" i="8" s="1"/>
  <c r="C108" i="8"/>
  <c r="D108" i="8"/>
  <c r="E108" i="8"/>
  <c r="F108" i="8"/>
  <c r="G108" i="8"/>
  <c r="H108" i="8"/>
  <c r="I108" i="8"/>
  <c r="J108" i="8"/>
  <c r="L108" i="8"/>
  <c r="M108" i="8"/>
  <c r="N108" i="8"/>
  <c r="R108" i="8"/>
  <c r="S108" i="8"/>
  <c r="T108" i="8"/>
  <c r="V108" i="8"/>
  <c r="P111" i="8"/>
  <c r="W111" i="8"/>
  <c r="P112" i="8"/>
  <c r="M114" i="8"/>
  <c r="C15" i="7"/>
  <c r="D15" i="7"/>
  <c r="F15" i="7"/>
  <c r="C33" i="7"/>
  <c r="D33" i="7"/>
  <c r="E33" i="7"/>
  <c r="F33" i="7"/>
  <c r="C40" i="7"/>
  <c r="C41" i="7" s="1"/>
  <c r="D40" i="7"/>
  <c r="D41" i="7"/>
  <c r="E40" i="7"/>
  <c r="E41" i="7" s="1"/>
  <c r="F40" i="7"/>
  <c r="F41" i="7" s="1"/>
  <c r="C47" i="7"/>
  <c r="D47" i="7"/>
  <c r="E47" i="7"/>
  <c r="F47" i="7"/>
  <c r="C54" i="7"/>
  <c r="D54" i="7"/>
  <c r="E54" i="7"/>
  <c r="F54" i="7"/>
  <c r="C58" i="7"/>
  <c r="D58" i="7"/>
  <c r="E58" i="7"/>
  <c r="F58" i="7"/>
  <c r="C63" i="7"/>
  <c r="D63" i="7"/>
  <c r="E63" i="7"/>
  <c r="F63" i="7"/>
  <c r="D12" i="4"/>
  <c r="M12" i="4" s="1"/>
  <c r="N12" i="4"/>
  <c r="D17" i="4"/>
  <c r="E15" i="7" s="1"/>
  <c r="N17" i="4"/>
  <c r="E18" i="4"/>
  <c r="M19" i="4"/>
  <c r="N19" i="4"/>
  <c r="F32" i="4"/>
  <c r="M63" i="4"/>
  <c r="D74" i="4"/>
  <c r="M74" i="4" s="1"/>
  <c r="N74" i="4"/>
  <c r="N82" i="4"/>
  <c r="M83" i="4"/>
  <c r="N83" i="4"/>
  <c r="N84" i="4"/>
  <c r="M85" i="4"/>
  <c r="N85" i="4"/>
  <c r="M86" i="4"/>
  <c r="N86" i="4"/>
  <c r="D87" i="4"/>
  <c r="E87" i="4"/>
  <c r="O50" i="10"/>
  <c r="O59" i="10"/>
  <c r="O14" i="10"/>
  <c r="M95" i="10"/>
  <c r="O64" i="10"/>
  <c r="O63" i="10"/>
  <c r="O60" i="10"/>
  <c r="F64" i="7"/>
  <c r="D49" i="7"/>
  <c r="H26" i="12"/>
  <c r="E44" i="10"/>
  <c r="E53" i="10" s="1"/>
  <c r="E95" i="10"/>
  <c r="AH60" i="8"/>
  <c r="C82" i="7"/>
  <c r="E75" i="4"/>
  <c r="K18" i="12" l="1"/>
  <c r="K26" i="12"/>
  <c r="O45" i="10"/>
  <c r="O96" i="10"/>
  <c r="M58" i="10"/>
  <c r="M66" i="10" s="1"/>
  <c r="O97" i="10"/>
  <c r="O46" i="10"/>
  <c r="O48" i="10"/>
  <c r="O87" i="10"/>
  <c r="O79" i="10"/>
  <c r="O78" i="10"/>
  <c r="O69" i="10"/>
  <c r="E93" i="10"/>
  <c r="E102" i="10"/>
  <c r="E103" i="10" s="1"/>
  <c r="M35" i="9"/>
  <c r="C49" i="7"/>
  <c r="F49" i="7"/>
  <c r="F26" i="4"/>
  <c r="D33" i="4"/>
  <c r="I43" i="8"/>
  <c r="S85" i="8"/>
  <c r="H43" i="8"/>
  <c r="G43" i="8"/>
  <c r="M43" i="8"/>
  <c r="D43" i="8"/>
  <c r="T43" i="8"/>
  <c r="V109" i="8"/>
  <c r="N11" i="9"/>
  <c r="X11" i="9" s="1"/>
  <c r="R109" i="8"/>
  <c r="F109" i="8"/>
  <c r="C40" i="9" s="1"/>
  <c r="N43" i="8"/>
  <c r="T109" i="8"/>
  <c r="AE48" i="8"/>
  <c r="N85" i="8"/>
  <c r="E85" i="8"/>
  <c r="AH70" i="8"/>
  <c r="O110" i="10"/>
  <c r="O56" i="10"/>
  <c r="O67" i="10"/>
  <c r="O35" i="11"/>
  <c r="O40" i="10"/>
  <c r="G19" i="12"/>
  <c r="G31" i="12"/>
  <c r="O99" i="10"/>
  <c r="S68" i="8"/>
  <c r="O37" i="10"/>
  <c r="O53" i="10"/>
  <c r="M109" i="8"/>
  <c r="D109" i="8"/>
  <c r="O83" i="10"/>
  <c r="M72" i="10"/>
  <c r="O61" i="10"/>
  <c r="O49" i="10"/>
  <c r="O36" i="10"/>
  <c r="E58" i="10"/>
  <c r="W102" i="8"/>
  <c r="E49" i="7"/>
  <c r="V43" i="8"/>
  <c r="O74" i="10"/>
  <c r="O70" i="10"/>
  <c r="M68" i="8"/>
  <c r="O88" i="10"/>
  <c r="O98" i="10"/>
  <c r="E57" i="10"/>
  <c r="C55" i="11"/>
  <c r="O89" i="10"/>
  <c r="O77" i="10"/>
  <c r="O30" i="10"/>
  <c r="O35" i="10"/>
  <c r="O34" i="10"/>
  <c r="O33" i="10"/>
  <c r="O95" i="10"/>
  <c r="O51" i="10"/>
  <c r="E34" i="4"/>
  <c r="F12" i="4"/>
  <c r="M17" i="4"/>
  <c r="E24" i="10"/>
  <c r="F43" i="8"/>
  <c r="H85" i="8"/>
  <c r="AE80" i="8" s="1"/>
  <c r="L85" i="8"/>
  <c r="G85" i="8"/>
  <c r="F68" i="8"/>
  <c r="O29" i="10"/>
  <c r="E72" i="10"/>
  <c r="H109" i="8"/>
  <c r="N40" i="9" s="1"/>
  <c r="X40" i="9" s="1"/>
  <c r="L68" i="8"/>
  <c r="G68" i="8"/>
  <c r="T85" i="8"/>
  <c r="R68" i="8"/>
  <c r="C43" i="8"/>
  <c r="W42" i="8"/>
  <c r="AH42" i="8" s="1"/>
  <c r="G109" i="8"/>
  <c r="E8" i="10"/>
  <c r="W17" i="8"/>
  <c r="AH17" i="8" s="1"/>
  <c r="E16" i="10"/>
  <c r="X37" i="9"/>
  <c r="W108" i="8"/>
  <c r="J109" i="8"/>
  <c r="R85" i="8"/>
  <c r="J85" i="8"/>
  <c r="J68" i="8"/>
  <c r="D68" i="8"/>
  <c r="S43" i="8"/>
  <c r="L43" i="8"/>
  <c r="D31" i="12"/>
  <c r="E94" i="10"/>
  <c r="O54" i="10"/>
  <c r="E31" i="12"/>
  <c r="O68" i="10"/>
  <c r="O12" i="10"/>
  <c r="W77" i="8"/>
  <c r="AH77" i="8" s="1"/>
  <c r="O18" i="11"/>
  <c r="I12" i="17"/>
  <c r="C13" i="17"/>
  <c r="I49" i="17"/>
  <c r="D12" i="17"/>
  <c r="I48" i="17"/>
  <c r="I54" i="17"/>
  <c r="I53" i="17"/>
  <c r="C85" i="8"/>
  <c r="L62" i="4"/>
  <c r="L63" i="4"/>
  <c r="D75" i="4"/>
  <c r="F17" i="4"/>
  <c r="F31" i="12"/>
  <c r="C64" i="7"/>
  <c r="C66" i="7" s="1"/>
  <c r="O65" i="10"/>
  <c r="O28" i="11"/>
  <c r="O24" i="11"/>
  <c r="O33" i="11"/>
  <c r="O38" i="10"/>
  <c r="O91" i="10"/>
  <c r="M86" i="10"/>
  <c r="M101" i="10" s="1"/>
  <c r="L43" i="9"/>
  <c r="M44" i="10"/>
  <c r="M52" i="10" s="1"/>
  <c r="O47" i="10"/>
  <c r="W51" i="8"/>
  <c r="AH51" i="8" s="1"/>
  <c r="O11" i="10"/>
  <c r="O23" i="11"/>
  <c r="O25" i="11"/>
  <c r="E68" i="8"/>
  <c r="W58" i="8"/>
  <c r="E31" i="10"/>
  <c r="M31" i="10"/>
  <c r="M39" i="10" s="1"/>
  <c r="I85" i="8"/>
  <c r="AH75" i="8"/>
  <c r="F85" i="8"/>
  <c r="AE79" i="8" s="1"/>
  <c r="Z44" i="9"/>
  <c r="AA44" i="9"/>
  <c r="X33" i="9"/>
  <c r="G27" i="12"/>
  <c r="O28" i="10"/>
  <c r="M44" i="9"/>
  <c r="O32" i="10"/>
  <c r="O27" i="10"/>
  <c r="M87" i="4"/>
  <c r="I117" i="8"/>
  <c r="N87" i="4"/>
  <c r="M33" i="4"/>
  <c r="L109" i="8"/>
  <c r="I68" i="8"/>
  <c r="Y44" i="9"/>
  <c r="H18" i="12"/>
  <c r="S109" i="8"/>
  <c r="D85" i="8"/>
  <c r="V68" i="8"/>
  <c r="N68" i="8"/>
  <c r="W37" i="8"/>
  <c r="AH37" i="8" s="1"/>
  <c r="AB44" i="9"/>
  <c r="D18" i="4"/>
  <c r="E64" i="7"/>
  <c r="E66" i="7" s="1"/>
  <c r="E109" i="8"/>
  <c r="V85" i="8"/>
  <c r="T68" i="8"/>
  <c r="H68" i="8"/>
  <c r="C68" i="8"/>
  <c r="R43" i="8"/>
  <c r="J43" i="8"/>
  <c r="C109" i="8"/>
  <c r="M85" i="8"/>
  <c r="O100" i="10"/>
  <c r="C42" i="9"/>
  <c r="M40" i="9"/>
  <c r="M42" i="9" s="1"/>
  <c r="M43" i="9" s="1"/>
  <c r="F66" i="7"/>
  <c r="D64" i="7"/>
  <c r="D66" i="7" s="1"/>
  <c r="N109" i="8"/>
  <c r="AH88" i="8"/>
  <c r="W89" i="8"/>
  <c r="AH89" i="8" s="1"/>
  <c r="I109" i="8"/>
  <c r="AH95" i="8"/>
  <c r="AH97" i="8" s="1"/>
  <c r="W97" i="8"/>
  <c r="W43" i="8"/>
  <c r="C59" i="11"/>
  <c r="W83" i="8"/>
  <c r="AH108" i="8"/>
  <c r="AH102" i="8"/>
  <c r="W30" i="8"/>
  <c r="O76" i="10"/>
  <c r="O73" i="10"/>
  <c r="O62" i="10"/>
  <c r="O42" i="10"/>
  <c r="O55" i="10"/>
  <c r="O19" i="10"/>
  <c r="O90" i="10"/>
  <c r="O72" i="10" l="1"/>
  <c r="M80" i="10"/>
  <c r="O13" i="10"/>
  <c r="E81" i="10"/>
  <c r="E85" i="10" s="1"/>
  <c r="E90" i="8"/>
  <c r="E67" i="10"/>
  <c r="E71" i="10" s="1"/>
  <c r="T90" i="8"/>
  <c r="E40" i="10"/>
  <c r="E43" i="10" s="1"/>
  <c r="N90" i="8"/>
  <c r="N110" i="8" s="1"/>
  <c r="N113" i="8" s="1"/>
  <c r="I119" i="8" s="1"/>
  <c r="I120" i="8" s="1"/>
  <c r="N42" i="9"/>
  <c r="W67" i="8"/>
  <c r="AH67" i="8" s="1"/>
  <c r="D90" i="8"/>
  <c r="D110" i="8" s="1"/>
  <c r="D113" i="8" s="1"/>
  <c r="I90" i="8"/>
  <c r="I110" i="8" s="1"/>
  <c r="I113" i="8" s="1"/>
  <c r="S90" i="8"/>
  <c r="S110" i="8" s="1"/>
  <c r="S113" i="8" s="1"/>
  <c r="R90" i="8"/>
  <c r="R110" i="8" s="1"/>
  <c r="R113" i="8" s="1"/>
  <c r="H90" i="8"/>
  <c r="H110" i="8" s="1"/>
  <c r="H113" i="8" s="1"/>
  <c r="T110" i="8"/>
  <c r="T113" i="8" s="1"/>
  <c r="O41" i="10"/>
  <c r="X42" i="9"/>
  <c r="X43" i="9" s="1"/>
  <c r="O82" i="10"/>
  <c r="AH43" i="8"/>
  <c r="M90" i="8"/>
  <c r="M110" i="8" s="1"/>
  <c r="M113" i="8" s="1"/>
  <c r="L90" i="8"/>
  <c r="L110" i="8" s="1"/>
  <c r="I55" i="17"/>
  <c r="G90" i="8"/>
  <c r="G110" i="8" s="1"/>
  <c r="G113" i="8" s="1"/>
  <c r="O86" i="10"/>
  <c r="O31" i="10"/>
  <c r="C16" i="17"/>
  <c r="I50" i="17" s="1"/>
  <c r="I13" i="17"/>
  <c r="E110" i="8"/>
  <c r="E113" i="8" s="1"/>
  <c r="J90" i="8"/>
  <c r="J110" i="8" s="1"/>
  <c r="J113" i="8" s="1"/>
  <c r="V90" i="8"/>
  <c r="V110" i="8" s="1"/>
  <c r="F90" i="8"/>
  <c r="F110" i="8" s="1"/>
  <c r="F113" i="8" s="1"/>
  <c r="C90" i="8"/>
  <c r="C110" i="8" s="1"/>
  <c r="C113" i="8" s="1"/>
  <c r="W109" i="8"/>
  <c r="AH109" i="8" s="1"/>
  <c r="O20" i="10"/>
  <c r="O22" i="10"/>
  <c r="O80" i="10"/>
  <c r="J12" i="17"/>
  <c r="D13" i="17"/>
  <c r="J48" i="17"/>
  <c r="J49" i="17"/>
  <c r="O101" i="10"/>
  <c r="O44" i="10"/>
  <c r="O58" i="10"/>
  <c r="AH58" i="8"/>
  <c r="AH68" i="8" s="1"/>
  <c r="O21" i="10"/>
  <c r="D34" i="4"/>
  <c r="AH83" i="8"/>
  <c r="AH85" i="8" s="1"/>
  <c r="W85" i="8"/>
  <c r="AH30" i="8"/>
  <c r="D61" i="11"/>
  <c r="W68" i="8" l="1"/>
  <c r="P62" i="8"/>
  <c r="D110" i="10"/>
  <c r="O52" i="10"/>
  <c r="P48" i="8"/>
  <c r="L113" i="8"/>
  <c r="P115" i="8" s="1"/>
  <c r="W90" i="8"/>
  <c r="W110" i="8" s="1"/>
  <c r="P116" i="8"/>
  <c r="I16" i="17"/>
  <c r="C18" i="17"/>
  <c r="D16" i="17"/>
  <c r="J16" i="17" s="1"/>
  <c r="J13" i="17"/>
  <c r="AE92" i="8"/>
  <c r="O39" i="10"/>
  <c r="O66" i="10"/>
  <c r="AH90" i="8"/>
  <c r="AH110" i="8" s="1"/>
  <c r="P82" i="8"/>
  <c r="P40" i="8"/>
  <c r="P28" i="8"/>
  <c r="P84" i="8"/>
  <c r="P101" i="8"/>
  <c r="P65" i="8"/>
  <c r="P74" i="8"/>
  <c r="P26" i="8"/>
  <c r="P81" i="8"/>
  <c r="P80" i="8"/>
  <c r="P27" i="8"/>
  <c r="P21" i="8"/>
  <c r="P15" i="8"/>
  <c r="P79" i="8"/>
  <c r="P94" i="8"/>
  <c r="P47" i="8"/>
  <c r="C8" i="10" s="1"/>
  <c r="D11" i="10" s="1"/>
  <c r="P71" i="8"/>
  <c r="P95" i="8"/>
  <c r="P24" i="8"/>
  <c r="P29" i="8"/>
  <c r="P76" i="8"/>
  <c r="P105" i="8"/>
  <c r="P50" i="8"/>
  <c r="P23" i="8"/>
  <c r="P64" i="8"/>
  <c r="P16" i="8"/>
  <c r="P49" i="8"/>
  <c r="O83" i="8"/>
  <c r="P20" i="8"/>
  <c r="P96" i="8"/>
  <c r="P36" i="8"/>
  <c r="P14" i="8"/>
  <c r="P100" i="8"/>
  <c r="P107" i="8"/>
  <c r="P41" i="8"/>
  <c r="P34" i="8"/>
  <c r="P66" i="8"/>
  <c r="P35" i="8"/>
  <c r="P25" i="8"/>
  <c r="P88" i="8"/>
  <c r="Z88" i="8" s="1"/>
  <c r="P22" i="8"/>
  <c r="P106" i="8"/>
  <c r="V112" i="8"/>
  <c r="D108" i="10" l="1"/>
  <c r="C30" i="17"/>
  <c r="D46" i="4"/>
  <c r="C22" i="11"/>
  <c r="P60" i="8"/>
  <c r="D92" i="10"/>
  <c r="P57" i="8"/>
  <c r="D80" i="10"/>
  <c r="P56" i="8"/>
  <c r="D66" i="10"/>
  <c r="P61" i="8"/>
  <c r="D101" i="10"/>
  <c r="P55" i="8"/>
  <c r="D52" i="10"/>
  <c r="P54" i="8"/>
  <c r="J50" i="17"/>
  <c r="D18" i="17"/>
  <c r="E46" i="4" s="1"/>
  <c r="E48" i="4" s="1"/>
  <c r="I19" i="17"/>
  <c r="I51" i="17"/>
  <c r="C36" i="17"/>
  <c r="D37" i="17" s="1"/>
  <c r="I30" i="17"/>
  <c r="P75" i="8"/>
  <c r="AA88" i="8"/>
  <c r="P87" i="8"/>
  <c r="Z87" i="8" s="1"/>
  <c r="O89" i="8"/>
  <c r="Z80" i="8"/>
  <c r="AA80" i="8"/>
  <c r="AC80" i="8" s="1"/>
  <c r="C21" i="12"/>
  <c r="P53" i="8"/>
  <c r="O58" i="8"/>
  <c r="O67" i="8" s="1"/>
  <c r="P13" i="8"/>
  <c r="O17" i="8"/>
  <c r="O108" i="8"/>
  <c r="P104" i="8"/>
  <c r="P39" i="8"/>
  <c r="O42" i="8"/>
  <c r="P42" i="8" s="1"/>
  <c r="C16" i="10"/>
  <c r="D19" i="10" s="1"/>
  <c r="O97" i="8"/>
  <c r="P93" i="8"/>
  <c r="AA81" i="8"/>
  <c r="Z81" i="8"/>
  <c r="C29" i="12"/>
  <c r="C32" i="12"/>
  <c r="Z84" i="8"/>
  <c r="AA84" i="8"/>
  <c r="AC84" i="8" s="1"/>
  <c r="Z79" i="8"/>
  <c r="AA79" i="8"/>
  <c r="AC79" i="8" s="1"/>
  <c r="P83" i="8"/>
  <c r="C12" i="12"/>
  <c r="P99" i="8"/>
  <c r="O102" i="8"/>
  <c r="Z36" i="8"/>
  <c r="AA36" i="8"/>
  <c r="P73" i="8"/>
  <c r="O77" i="8"/>
  <c r="O85" i="8" s="1"/>
  <c r="P46" i="8"/>
  <c r="O51" i="8"/>
  <c r="O30" i="8"/>
  <c r="P19" i="8"/>
  <c r="Z82" i="8"/>
  <c r="AA82" i="8"/>
  <c r="AC82" i="8" s="1"/>
  <c r="C30" i="12"/>
  <c r="W112" i="8"/>
  <c r="W113" i="8" s="1"/>
  <c r="V113" i="8"/>
  <c r="W116" i="8" s="1"/>
  <c r="P33" i="8"/>
  <c r="O37" i="8"/>
  <c r="Z76" i="8"/>
  <c r="AA76" i="8"/>
  <c r="AC76" i="8" s="1"/>
  <c r="AA74" i="8"/>
  <c r="AC74" i="8" s="1"/>
  <c r="Z74" i="8"/>
  <c r="P70" i="8"/>
  <c r="N80" i="4" l="1"/>
  <c r="N79" i="4"/>
  <c r="D38" i="17"/>
  <c r="C40" i="17"/>
  <c r="N48" i="4"/>
  <c r="E76" i="4"/>
  <c r="D48" i="4"/>
  <c r="C12" i="11"/>
  <c r="C86" i="10"/>
  <c r="D90" i="10" s="1"/>
  <c r="C44" i="10"/>
  <c r="C58" i="10"/>
  <c r="C31" i="10"/>
  <c r="J51" i="17"/>
  <c r="J19" i="17"/>
  <c r="C95" i="10"/>
  <c r="D99" i="10" s="1"/>
  <c r="C72" i="10"/>
  <c r="AC88" i="8"/>
  <c r="AA75" i="8"/>
  <c r="C32" i="11"/>
  <c r="Z75" i="8"/>
  <c r="O43" i="8"/>
  <c r="O68" i="8"/>
  <c r="H30" i="12"/>
  <c r="P30" i="8"/>
  <c r="P51" i="8"/>
  <c r="Z73" i="8"/>
  <c r="AA73" i="8"/>
  <c r="P77" i="8"/>
  <c r="P85" i="8" s="1"/>
  <c r="AC36" i="8"/>
  <c r="H29" i="12"/>
  <c r="K29" i="12" s="1"/>
  <c r="P97" i="8"/>
  <c r="AA87" i="8"/>
  <c r="P89" i="8"/>
  <c r="P37" i="8"/>
  <c r="P102" i="8"/>
  <c r="C31" i="12"/>
  <c r="H12" i="12"/>
  <c r="K12" i="12" s="1"/>
  <c r="O109" i="8"/>
  <c r="Z42" i="8"/>
  <c r="AA42" i="8"/>
  <c r="P17" i="8"/>
  <c r="P58" i="8"/>
  <c r="P67" i="8" s="1"/>
  <c r="C24" i="10"/>
  <c r="D27" i="10" s="1"/>
  <c r="K22" i="11"/>
  <c r="L22" i="11"/>
  <c r="W121" i="8"/>
  <c r="C9" i="10"/>
  <c r="AA83" i="8"/>
  <c r="Z83" i="8"/>
  <c r="H32" i="12"/>
  <c r="AC81" i="8"/>
  <c r="C17" i="10"/>
  <c r="P108" i="8"/>
  <c r="H21" i="12"/>
  <c r="K21" i="12" s="1"/>
  <c r="K30" i="12" l="1"/>
  <c r="M18" i="10"/>
  <c r="O18" i="10" s="1"/>
  <c r="M23" i="10"/>
  <c r="O23" i="10" s="1"/>
  <c r="K32" i="12"/>
  <c r="AC83" i="8"/>
  <c r="AE84" i="8"/>
  <c r="AE83" i="8"/>
  <c r="AE86" i="8"/>
  <c r="M80" i="4"/>
  <c r="M79" i="4"/>
  <c r="D76" i="4"/>
  <c r="I40" i="17"/>
  <c r="M48" i="4"/>
  <c r="C111" i="10"/>
  <c r="C112" i="10" s="1"/>
  <c r="D50" i="10"/>
  <c r="D48" i="10"/>
  <c r="D35" i="10"/>
  <c r="D37" i="10"/>
  <c r="D78" i="10"/>
  <c r="D76" i="10"/>
  <c r="D62" i="10"/>
  <c r="D64" i="10"/>
  <c r="C93" i="10"/>
  <c r="C94" i="10" s="1"/>
  <c r="C53" i="10"/>
  <c r="C57" i="10" s="1"/>
  <c r="C81" i="10"/>
  <c r="C85" i="10" s="1"/>
  <c r="C67" i="10"/>
  <c r="C71" i="10" s="1"/>
  <c r="C102" i="10"/>
  <c r="C103" i="10" s="1"/>
  <c r="C40" i="10"/>
  <c r="C43" i="10" s="1"/>
  <c r="M15" i="10"/>
  <c r="M10" i="10"/>
  <c r="O10" i="10" s="1"/>
  <c r="H43" i="11"/>
  <c r="AC78" i="8"/>
  <c r="AC75" i="8"/>
  <c r="L32" i="11"/>
  <c r="AC87" i="8"/>
  <c r="K32" i="11"/>
  <c r="O90" i="8"/>
  <c r="O110" i="8" s="1"/>
  <c r="O113" i="8" s="1"/>
  <c r="P117" i="8" s="1"/>
  <c r="Z89" i="8"/>
  <c r="AA89" i="8"/>
  <c r="C25" i="10"/>
  <c r="K12" i="11"/>
  <c r="L12" i="11"/>
  <c r="AC42" i="8"/>
  <c r="Z37" i="8"/>
  <c r="P43" i="8"/>
  <c r="P109" i="8"/>
  <c r="Z77" i="8"/>
  <c r="Z30" i="8"/>
  <c r="AA30" i="8"/>
  <c r="O16" i="10"/>
  <c r="O8" i="10"/>
  <c r="Z17" i="8"/>
  <c r="H31" i="12"/>
  <c r="K31" i="12" s="1"/>
  <c r="AE72" i="8"/>
  <c r="AC73" i="8"/>
  <c r="Z51" i="8"/>
  <c r="M26" i="10" l="1"/>
  <c r="O26" i="10" s="1"/>
  <c r="I44" i="17"/>
  <c r="P68" i="8"/>
  <c r="O32" i="11"/>
  <c r="AA37" i="8"/>
  <c r="AA77" i="8"/>
  <c r="AE74" i="8"/>
  <c r="Z67" i="8"/>
  <c r="AA67" i="8"/>
  <c r="AA17" i="8"/>
  <c r="AC89" i="8"/>
  <c r="AE30" i="8"/>
  <c r="AE31" i="8"/>
  <c r="AC30" i="8"/>
  <c r="O9" i="10"/>
  <c r="AA51" i="8"/>
  <c r="AA109" i="8"/>
  <c r="Z109" i="8"/>
  <c r="O24" i="10"/>
  <c r="O15" i="10"/>
  <c r="O17" i="10"/>
  <c r="P90" i="8" l="1"/>
  <c r="AC37" i="8"/>
  <c r="P110" i="8"/>
  <c r="Z90" i="8"/>
  <c r="Z110" i="8" s="1"/>
  <c r="AC17" i="8"/>
  <c r="AA90" i="8"/>
  <c r="AE85" i="8" s="1"/>
  <c r="AC77" i="8"/>
  <c r="AE78" i="8"/>
  <c r="AE77" i="8"/>
  <c r="AC67" i="8"/>
  <c r="AE67" i="8"/>
  <c r="AE68" i="8"/>
  <c r="AE51" i="8"/>
  <c r="AE52" i="8"/>
  <c r="AC51" i="8"/>
  <c r="O25" i="10"/>
  <c r="AE109" i="8"/>
  <c r="AE110" i="8"/>
  <c r="AC109" i="8"/>
  <c r="P113" i="8" l="1"/>
  <c r="P124" i="8"/>
  <c r="AC90" i="8"/>
  <c r="AE90" i="8"/>
  <c r="AE91" i="8"/>
  <c r="AA110" i="8"/>
  <c r="AE93" i="8"/>
  <c r="P303"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Hallbäck Ismael D/INS/ES-Ö</author>
    <author>Siegrist Elisabeth DFO/OU-Ö</author>
    <author>Engblom Linnea D/INS/OFS-Ö</author>
  </authors>
  <commentList>
    <comment ref="C60" authorId="0" shapeId="0" xr:uid="{D53B83A2-291B-4BD6-AFB3-43A0AEA288BD}">
      <text>
        <r>
          <rPr>
            <b/>
            <sz val="9"/>
            <color indexed="81"/>
            <rFont val="Tahoma"/>
            <charset val="1"/>
          </rPr>
          <t>SCB:</t>
        </r>
        <r>
          <rPr>
            <sz val="9"/>
            <color indexed="81"/>
            <rFont val="Tahoma"/>
            <charset val="1"/>
          </rPr>
          <t xml:space="preserve">
Namnändring, tidigare: Checkkredit, övriga långfristiga skulder</t>
        </r>
      </text>
    </comment>
    <comment ref="I62" authorId="1" shapeId="0" xr:uid="{00000000-0006-0000-0200-00001A000000}">
      <text>
        <r>
          <rPr>
            <b/>
            <sz val="9"/>
            <color indexed="81"/>
            <rFont val="Tahoma"/>
            <family val="2"/>
          </rPr>
          <t xml:space="preserve">SCB:
</t>
        </r>
        <r>
          <rPr>
            <sz val="9"/>
            <color indexed="81"/>
            <rFont val="Tahoma"/>
            <family val="2"/>
          </rPr>
          <t>Avser den delen av långfristiga skulder som är nyupptagna lån, dvs. lån som tagits under det aktuella året.</t>
        </r>
        <r>
          <rPr>
            <b/>
            <sz val="9"/>
            <color indexed="81"/>
            <rFont val="Tahoma"/>
            <family val="2"/>
          </rPr>
          <t xml:space="preserve">
</t>
        </r>
      </text>
    </comment>
    <comment ref="C84" authorId="2" shapeId="0" xr:uid="{2E4127F8-574F-4193-812B-9DAF7D3E7C72}">
      <text>
        <r>
          <rPr>
            <b/>
            <sz val="9"/>
            <color indexed="81"/>
            <rFont val="Tahoma"/>
            <family val="2"/>
          </rPr>
          <t xml:space="preserve">SCB: </t>
        </r>
        <r>
          <rPr>
            <sz val="8"/>
            <color indexed="81"/>
            <rFont val="Tahoma"/>
            <family val="2"/>
          </rPr>
          <t>Här ingår även stiftelser</t>
        </r>
        <r>
          <rPr>
            <sz val="9"/>
            <color indexed="81"/>
            <rFont val="Tahoma"/>
            <family val="2"/>
          </rPr>
          <t xml:space="preserve">
</t>
        </r>
      </text>
    </comment>
    <comment ref="I87" authorId="1" shapeId="0" xr:uid="{00000000-0006-0000-0200-00001E000000}">
      <text>
        <r>
          <rPr>
            <b/>
            <sz val="9"/>
            <color indexed="81"/>
            <rFont val="Tahoma"/>
            <family val="2"/>
          </rPr>
          <t xml:space="preserve">SCB:
</t>
        </r>
        <r>
          <rPr>
            <sz val="8"/>
            <color indexed="81"/>
            <rFont val="Tahoma"/>
            <family val="2"/>
          </rPr>
          <t>Rad 161 är en därav-rad till summan av ansvarsförbindelser och avser borgensåtaganden för tagna lån i kreditinstitut och banker.</t>
        </r>
        <r>
          <rPr>
            <sz val="9"/>
            <color indexed="81"/>
            <rFont val="Tahoma"/>
            <family val="2"/>
          </rPr>
          <t xml:space="preserve">
</t>
        </r>
      </text>
    </comment>
    <comment ref="I88" authorId="1" shapeId="0" xr:uid="{00000000-0006-0000-0200-000020000000}">
      <text>
        <r>
          <rPr>
            <b/>
            <sz val="9"/>
            <color indexed="81"/>
            <rFont val="Tahoma"/>
            <family val="2"/>
          </rPr>
          <t>SCB:</t>
        </r>
        <r>
          <rPr>
            <sz val="9"/>
            <color indexed="81"/>
            <rFont val="Tahoma"/>
            <family val="2"/>
          </rPr>
          <t xml:space="preserve">
</t>
        </r>
        <r>
          <rPr>
            <sz val="8"/>
            <color indexed="81"/>
            <rFont val="Tahoma"/>
            <family val="2"/>
          </rPr>
          <t xml:space="preserve">Rad 162 är varav-rad till rad 161. Avser borgensåtaganden för bostadsstiftelser och andra icke-finansiella företag där kommunen ensam eller tillsammans med annan kommun, landsting eller staten (eller en kombination av dessa) äger minst 50 % av aktie- eller andelskapitalet. Avser även dotterbolag till kommunägda företag.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scbingj</author>
    <author>Siegrist Elisabeth DFO/OU-Ö</author>
    <author>Hallbäck Ismael D/INS/ES-Ö</author>
    <author>Jakupi Edona D/INS/OFS-Ö</author>
  </authors>
  <commentList>
    <comment ref="C21" authorId="0" shapeId="0" xr:uid="{00000000-0006-0000-0300-000005000000}">
      <text>
        <r>
          <rPr>
            <b/>
            <sz val="8"/>
            <color indexed="81"/>
            <rFont val="Tahoma"/>
            <family val="2"/>
          </rPr>
          <t xml:space="preserve">SCB:
</t>
        </r>
        <r>
          <rPr>
            <sz val="8"/>
            <color indexed="81"/>
            <rFont val="Tahoma"/>
            <family val="2"/>
          </rPr>
          <t>Grönt fält används för beräkning av utjämning av LSS-kostnader mellan kommuner.
Beloppet är även länkad till avdelning Äldre och personer med funktionsnedsättning.
Ersättning från Försäkringskassan ska innehålla alla inbetalningar som kommunen erhållit under året, även sk. slutavräkning från tidigare år ska ingå.</t>
        </r>
      </text>
    </comment>
    <comment ref="D21" authorId="1" shapeId="0" xr:uid="{00000000-0006-0000-0300-000006000000}">
      <text>
        <r>
          <rPr>
            <b/>
            <sz val="9"/>
            <color indexed="81"/>
            <rFont val="Tahoma"/>
            <family val="2"/>
          </rPr>
          <t xml:space="preserve">SCB:
</t>
        </r>
        <r>
          <rPr>
            <b/>
            <sz val="8"/>
            <color indexed="10"/>
            <rFont val="Tahoma"/>
            <family val="2"/>
          </rPr>
          <t>OBS! Ang. ersättning från FK via privat utförare:</t>
        </r>
        <r>
          <rPr>
            <b/>
            <sz val="9"/>
            <color indexed="81"/>
            <rFont val="Tahoma"/>
            <family val="2"/>
          </rPr>
          <t xml:space="preserve">
</t>
        </r>
        <r>
          <rPr>
            <sz val="8"/>
            <color indexed="81"/>
            <rFont val="Tahoma"/>
            <family val="2"/>
          </rPr>
          <t>Rättsläget har förändrats för ersättningar avseende retroaktiva beslut som Försäkringskassan (FK) fattar när det gäller personlig assistans. Det innebär att om det är en alternativ utförare som utfört tjänsten betalas de retroaktiva ersättningarna från FK ut till utföraren. Ersättningen gick tidigare direkt från FK till kommunen. Nu går denna ersättning från FK via företagen till kommunen. I tidigare RS har ersättningarna för personlig assistans från FK redovisats på konto 354 i Verksamhetens intäkter. Från och med RS 2019 vill SCB att dessa ersättningar fortfarande redovisas på konto 354 trots att en del av dem erhålls från företagen.</t>
        </r>
        <r>
          <rPr>
            <sz val="9"/>
            <color indexed="81"/>
            <rFont val="Tahoma"/>
            <family val="2"/>
          </rPr>
          <t xml:space="preserve">
</t>
        </r>
      </text>
    </comment>
    <comment ref="C22" authorId="2" shapeId="0" xr:uid="{1CD2D7CA-C7F3-40C4-872A-9EFDCE7F7AC9}">
      <text>
        <r>
          <rPr>
            <b/>
            <sz val="9"/>
            <color indexed="81"/>
            <rFont val="Tahoma"/>
            <charset val="1"/>
          </rPr>
          <t>SCB:</t>
        </r>
        <r>
          <rPr>
            <sz val="9"/>
            <color indexed="81"/>
            <rFont val="Tahoma"/>
            <charset val="1"/>
          </rPr>
          <t xml:space="preserve">
Namnändring, tidigare:
Särskild momsersättning vid köp av ej skattepliktig verksamhet</t>
        </r>
      </text>
    </comment>
    <comment ref="B55" authorId="2" shapeId="0" xr:uid="{6C27F06A-76CA-4AAA-A079-ED0E1DC57C59}">
      <text>
        <r>
          <rPr>
            <b/>
            <sz val="9"/>
            <color indexed="81"/>
            <rFont val="Tahoma"/>
            <charset val="1"/>
          </rPr>
          <t>SCB:</t>
        </r>
        <r>
          <rPr>
            <sz val="9"/>
            <color indexed="81"/>
            <rFont val="Tahoma"/>
            <charset val="1"/>
          </rPr>
          <t xml:space="preserve">
Lagt till 697 i kontohänvisningen</t>
        </r>
      </text>
    </comment>
    <comment ref="B74" authorId="3" shapeId="0" xr:uid="{993D41C1-022B-438A-B62C-E41A0AFA1633}">
      <text>
        <r>
          <rPr>
            <b/>
            <sz val="9"/>
            <color indexed="81"/>
            <rFont val="Tahoma"/>
            <family val="2"/>
          </rPr>
          <t xml:space="preserve">SCB:Konto 787 tas bort från och med 2024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Hallbäck Ismael D/INS/ES-Ö</author>
  </authors>
  <commentList>
    <comment ref="G6" authorId="0" shapeId="0" xr:uid="{8FEC14A3-EB29-4ABF-90B2-BA14031FD2D4}">
      <text>
        <r>
          <rPr>
            <b/>
            <sz val="9"/>
            <color indexed="81"/>
            <rFont val="Tahoma"/>
            <charset val="1"/>
          </rPr>
          <t>SCB:</t>
        </r>
        <r>
          <rPr>
            <sz val="9"/>
            <color indexed="81"/>
            <rFont val="Tahoma"/>
            <charset val="1"/>
          </rPr>
          <t xml:space="preserve">
Lagt till ej 697</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Siegrist Elisabeth DFO/OU-Ö</author>
  </authors>
  <commentList>
    <comment ref="L43" authorId="0" shapeId="0" xr:uid="{00000000-0006-0000-0700-00001B000000}">
      <text>
        <r>
          <rPr>
            <b/>
            <sz val="9"/>
            <color indexed="81"/>
            <rFont val="Tahoma"/>
            <family val="2"/>
          </rPr>
          <t xml:space="preserve">SCB:
</t>
        </r>
        <r>
          <rPr>
            <sz val="8"/>
            <color indexed="81"/>
            <rFont val="Tahoma"/>
            <family val="2"/>
          </rPr>
          <t xml:space="preserve">SCB behöver information om vad köp av huvudverksamhet från utlandet avser.Kommenera i kommentarrutan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Siegrist Elisabeth DFO/OU-Ö</author>
    <author>annelie hallberg</author>
  </authors>
  <commentList>
    <comment ref="K32" authorId="0" shapeId="0" xr:uid="{00000000-0006-0000-0900-00000B000000}">
      <text>
        <r>
          <rPr>
            <b/>
            <sz val="9"/>
            <color indexed="81"/>
            <rFont val="Tahoma"/>
            <family val="2"/>
          </rPr>
          <t xml:space="preserve">SCB:
</t>
        </r>
        <r>
          <rPr>
            <sz val="9"/>
            <color indexed="81"/>
            <rFont val="Tahoma"/>
            <family val="2"/>
          </rPr>
          <t>Kostnad för eget åtagande är exklusive ersättning från FK för personlig assistent samt kostnaden för rådgivning m.m. för Jämtlands kommuner.</t>
        </r>
        <r>
          <rPr>
            <sz val="9"/>
            <color indexed="81"/>
            <rFont val="Tahoma"/>
            <family val="2"/>
          </rPr>
          <t xml:space="preserve">
</t>
        </r>
      </text>
    </comment>
    <comment ref="G43" authorId="1" shapeId="0" xr:uid="{00000000-0006-0000-0900-000011000000}">
      <text>
        <r>
          <rPr>
            <b/>
            <sz val="8"/>
            <color indexed="81"/>
            <rFont val="Tahoma"/>
            <family val="2"/>
          </rPr>
          <t xml:space="preserve">SCB: 
</t>
        </r>
        <r>
          <rPr>
            <sz val="8"/>
            <color indexed="81"/>
            <rFont val="Tahoma"/>
            <family val="2"/>
          </rPr>
          <t xml:space="preserve">Beloppet länkas från rad 630 i avdelningen "Verksamhetens intäkter och kostnader". Ersättning från och till FK ska bruttoredovisas.
</t>
        </r>
      </text>
    </comment>
  </commentList>
</comments>
</file>

<file path=xl/sharedStrings.xml><?xml version="1.0" encoding="utf-8"?>
<sst xmlns="http://schemas.openxmlformats.org/spreadsheetml/2006/main" count="1612" uniqueCount="1253">
  <si>
    <t>i kommunens koncernföretag</t>
  </si>
  <si>
    <t>hos kommunens koncernföretag</t>
  </si>
  <si>
    <t>135</t>
  </si>
  <si>
    <t>Förvaltningsavgifter</t>
  </si>
  <si>
    <t>139</t>
  </si>
  <si>
    <t>13 (ej 139)</t>
  </si>
  <si>
    <t>10-13 (ej 139)</t>
  </si>
  <si>
    <t>FINANSIELLA INTÄKTER ENL RR</t>
  </si>
  <si>
    <t>FINANSIELLA KOSTNADER ENL RR</t>
  </si>
  <si>
    <t xml:space="preserve">Obligationer, förlagsbevis m.m. samt certifikat </t>
  </si>
  <si>
    <t>Personalens källskatt</t>
  </si>
  <si>
    <t>298</t>
  </si>
  <si>
    <t>Förutbetalda skatteintäkter</t>
  </si>
  <si>
    <t>Verksamhetsblock/-områden</t>
  </si>
  <si>
    <t>EGENTLIG VERKSAMHET</t>
  </si>
  <si>
    <t>Politisk verksamhet, totalt</t>
  </si>
  <si>
    <t>Parker</t>
  </si>
  <si>
    <t>Räddningstjänst</t>
  </si>
  <si>
    <t>Övrig utbildning</t>
  </si>
  <si>
    <t>Utbildning, totalt</t>
  </si>
  <si>
    <t>SUMMA EGENTLIG VERKSAMHET</t>
  </si>
  <si>
    <t>Hamnverksamhet</t>
  </si>
  <si>
    <t>Kommersiell verksamhet</t>
  </si>
  <si>
    <t>Bostadsverksamhet</t>
  </si>
  <si>
    <t>Näringsliv och bostäder, totalt</t>
  </si>
  <si>
    <t>Sjötrafik</t>
  </si>
  <si>
    <t>Kommunikationer, totalt</t>
  </si>
  <si>
    <t>Fjärrvärmeförsörjning</t>
  </si>
  <si>
    <t>Vattenförsörjning och avloppshantering</t>
  </si>
  <si>
    <t>Avfallshantering</t>
  </si>
  <si>
    <t>SUMMA AFFÄRSVERKSAMHET</t>
  </si>
  <si>
    <t>Gemensamma lokaler</t>
  </si>
  <si>
    <t>Gemensamma verksamheter</t>
  </si>
  <si>
    <t>TOTALSUMMA</t>
  </si>
  <si>
    <t>Personalkostnader</t>
  </si>
  <si>
    <t xml:space="preserve">Externa varor, tjänster och bidrag  </t>
  </si>
  <si>
    <t>Lokal- och anläggningskostnader</t>
  </si>
  <si>
    <t>Externa intäkter</t>
  </si>
  <si>
    <t xml:space="preserve">Interna </t>
  </si>
  <si>
    <t>BRUTTO-</t>
  </si>
  <si>
    <t>intäkter</t>
  </si>
  <si>
    <t>KOSTNAD</t>
  </si>
  <si>
    <t>kostnad</t>
  </si>
  <si>
    <t>[45]</t>
  </si>
  <si>
    <t>[601]</t>
  </si>
  <si>
    <t>[341]</t>
  </si>
  <si>
    <t>Block 1. POLITISK VERKSAMHET</t>
  </si>
  <si>
    <t>Nämnd- och styrelseverksamhet</t>
  </si>
  <si>
    <t>Kommentarer politisk verksamhet:</t>
  </si>
  <si>
    <t>Stöd till politiska partier</t>
  </si>
  <si>
    <t>Revision</t>
  </si>
  <si>
    <t xml:space="preserve">Övrig politisk verksamhet </t>
  </si>
  <si>
    <t>POLITISK VERKSAMHET, TOTALT</t>
  </si>
  <si>
    <t>Block 2. INFRASTRUKTUR, SKYDD mm</t>
  </si>
  <si>
    <t>Fysisk o.teknisk planering, bostadsförbättr.</t>
  </si>
  <si>
    <t>Näringslivsfrämjande åtgärder</t>
  </si>
  <si>
    <t>Konsument- och energirådgivning</t>
  </si>
  <si>
    <t>Turistverksamhet</t>
  </si>
  <si>
    <t>Beskrivning av nyckeltalen</t>
  </si>
  <si>
    <t>Miljö- och hälsoskydd, myndighetsutövning</t>
  </si>
  <si>
    <t>Miljö- hälsa och hållbar utveckling</t>
  </si>
  <si>
    <t>Alkoholtillstånd m.m.</t>
  </si>
  <si>
    <t xml:space="preserve">Totalförsvar och samhällsskydd  </t>
  </si>
  <si>
    <t>INFRASTRUKTUR, SKYDD mm TOTALT</t>
  </si>
  <si>
    <t>Block 3.  KULTUR OCH FRITID</t>
  </si>
  <si>
    <t>Kulturverksamhet</t>
  </si>
  <si>
    <t>Stöd till studieorganisationer</t>
  </si>
  <si>
    <t>Allmän kulturverksamhet, övrigt</t>
  </si>
  <si>
    <t>Bibliotek</t>
  </si>
  <si>
    <t>Musikskola / kulturskola</t>
  </si>
  <si>
    <t>Kulturverksamhet totalt</t>
  </si>
  <si>
    <t>Fritidsverksamhet</t>
  </si>
  <si>
    <t>Allmän fritidsverksamhet</t>
  </si>
  <si>
    <t>Idrotts- och fritidsanläggningar</t>
  </si>
  <si>
    <t>Fritidsgårdar</t>
  </si>
  <si>
    <t>Fritidsverksamhet, totalt</t>
  </si>
  <si>
    <t xml:space="preserve"> KULTUR OCH FRITID, TOTALT</t>
  </si>
  <si>
    <t>Block 4. PEDAGOGISK VERKSAMHET</t>
  </si>
  <si>
    <t>Öppen förskola</t>
  </si>
  <si>
    <t>Förskola</t>
  </si>
  <si>
    <t>Pedagogisk omsorg</t>
  </si>
  <si>
    <t>Öppen fritidsverksamhet</t>
  </si>
  <si>
    <t>Fritidshem</t>
  </si>
  <si>
    <t>Skolväsendet för barn- o ungdom</t>
  </si>
  <si>
    <t>Gymnasieskola</t>
  </si>
  <si>
    <t>Skolväsendet för barn o ungdom totalt</t>
  </si>
  <si>
    <t>Kommunal vuxenutbildning</t>
  </si>
  <si>
    <t>Högskoleutbildning m.m.</t>
  </si>
  <si>
    <t>Verksamhetens kostnad enligt RR</t>
  </si>
  <si>
    <t>Verksamhetens intäkter enl. RR</t>
  </si>
  <si>
    <t>Verksamhetens kostnader enl. RR</t>
  </si>
  <si>
    <t>Verksamhetens intäkter enl.RR</t>
  </si>
  <si>
    <t xml:space="preserve">Svenska för invandrare </t>
  </si>
  <si>
    <t>Utbildning inkl. förskoleklass</t>
  </si>
  <si>
    <t>PEDAGOGISK VERKSAMH., TOTALT</t>
  </si>
  <si>
    <t>Block 5. VÅRD O OMSORG</t>
  </si>
  <si>
    <t>Primärvård</t>
  </si>
  <si>
    <t>Hälso- och sjukvård, övrigt exkl. hemsjukvård</t>
  </si>
  <si>
    <t xml:space="preserve">Vård, omsorg: äldre och personer med funktionsnedsättning </t>
  </si>
  <si>
    <t>Färdtjänst/riksfärdtjänst</t>
  </si>
  <si>
    <t>Öppen verksamhet</t>
  </si>
  <si>
    <t>VoO: äldre, personer m.funktionsneds., tot.</t>
  </si>
  <si>
    <t xml:space="preserve">Individ- och familjeomsorg               </t>
  </si>
  <si>
    <t>Barn och ungdomsvård</t>
  </si>
  <si>
    <t>Ekonomiskt bistånd</t>
  </si>
  <si>
    <t xml:space="preserve">Individ- och familjeomsorg, totalt </t>
  </si>
  <si>
    <t>Familjerätt och familjerådgivning</t>
  </si>
  <si>
    <t>VÅRD OCH OMSORG, TOTALT</t>
  </si>
  <si>
    <t>Block 6. SÄRSKILT RIKTADE INSATSER</t>
  </si>
  <si>
    <r>
      <t>Insatser till personer med funktionsnedsättning (exkl LSS/SFB</t>
    </r>
    <r>
      <rPr>
        <b/>
        <vertAlign val="superscript"/>
        <sz val="7"/>
        <rFont val="Helvetica"/>
        <family val="2"/>
      </rPr>
      <t>1</t>
    </r>
    <r>
      <rPr>
        <b/>
        <sz val="7"/>
        <rFont val="Helvetica"/>
        <family val="2"/>
      </rPr>
      <t>)</t>
    </r>
  </si>
  <si>
    <t>Flyktingmottagande</t>
  </si>
  <si>
    <t xml:space="preserve">Arbetsmarknadsåtgärder </t>
  </si>
  <si>
    <t>SÄRSKILT RIKTADE INSATSER,TOTALT</t>
  </si>
  <si>
    <t>AFFÄRSVERKSAMHET</t>
  </si>
  <si>
    <t>Näringsliv och bostäder</t>
  </si>
  <si>
    <t>Arbetsområden och lokaler</t>
  </si>
  <si>
    <t>Kommunikationer</t>
  </si>
  <si>
    <t>Flygtrafik</t>
  </si>
  <si>
    <t>Energi, vatten och avfall</t>
  </si>
  <si>
    <t>Elförsörjning + gasförsörjning</t>
  </si>
  <si>
    <t>Energi, vatten och avfall, totalt</t>
  </si>
  <si>
    <t>SUMMA DRIFTVERKSAMHET</t>
  </si>
  <si>
    <t>Nettokostnad gemensamma verksamheter</t>
  </si>
  <si>
    <t>Kommuner</t>
  </si>
  <si>
    <t>Kommunal-</t>
  </si>
  <si>
    <t>Staten och</t>
  </si>
  <si>
    <t>Differens</t>
  </si>
  <si>
    <t xml:space="preserve"> stiftelser</t>
  </si>
  <si>
    <t>företag</t>
  </si>
  <si>
    <t>förbund</t>
  </si>
  <si>
    <t>statl.myndigh.</t>
  </si>
  <si>
    <t>[358]</t>
  </si>
  <si>
    <t xml:space="preserve">Fritidsverksamhet, totalt  </t>
  </si>
  <si>
    <t xml:space="preserve">Gymnasieskola </t>
  </si>
  <si>
    <t xml:space="preserve"> därav  inst. vård för vuxna med missbruksprob.</t>
  </si>
  <si>
    <t>Övrig Ifo + fam.rätt (rad 571+ 575+585)</t>
  </si>
  <si>
    <t>Arbetsmarknadsåtgärder</t>
  </si>
  <si>
    <t>Summa affärsverksamhet</t>
  </si>
  <si>
    <t>Gemensam verksamhet (inkl. lokaler)</t>
  </si>
  <si>
    <t>Brutto-</t>
  </si>
  <si>
    <t>Nyckeltal</t>
  </si>
  <si>
    <t xml:space="preserve">Interna kostnader </t>
  </si>
  <si>
    <t xml:space="preserve">Fördelning av gemensamma verksamheter </t>
  </si>
  <si>
    <t>Interna intäkter</t>
  </si>
  <si>
    <t>Balanskravsresultat</t>
  </si>
  <si>
    <t>Årets resultat enligt resultaträkningen</t>
  </si>
  <si>
    <t>intäkt</t>
  </si>
  <si>
    <t>Infrastruktur, skydd mm totalt</t>
  </si>
  <si>
    <t>Utlandet</t>
  </si>
  <si>
    <t>-/+ Nedskrivningar/återföring av nedskrivning</t>
  </si>
  <si>
    <t>Anhörigbidrag</t>
  </si>
  <si>
    <t>Sjuklön</t>
  </si>
  <si>
    <t>Vatten och avlopp</t>
  </si>
  <si>
    <t>Öppen förskola och öppen fritidsverksamhet</t>
  </si>
  <si>
    <t>Summa vård och omsorg om äldre</t>
  </si>
  <si>
    <t>Daglig verksamhet enligt LSS</t>
  </si>
  <si>
    <t>Övriga insatser enligt LSS</t>
  </si>
  <si>
    <t>Öppna insatser, individuellt behovsprövad öppen vård</t>
  </si>
  <si>
    <t>Öppna insatser, bistånd som avser boende</t>
  </si>
  <si>
    <t>Öppna insatser, övriga</t>
  </si>
  <si>
    <r>
      <t xml:space="preserve">Konto </t>
    </r>
    <r>
      <rPr>
        <b/>
        <sz val="8"/>
        <rFont val="Helvetica"/>
        <family val="2"/>
      </rPr>
      <t>[354]</t>
    </r>
    <r>
      <rPr>
        <sz val="8"/>
        <rFont val="Helvetica"/>
        <family val="2"/>
      </rPr>
      <t xml:space="preserve"> kommunens ersättning </t>
    </r>
    <r>
      <rPr>
        <b/>
        <sz val="8"/>
        <rFont val="Helvetica"/>
        <family val="2"/>
      </rPr>
      <t>från</t>
    </r>
    <r>
      <rPr>
        <sz val="8"/>
        <rFont val="Helvetica"/>
        <family val="2"/>
      </rPr>
      <t xml:space="preserve"> Försäkringskassan för personlig assistent enligt SFB, tkr</t>
    </r>
  </si>
  <si>
    <r>
      <t xml:space="preserve">Konto </t>
    </r>
    <r>
      <rPr>
        <b/>
        <sz val="8"/>
        <rFont val="Helvetica"/>
        <family val="2"/>
      </rPr>
      <t>[4538]</t>
    </r>
    <r>
      <rPr>
        <sz val="8"/>
        <rFont val="Helvetica"/>
        <family val="2"/>
      </rPr>
      <t xml:space="preserve"> kommunens ersättning</t>
    </r>
    <r>
      <rPr>
        <b/>
        <sz val="8"/>
        <rFont val="Helvetica"/>
        <family val="2"/>
      </rPr>
      <t xml:space="preserve"> till</t>
    </r>
    <r>
      <rPr>
        <sz val="8"/>
        <rFont val="Helvetica"/>
        <family val="2"/>
      </rPr>
      <t xml:space="preserve"> Försäkringskassan för personlig assistent enligt  SFB, tkr</t>
    </r>
  </si>
  <si>
    <t>Familjehemsvård för barn och unga</t>
  </si>
  <si>
    <t>Summa barn- och ungdomsvård</t>
  </si>
  <si>
    <t>Övriga insatser till vuxna</t>
  </si>
  <si>
    <t>Familjerätt</t>
  </si>
  <si>
    <t>Familjerådgivning</t>
  </si>
  <si>
    <t>Summa individ- och familjeomsorg</t>
  </si>
  <si>
    <t>Därav</t>
  </si>
  <si>
    <t>inventarier</t>
  </si>
  <si>
    <t>tekn.anläggn.</t>
  </si>
  <si>
    <t>Näringsl.främj.åtg, turistv.o konsum.-ener.rådg</t>
  </si>
  <si>
    <t>17 [ej 178]</t>
  </si>
  <si>
    <t>Miljö- och hälsoskydd och alkoholtillstånd</t>
  </si>
  <si>
    <t>Totalförsvar och samhällsskydd</t>
  </si>
  <si>
    <t>Infrastruktur, skydd m.m. totalt</t>
  </si>
  <si>
    <t>Kultur och fritid, totalt</t>
  </si>
  <si>
    <r>
      <t>Utbildning</t>
    </r>
    <r>
      <rPr>
        <sz val="7"/>
        <rFont val="Helvetica"/>
        <family val="2"/>
      </rPr>
      <t xml:space="preserve">                                            </t>
    </r>
  </si>
  <si>
    <t>Pedagogisk verksamhet, totalt</t>
  </si>
  <si>
    <r>
      <t xml:space="preserve">Vård och omsorg </t>
    </r>
    <r>
      <rPr>
        <sz val="7"/>
        <rFont val="Helvetica"/>
        <family val="2"/>
      </rPr>
      <t xml:space="preserve">                                    
Primärvård</t>
    </r>
  </si>
  <si>
    <t>Individ o familjeomsorg totalt, familjerätt</t>
  </si>
  <si>
    <t xml:space="preserve">Vård och omsorg, totalt                                    </t>
  </si>
  <si>
    <t>Särskilt riktade insatser, totalt</t>
  </si>
  <si>
    <r>
      <t>Kommunikationer</t>
    </r>
    <r>
      <rPr>
        <sz val="7"/>
        <rFont val="Helvetica"/>
        <family val="2"/>
      </rPr>
      <t xml:space="preserve">                                                         Flygtrafik</t>
    </r>
  </si>
  <si>
    <r>
      <t>Energi, vatten och avfall</t>
    </r>
    <r>
      <rPr>
        <sz val="7"/>
        <rFont val="Helvetica"/>
        <family val="2"/>
      </rPr>
      <t xml:space="preserve">                                        
El- och gasförsörjning</t>
    </r>
  </si>
  <si>
    <t>Energi, vatten och avfall,totalt</t>
  </si>
  <si>
    <t>Ange kommunens kostnad för rådgivning och annat personligt stöd enl 9 § punkt 1 LSS, tkr</t>
  </si>
  <si>
    <t>EU-bidrag (driftbidrag)</t>
  </si>
  <si>
    <t>Löner</t>
  </si>
  <si>
    <t>Boende enl. LSS för vuxna</t>
  </si>
  <si>
    <t>ägda företag</t>
  </si>
  <si>
    <t>Föreningar,</t>
  </si>
  <si>
    <t>Privata</t>
  </si>
  <si>
    <t xml:space="preserve">Summa öppna insatser vuxna </t>
  </si>
  <si>
    <t>HVB-vård för barn och unga</t>
  </si>
  <si>
    <t>Vård för vuxna med missbruksproblem</t>
  </si>
  <si>
    <r>
      <t xml:space="preserve">Övriga </t>
    </r>
    <r>
      <rPr>
        <b/>
        <sz val="7"/>
        <rFont val="Helvetica"/>
        <family val="2"/>
      </rPr>
      <t/>
    </r>
  </si>
  <si>
    <t>Rad  nr</t>
  </si>
  <si>
    <t>Summa vård för vuxna med missbruksproblem</t>
  </si>
  <si>
    <t xml:space="preserve"> därav  HVB-vård för barn och unga</t>
  </si>
  <si>
    <t xml:space="preserve">Summa öppna insatser för barn och unga </t>
  </si>
  <si>
    <t>178</t>
  </si>
  <si>
    <t>Kalkylerad PO + Kalkylerad kapitalkostn.</t>
  </si>
  <si>
    <t>Interna kostnader</t>
  </si>
  <si>
    <t>Jämförelsestörande kostnader</t>
  </si>
  <si>
    <t>Jämförelsestörande intäkter</t>
  </si>
  <si>
    <t>100</t>
  </si>
  <si>
    <t>110</t>
  </si>
  <si>
    <t>120</t>
  </si>
  <si>
    <t>130</t>
  </si>
  <si>
    <t>190</t>
  </si>
  <si>
    <t>215</t>
  </si>
  <si>
    <t>220</t>
  </si>
  <si>
    <t>230</t>
  </si>
  <si>
    <t>249</t>
  </si>
  <si>
    <t>250</t>
  </si>
  <si>
    <t>261</t>
  </si>
  <si>
    <t>263</t>
  </si>
  <si>
    <t>267</t>
  </si>
  <si>
    <t>270</t>
  </si>
  <si>
    <t>275</t>
  </si>
  <si>
    <t>290</t>
  </si>
  <si>
    <t>310</t>
  </si>
  <si>
    <t>315</t>
  </si>
  <si>
    <t>320</t>
  </si>
  <si>
    <t>330</t>
  </si>
  <si>
    <t>339</t>
  </si>
  <si>
    <t>300</t>
  </si>
  <si>
    <t>340</t>
  </si>
  <si>
    <t>350</t>
  </si>
  <si>
    <t>359</t>
  </si>
  <si>
    <t>390</t>
  </si>
  <si>
    <t>400</t>
  </si>
  <si>
    <t>407</t>
  </si>
  <si>
    <t>412</t>
  </si>
  <si>
    <t>415</t>
  </si>
  <si>
    <t>425</t>
  </si>
  <si>
    <t>430</t>
  </si>
  <si>
    <t>443</t>
  </si>
  <si>
    <t>450</t>
  </si>
  <si>
    <t>453</t>
  </si>
  <si>
    <t>469</t>
  </si>
  <si>
    <t>474</t>
  </si>
  <si>
    <t>475</t>
  </si>
  <si>
    <t>478</t>
  </si>
  <si>
    <t>480</t>
  </si>
  <si>
    <t>490</t>
  </si>
  <si>
    <t>500</t>
  </si>
  <si>
    <t>505</t>
  </si>
  <si>
    <t>513</t>
  </si>
  <si>
    <t>530</t>
  </si>
  <si>
    <t>600</t>
  </si>
  <si>
    <t>610</t>
  </si>
  <si>
    <t>690</t>
  </si>
  <si>
    <t>790</t>
  </si>
  <si>
    <t>800</t>
  </si>
  <si>
    <t>805</t>
  </si>
  <si>
    <t>810</t>
  </si>
  <si>
    <t>815</t>
  </si>
  <si>
    <t>820</t>
  </si>
  <si>
    <t>830</t>
  </si>
  <si>
    <t>832</t>
  </si>
  <si>
    <t>834</t>
  </si>
  <si>
    <t>840</t>
  </si>
  <si>
    <t>855</t>
  </si>
  <si>
    <t>860</t>
  </si>
  <si>
    <t>865</t>
  </si>
  <si>
    <t>870</t>
  </si>
  <si>
    <t>880</t>
  </si>
  <si>
    <t>890</t>
  </si>
  <si>
    <t>900</t>
  </si>
  <si>
    <t>910</t>
  </si>
  <si>
    <t>920</t>
  </si>
  <si>
    <t>950</t>
  </si>
  <si>
    <t>010</t>
  </si>
  <si>
    <t>020</t>
  </si>
  <si>
    <t>025</t>
  </si>
  <si>
    <t>030</t>
  </si>
  <si>
    <t>040</t>
  </si>
  <si>
    <t>050</t>
  </si>
  <si>
    <t>060</t>
  </si>
  <si>
    <t>070</t>
  </si>
  <si>
    <t>080</t>
  </si>
  <si>
    <t>015</t>
  </si>
  <si>
    <t>021</t>
  </si>
  <si>
    <t>023</t>
  </si>
  <si>
    <t>036</t>
  </si>
  <si>
    <t>037</t>
  </si>
  <si>
    <t>033</t>
  </si>
  <si>
    <t>032</t>
  </si>
  <si>
    <t>031</t>
  </si>
  <si>
    <t>034</t>
  </si>
  <si>
    <t>035</t>
  </si>
  <si>
    <t>039</t>
  </si>
  <si>
    <t>045</t>
  </si>
  <si>
    <t>046</t>
  </si>
  <si>
    <t>051</t>
  </si>
  <si>
    <t>055</t>
  </si>
  <si>
    <t>053</t>
  </si>
  <si>
    <t>054</t>
  </si>
  <si>
    <t>056</t>
  </si>
  <si>
    <t>065</t>
  </si>
  <si>
    <t>069</t>
  </si>
  <si>
    <t>999</t>
  </si>
  <si>
    <t>052</t>
  </si>
  <si>
    <t>066</t>
  </si>
  <si>
    <t>073</t>
  </si>
  <si>
    <t>074</t>
  </si>
  <si>
    <t>075</t>
  </si>
  <si>
    <t>076</t>
  </si>
  <si>
    <t>071</t>
  </si>
  <si>
    <t>077</t>
  </si>
  <si>
    <t>078</t>
  </si>
  <si>
    <t>079</t>
  </si>
  <si>
    <t>081</t>
  </si>
  <si>
    <t>082</t>
  </si>
  <si>
    <t>083</t>
  </si>
  <si>
    <t>084</t>
  </si>
  <si>
    <t>085</t>
  </si>
  <si>
    <t>089</t>
  </si>
  <si>
    <t>090</t>
  </si>
  <si>
    <t>086</t>
  </si>
  <si>
    <t>091</t>
  </si>
  <si>
    <t>092</t>
  </si>
  <si>
    <t>093</t>
  </si>
  <si>
    <t>094</t>
  </si>
  <si>
    <t>095</t>
  </si>
  <si>
    <t>096</t>
  </si>
  <si>
    <t>097</t>
  </si>
  <si>
    <t>098</t>
  </si>
  <si>
    <t>099</t>
  </si>
  <si>
    <t>121</t>
  </si>
  <si>
    <t>122</t>
  </si>
  <si>
    <t>140</t>
  </si>
  <si>
    <t>150</t>
  </si>
  <si>
    <t>160</t>
  </si>
  <si>
    <t>088</t>
  </si>
  <si>
    <t>101</t>
  </si>
  <si>
    <t>239</t>
  </si>
  <si>
    <t>269</t>
  </si>
  <si>
    <t>459</t>
  </si>
  <si>
    <t>479</t>
  </si>
  <si>
    <t>580</t>
  </si>
  <si>
    <t>590</t>
  </si>
  <si>
    <t>- Avskrivningar</t>
  </si>
  <si>
    <t>+/- Övriga förändringar</t>
  </si>
  <si>
    <t>990</t>
  </si>
  <si>
    <t>991</t>
  </si>
  <si>
    <t>992</t>
  </si>
  <si>
    <t>993</t>
  </si>
  <si>
    <t>994</t>
  </si>
  <si>
    <t>995</t>
  </si>
  <si>
    <t>Eget kapital, avsättningar och skulder</t>
  </si>
  <si>
    <t>Verksamhetens intäkter</t>
  </si>
  <si>
    <t>Verksamhetens kostnader</t>
  </si>
  <si>
    <t>Kommunal regi</t>
  </si>
  <si>
    <t>Förskola, personalkostnad andel av total kostnad kommunal regi.</t>
  </si>
  <si>
    <t>Övriga insatser i ordinärt boende</t>
  </si>
  <si>
    <t>IB Anläggningstillgångar</t>
  </si>
  <si>
    <t>UB Anläggningstillgångar</t>
  </si>
  <si>
    <t>Insatser till personer med funktionsnedsättning (ej LSS/SFB)</t>
  </si>
  <si>
    <t>Insatser enligt LSS/SFB</t>
  </si>
  <si>
    <t>Fritidshem, personalkostnad andel av total kostnad kommunal regi.</t>
  </si>
  <si>
    <t>Förskoleklass, personalkostnad andel av total kostnad kommunal regi.</t>
  </si>
  <si>
    <t>Grundskola</t>
  </si>
  <si>
    <t>Grundläggande vuxenutbildning</t>
  </si>
  <si>
    <t>Gymnasial vuxen- och påbyggnadsutbildning</t>
  </si>
  <si>
    <t>251</t>
  </si>
  <si>
    <t>255</t>
  </si>
  <si>
    <t>257</t>
  </si>
  <si>
    <t>351</t>
  </si>
  <si>
    <t>355</t>
  </si>
  <si>
    <t>357</t>
  </si>
  <si>
    <t>35</t>
  </si>
  <si>
    <t>401</t>
  </si>
  <si>
    <t>402</t>
  </si>
  <si>
    <t>404</t>
  </si>
  <si>
    <t>405</t>
  </si>
  <si>
    <t>406</t>
  </si>
  <si>
    <t>408</t>
  </si>
  <si>
    <t>4081</t>
  </si>
  <si>
    <t>431</t>
  </si>
  <si>
    <t>435</t>
  </si>
  <si>
    <t>439</t>
  </si>
  <si>
    <t>07</t>
  </si>
  <si>
    <t>40</t>
  </si>
  <si>
    <t>43</t>
  </si>
  <si>
    <t>432</t>
  </si>
  <si>
    <t>434</t>
  </si>
  <si>
    <t>436</t>
  </si>
  <si>
    <t>437</t>
  </si>
  <si>
    <t>438</t>
  </si>
  <si>
    <t>4381</t>
  </si>
  <si>
    <t>50</t>
  </si>
  <si>
    <t>501</t>
  </si>
  <si>
    <t>502</t>
  </si>
  <si>
    <t>504</t>
  </si>
  <si>
    <t>506</t>
  </si>
  <si>
    <t>507</t>
  </si>
  <si>
    <t>508</t>
  </si>
  <si>
    <t>5081</t>
  </si>
  <si>
    <t>53</t>
  </si>
  <si>
    <t>531</t>
  </si>
  <si>
    <t>532</t>
  </si>
  <si>
    <t>534</t>
  </si>
  <si>
    <t>535</t>
  </si>
  <si>
    <t>536</t>
  </si>
  <si>
    <t>537</t>
  </si>
  <si>
    <t>538</t>
  </si>
  <si>
    <t>5381</t>
  </si>
  <si>
    <t>70</t>
  </si>
  <si>
    <t>701</t>
  </si>
  <si>
    <t>702</t>
  </si>
  <si>
    <t>706</t>
  </si>
  <si>
    <t>707</t>
  </si>
  <si>
    <t>708</t>
  </si>
  <si>
    <t>7081</t>
  </si>
  <si>
    <t>72</t>
  </si>
  <si>
    <t>721</t>
  </si>
  <si>
    <t>722</t>
  </si>
  <si>
    <t>726</t>
  </si>
  <si>
    <t>727</t>
  </si>
  <si>
    <t>728</t>
  </si>
  <si>
    <t>7281</t>
  </si>
  <si>
    <t>520</t>
  </si>
  <si>
    <t>510</t>
  </si>
  <si>
    <t>Hälso- o sjukvård, primärvård  (rad 500+505)</t>
  </si>
  <si>
    <t xml:space="preserve">Institutionsvård vuxna </t>
  </si>
  <si>
    <t>569</t>
  </si>
  <si>
    <t>559</t>
  </si>
  <si>
    <t>575</t>
  </si>
  <si>
    <t>571</t>
  </si>
  <si>
    <t xml:space="preserve">Korttidsboende </t>
  </si>
  <si>
    <t>Hemtjänst i ordinärt  boende</t>
  </si>
  <si>
    <t>Dagverksamhet,  ordinärt boende</t>
  </si>
  <si>
    <t>Hemtjänst i ordinärt boende</t>
  </si>
  <si>
    <t>Boendestöd i ordinärt boende</t>
  </si>
  <si>
    <t>585</t>
  </si>
  <si>
    <t>103</t>
  </si>
  <si>
    <t>Summering</t>
  </si>
  <si>
    <r>
      <t>Insatser enligt LSS/SFB</t>
    </r>
    <r>
      <rPr>
        <b/>
        <vertAlign val="superscript"/>
        <sz val="7"/>
        <rFont val="Helvetica"/>
        <family val="2"/>
      </rPr>
      <t>1</t>
    </r>
  </si>
  <si>
    <t xml:space="preserve">Insatser till personer med funktionneds. </t>
  </si>
  <si>
    <t>Övriga periodiseringar</t>
  </si>
  <si>
    <t>901</t>
  </si>
  <si>
    <t>Övrigt</t>
  </si>
  <si>
    <t>Verksamhet/skolform</t>
  </si>
  <si>
    <t/>
  </si>
  <si>
    <t>0799</t>
  </si>
  <si>
    <t>07991</t>
  </si>
  <si>
    <t>Därav avgifter för verksamhet i enskild regi</t>
  </si>
  <si>
    <t>Nyckeltal kr/inv</t>
  </si>
  <si>
    <t>Däravposter till kommunernas tillgångar</t>
  </si>
  <si>
    <t>Externa lokalhyror</t>
  </si>
  <si>
    <t>Interna köp och övriga interna kostnader</t>
  </si>
  <si>
    <t>Fördelad gemensam verksamhet</t>
  </si>
  <si>
    <t>Externa bostadshyror o lokalhyror</t>
  </si>
  <si>
    <t>Övriga externa intäkter</t>
  </si>
  <si>
    <t>Föreningar stiftelser</t>
  </si>
  <si>
    <t>Privata företag</t>
  </si>
  <si>
    <t>Staten och statl. myndigheter</t>
  </si>
  <si>
    <t>Driftbidrag från EU</t>
  </si>
  <si>
    <t>Markhyror och bidrag</t>
  </si>
  <si>
    <t>BRUTTO-KOSTNAD</t>
  </si>
  <si>
    <t>BRUTTO-INTÄKT</t>
  </si>
  <si>
    <t>Rad- nr</t>
  </si>
  <si>
    <t>440</t>
  </si>
  <si>
    <t>Förskoleklass</t>
  </si>
  <si>
    <t>Särskilt boende/annat boende</t>
  </si>
  <si>
    <t>Realiserade valutakursvinster</t>
  </si>
  <si>
    <t>986</t>
  </si>
  <si>
    <t>987</t>
  </si>
  <si>
    <t>988</t>
  </si>
  <si>
    <t>989</t>
  </si>
  <si>
    <t>470</t>
  </si>
  <si>
    <t>472</t>
  </si>
  <si>
    <t>Upplupna skatteintäkter</t>
  </si>
  <si>
    <t>Vård och omsorg om äldre</t>
  </si>
  <si>
    <t xml:space="preserve">Vård för vuxna med missbruksproblem </t>
  </si>
  <si>
    <t xml:space="preserve">Barn- och ungdomsvård </t>
  </si>
  <si>
    <t xml:space="preserve">Familjerätt och familjerådgivning </t>
  </si>
  <si>
    <t>Kommun-</t>
  </si>
  <si>
    <t>+ Reavinst</t>
  </si>
  <si>
    <t>Kommunägda företag</t>
  </si>
  <si>
    <t>Familjehemsvård för vuxna</t>
  </si>
  <si>
    <t xml:space="preserve"> Avgifter</t>
  </si>
  <si>
    <t>Kalkylerad personal-omkostnad</t>
  </si>
  <si>
    <t>Kalkylerade kapital-kostnader</t>
  </si>
  <si>
    <t>540</t>
  </si>
  <si>
    <t>519</t>
  </si>
  <si>
    <t>Insatser till personer med funktionsnedsättning totalt (inkl LSS)</t>
  </si>
  <si>
    <t>Från driftredovis-ningen</t>
  </si>
  <si>
    <t>Skolskjuts, reseersättning o inackordering</t>
  </si>
  <si>
    <t xml:space="preserve"> Fördelad gemensam verksamhet</t>
  </si>
  <si>
    <t>Undervisning</t>
  </si>
  <si>
    <t>Förändring i %</t>
  </si>
  <si>
    <t>Differens grundskolan</t>
  </si>
  <si>
    <t>Differens gymnasieskolan</t>
  </si>
  <si>
    <t>Differens grundläggande vuxenutbildning</t>
  </si>
  <si>
    <t>Differens gymnasial vuxenutbildning</t>
  </si>
  <si>
    <t>Differens mot drift-  redovisningen</t>
  </si>
  <si>
    <t>Vård och omsorg om äldre (från motpart)</t>
  </si>
  <si>
    <t>inv 21-64 år</t>
  </si>
  <si>
    <t>Summa familjerätt och familjerådgivning</t>
  </si>
  <si>
    <t>inv 0-20 år</t>
  </si>
  <si>
    <t>invånare</t>
  </si>
  <si>
    <t>inv 0-17 år</t>
  </si>
  <si>
    <t>inv 18-69 år</t>
  </si>
  <si>
    <t>Finansiella nyckeltal</t>
  </si>
  <si>
    <t>Försäljn.av anl.tillg. i % av skatteintäkter, generella statsbidrag o utj.</t>
  </si>
  <si>
    <t>Andel investeringar som finansieras med försäljn. av anl.tillg.</t>
  </si>
  <si>
    <t>Måltider</t>
  </si>
  <si>
    <t>Förskola, avgiftsfinansierringsgrad %</t>
  </si>
  <si>
    <t>Fritidshem, avgiftsfinansieringsgrad</t>
  </si>
  <si>
    <t>Soliditet, % enligt balansräkningen</t>
  </si>
  <si>
    <t>Soliditet, % inkl. pensionsåtaganden före 1998</t>
  </si>
  <si>
    <t>Långfristiga skulder exkl. utlåning till kommunägda bolag</t>
  </si>
  <si>
    <t>Verksamhetens självfinansieringsgrad</t>
  </si>
  <si>
    <t>Förs. expl.fastigheter, tomträtter [37]</t>
  </si>
  <si>
    <t>Interna lokal-kostnader</t>
  </si>
  <si>
    <t>Utlämnade lån till koncernföretag  (rad 088)</t>
  </si>
  <si>
    <t xml:space="preserve">Därav från gemensamma verksamheter  </t>
  </si>
  <si>
    <t xml:space="preserve">Boende enligt LSS för barn och unga </t>
  </si>
  <si>
    <t>Förskola, fritidshem och annan pedagogisk verksamhet</t>
  </si>
  <si>
    <t>Därav lokalkostnader</t>
  </si>
  <si>
    <t>Lokalkostnader</t>
  </si>
  <si>
    <t>Invånarantal 19 - 64</t>
  </si>
  <si>
    <t>Förskola, totalt</t>
  </si>
  <si>
    <t>Fritidshem, totalt</t>
  </si>
  <si>
    <t>Förskoleklass, totalt</t>
  </si>
  <si>
    <t>Grundskola, totalt</t>
  </si>
  <si>
    <t>Gymnasieskola, totalt</t>
  </si>
  <si>
    <t>Specificering av vissa intäkter (i kol.övr. externa intäkter)</t>
  </si>
  <si>
    <t>Grundläggande vuxenutbildning, totalt</t>
  </si>
  <si>
    <t>Gymnasial vuxen- och påbyggnadsutbildning, totalt</t>
  </si>
  <si>
    <t>1321</t>
  </si>
  <si>
    <t>Rad nr</t>
  </si>
  <si>
    <t>5731</t>
  </si>
  <si>
    <t>5732</t>
  </si>
  <si>
    <t>07911</t>
  </si>
  <si>
    <t>07912</t>
  </si>
  <si>
    <t>07951</t>
  </si>
  <si>
    <t>2599</t>
  </si>
  <si>
    <t>25991</t>
  </si>
  <si>
    <t>253</t>
  </si>
  <si>
    <t>3521</t>
  </si>
  <si>
    <t>3522</t>
  </si>
  <si>
    <t>4091</t>
  </si>
  <si>
    <t>4092</t>
  </si>
  <si>
    <t>4094</t>
  </si>
  <si>
    <t>4391</t>
  </si>
  <si>
    <t>4392</t>
  </si>
  <si>
    <t>4393</t>
  </si>
  <si>
    <t>4394</t>
  </si>
  <si>
    <t>3524</t>
  </si>
  <si>
    <t>2524</t>
  </si>
  <si>
    <t>0724</t>
  </si>
  <si>
    <t>5091</t>
  </si>
  <si>
    <t>5092</t>
  </si>
  <si>
    <t>5093</t>
  </si>
  <si>
    <t>5094</t>
  </si>
  <si>
    <t>5391</t>
  </si>
  <si>
    <t>5392</t>
  </si>
  <si>
    <t>5393</t>
  </si>
  <si>
    <t>5394</t>
  </si>
  <si>
    <t>Beteckning</t>
  </si>
  <si>
    <t>87</t>
  </si>
  <si>
    <t>25911</t>
  </si>
  <si>
    <t>25912</t>
  </si>
  <si>
    <t>25951</t>
  </si>
  <si>
    <t>88</t>
  </si>
  <si>
    <t>35911</t>
  </si>
  <si>
    <t>35912</t>
  </si>
  <si>
    <t>35951</t>
  </si>
  <si>
    <t>89</t>
  </si>
  <si>
    <t>80</t>
  </si>
  <si>
    <t>40911</t>
  </si>
  <si>
    <t>40912</t>
  </si>
  <si>
    <t>40931</t>
  </si>
  <si>
    <t>90</t>
  </si>
  <si>
    <t>81</t>
  </si>
  <si>
    <t>43911</t>
  </si>
  <si>
    <t>43912</t>
  </si>
  <si>
    <t>43921</t>
  </si>
  <si>
    <t>43931</t>
  </si>
  <si>
    <t>91</t>
  </si>
  <si>
    <t>82</t>
  </si>
  <si>
    <t>50911</t>
  </si>
  <si>
    <t>50912</t>
  </si>
  <si>
    <t>50921</t>
  </si>
  <si>
    <t>50931</t>
  </si>
  <si>
    <t>92</t>
  </si>
  <si>
    <t>83</t>
  </si>
  <si>
    <t>53911</t>
  </si>
  <si>
    <t>53912</t>
  </si>
  <si>
    <t>53921</t>
  </si>
  <si>
    <t>53931</t>
  </si>
  <si>
    <t>Kommentarer utbildning inkl. förskoleklass:</t>
  </si>
  <si>
    <r>
      <t>Summa insatser till personer med funktionsnedsättning (exkl LSS/SFB</t>
    </r>
    <r>
      <rPr>
        <b/>
        <vertAlign val="superscript"/>
        <sz val="7"/>
        <rFont val="Helvetica"/>
        <family val="2"/>
      </rPr>
      <t>1</t>
    </r>
    <r>
      <rPr>
        <b/>
        <sz val="7"/>
        <rFont val="Helvetica"/>
        <family val="2"/>
      </rPr>
      <t>)</t>
    </r>
  </si>
  <si>
    <r>
      <t xml:space="preserve">Insatser enligt LSS/SFB </t>
    </r>
    <r>
      <rPr>
        <b/>
        <sz val="7"/>
        <rFont val="Calibri"/>
        <family val="2"/>
      </rPr>
      <t>¹</t>
    </r>
    <r>
      <rPr>
        <b/>
        <vertAlign val="superscript"/>
        <sz val="7"/>
        <rFont val="Calibri"/>
        <family val="2"/>
      </rPr>
      <t>,2</t>
    </r>
    <r>
      <rPr>
        <b/>
        <sz val="7"/>
        <rFont val="Calibri"/>
        <family val="2"/>
      </rPr>
      <t>)</t>
    </r>
  </si>
  <si>
    <r>
      <t>Personlig assistans enl. LSS/SFB</t>
    </r>
    <r>
      <rPr>
        <vertAlign val="superscript"/>
        <sz val="7"/>
        <rFont val="Helvetica"/>
        <family val="2"/>
      </rPr>
      <t>1</t>
    </r>
  </si>
  <si>
    <r>
      <t>Summa insatser enligt LSS/SFB</t>
    </r>
    <r>
      <rPr>
        <b/>
        <vertAlign val="superscript"/>
        <sz val="7"/>
        <rFont val="Helvetica"/>
        <family val="2"/>
      </rPr>
      <t>1</t>
    </r>
  </si>
  <si>
    <t>2) Kostnaderna och intäkterna för LSS bruttoredovisas liksom övriga verksamheter</t>
  </si>
  <si>
    <t>1) De bestämmelser om personlig assistans som tidigare fanns i LASS är fr.o.m. år 2011 inordnade i Socialförsäkringsbalken (SFB, 51 kap.).</t>
  </si>
  <si>
    <r>
      <t>Omsättningstillgångar</t>
    </r>
    <r>
      <rPr>
        <sz val="7"/>
        <rFont val="Helvetica"/>
        <family val="2"/>
      </rPr>
      <t xml:space="preserve">                                       </t>
    </r>
  </si>
  <si>
    <t>Rad-</t>
  </si>
  <si>
    <t>Kommunen</t>
  </si>
  <si>
    <t>nr</t>
  </si>
  <si>
    <t>Verksamhetens nettokostnader</t>
  </si>
  <si>
    <t>Skatteintäkter</t>
  </si>
  <si>
    <t>Finansiella intäkter</t>
  </si>
  <si>
    <t>Finansiella kostnader</t>
  </si>
  <si>
    <t>Årets resultat</t>
  </si>
  <si>
    <t>Rad</t>
  </si>
  <si>
    <t>Anläggningstillgångar</t>
  </si>
  <si>
    <t>Immateriella anläggningstillgångar</t>
  </si>
  <si>
    <t>Mark, byggn. och tekn. anläggningar</t>
  </si>
  <si>
    <t>Maskiner och inventarier</t>
  </si>
  <si>
    <t>Aktier och andelar, bostadsrätter</t>
  </si>
  <si>
    <t>Långfristiga fordringar</t>
  </si>
  <si>
    <t>SUMMA ANLÄGGNINGSTILLGÅNGAR</t>
  </si>
  <si>
    <t>15</t>
  </si>
  <si>
    <t>Kundfordringar</t>
  </si>
  <si>
    <t>16</t>
  </si>
  <si>
    <t>Diverse kortfristiga fordringar</t>
  </si>
  <si>
    <t>165</t>
  </si>
  <si>
    <t>182</t>
  </si>
  <si>
    <t>183</t>
  </si>
  <si>
    <t>184</t>
  </si>
  <si>
    <t>Certifikat</t>
  </si>
  <si>
    <t>14-19</t>
  </si>
  <si>
    <t>10-19</t>
  </si>
  <si>
    <t>SUMMA TILLGÅNGAR</t>
  </si>
  <si>
    <t>221</t>
  </si>
  <si>
    <t>222</t>
  </si>
  <si>
    <t>225</t>
  </si>
  <si>
    <t>228</t>
  </si>
  <si>
    <t>Andra avsättningar</t>
  </si>
  <si>
    <t>2281</t>
  </si>
  <si>
    <t>SUMMA AVSÄTTNINGAR</t>
  </si>
  <si>
    <t>Långfristiga skulder till koncernföretag</t>
  </si>
  <si>
    <t>237</t>
  </si>
  <si>
    <t>Långfristig leasingskuld</t>
  </si>
  <si>
    <t>Långfristiga skulder, totalt</t>
  </si>
  <si>
    <t>24</t>
  </si>
  <si>
    <t>Kortfristiga skulder till kreditinstitut och kunder</t>
  </si>
  <si>
    <t>25</t>
  </si>
  <si>
    <t>Leverantörsskulder</t>
  </si>
  <si>
    <t>292</t>
  </si>
  <si>
    <t>Upplupna semesterlöner</t>
  </si>
  <si>
    <t>2933</t>
  </si>
  <si>
    <t>296</t>
  </si>
  <si>
    <t>Not 1</t>
  </si>
  <si>
    <t>Not 2</t>
  </si>
  <si>
    <t>Övriga kortfristiga skulder</t>
  </si>
  <si>
    <t>24-29</t>
  </si>
  <si>
    <t>Kortfristiga skulder, totalt</t>
  </si>
  <si>
    <t>23-29</t>
  </si>
  <si>
    <t>SUMMA SKULDER</t>
  </si>
  <si>
    <t>20,22-29</t>
  </si>
  <si>
    <t>Borgen o andra förpliktelser gentemot kommunala bostadsföretag</t>
  </si>
  <si>
    <t>Borgen o andra förpliktelser gentemot övriga kommunala företag</t>
  </si>
  <si>
    <t>SUMMA ANSVARSFÖRBINDELSER</t>
  </si>
  <si>
    <t>Förrättnings- och granskningsavgifter</t>
  </si>
  <si>
    <t>Taxor och avgifter, övrigt</t>
  </si>
  <si>
    <t>Taxor och avgifter</t>
  </si>
  <si>
    <t>Bostads- och lokalhyror</t>
  </si>
  <si>
    <t>Markhyror och arrenden mm.</t>
  </si>
  <si>
    <t>343-349</t>
  </si>
  <si>
    <t>Hyror och arrenden</t>
  </si>
  <si>
    <t>Bidrag</t>
  </si>
  <si>
    <t>Bidrag till enskilda</t>
  </si>
  <si>
    <t>Bostadssociala bidrag</t>
  </si>
  <si>
    <t>Löner mm.</t>
  </si>
  <si>
    <t>Personal</t>
  </si>
  <si>
    <t>Livsmedel</t>
  </si>
  <si>
    <t>Kontorsmaterial</t>
  </si>
  <si>
    <t>Material, övrigt</t>
  </si>
  <si>
    <t>Material</t>
  </si>
  <si>
    <t>Markhyror</t>
  </si>
  <si>
    <t>Tjänster, övrigt</t>
  </si>
  <si>
    <t>Tjänster, inkl köp av verksamhet</t>
  </si>
  <si>
    <t>Allmän kommunalskatt</t>
  </si>
  <si>
    <t>Inkomstutjämningsavgift</t>
  </si>
  <si>
    <t>Regleringsavgift</t>
  </si>
  <si>
    <t>Kostnadsutjämningsavgift</t>
  </si>
  <si>
    <t>Avgift till LSS-utjämningen</t>
  </si>
  <si>
    <t>Avgifter i utjämningssystemen</t>
  </si>
  <si>
    <t>Inkomstutjämningsbidrag</t>
  </si>
  <si>
    <t>Strukturbidrag</t>
  </si>
  <si>
    <t>Införandebidrag</t>
  </si>
  <si>
    <t>Regleringsbidrag</t>
  </si>
  <si>
    <t>Kostnadsutjämningsbidrag</t>
  </si>
  <si>
    <t>Bidrag för LSS-utjämning</t>
  </si>
  <si>
    <t>Bidrag från utjämningssystemen och generella statliga bidrag</t>
  </si>
  <si>
    <t>Utdelning på aktier och andelar</t>
  </si>
  <si>
    <t>Ränteintäkter</t>
  </si>
  <si>
    <t>Ränteintäkter på kundfordringar</t>
  </si>
  <si>
    <t>U</t>
  </si>
  <si>
    <t>V</t>
  </si>
  <si>
    <t>W</t>
  </si>
  <si>
    <t>X</t>
  </si>
  <si>
    <t>Z</t>
  </si>
  <si>
    <t>ZF</t>
  </si>
  <si>
    <t>ZM</t>
  </si>
  <si>
    <t>Y</t>
  </si>
  <si>
    <t>YJ</t>
  </si>
  <si>
    <t>Koncernen</t>
  </si>
  <si>
    <t xml:space="preserve">Orealiserade valutakursvinster  </t>
  </si>
  <si>
    <t>Tillgångar</t>
  </si>
  <si>
    <t>1351</t>
  </si>
  <si>
    <t>246</t>
  </si>
  <si>
    <t>Investeringar i % av skatteintäkter, generella statsbidrag och utj.</t>
  </si>
  <si>
    <t xml:space="preserve">Bidrag från utjämningssystemen och generella </t>
  </si>
  <si>
    <t>statliga bidrag</t>
  </si>
  <si>
    <t xml:space="preserve">Realiserade valutakursförluster </t>
  </si>
  <si>
    <t>Orealiserade valutakursförluster</t>
  </si>
  <si>
    <t xml:space="preserve">Verksamhetens intäkter </t>
  </si>
  <si>
    <t xml:space="preserve">Verksamhetens kostnader </t>
  </si>
  <si>
    <t>Däravposter till verksamhetens kostnader</t>
  </si>
  <si>
    <t>Förändring</t>
  </si>
  <si>
    <t>procent</t>
  </si>
  <si>
    <t>Borgensförbindelser och övriga ansvarsförbindelser</t>
  </si>
  <si>
    <t>Förskola, fritidshem o annan pedagogisk verksamhet, totalt</t>
  </si>
  <si>
    <t xml:space="preserve">Korttidsboende / Korttidsvård </t>
  </si>
  <si>
    <t>Elevhälsa</t>
  </si>
  <si>
    <t>563 [ej 5635]</t>
  </si>
  <si>
    <t>del av 15</t>
  </si>
  <si>
    <t>del av 25</t>
  </si>
  <si>
    <t>30, 369</t>
  </si>
  <si>
    <t>Övriga hyror och arrenden</t>
  </si>
  <si>
    <t>Däravposter till verksamhetens intäkter</t>
  </si>
  <si>
    <t>Försäljning av verksamhet, motpart kommun</t>
  </si>
  <si>
    <t>4541</t>
  </si>
  <si>
    <t>Försäljn. av verksamheter och tjänster</t>
  </si>
  <si>
    <t>Lämnade bidrag</t>
  </si>
  <si>
    <t>Pensionsförsäkringspremier</t>
  </si>
  <si>
    <t>Köp av huvudverksamhet</t>
  </si>
  <si>
    <t>Reparation och underhåll</t>
  </si>
  <si>
    <t>Avsättning för särskild löneskatt på pensioner</t>
  </si>
  <si>
    <t>Upplupen pensionskostnad avgiftsbestämd ålderspension</t>
  </si>
  <si>
    <t>761</t>
  </si>
  <si>
    <t>Kommunal fastighetsavgift</t>
  </si>
  <si>
    <t>Förbrukningsinventarier</t>
  </si>
  <si>
    <t>Räntekostnader</t>
  </si>
  <si>
    <t>Aktier, andelar och bostadsrätter [132, 137]</t>
  </si>
  <si>
    <t xml:space="preserve">Köp av huvud-verksamhet </t>
  </si>
  <si>
    <t>[30, 34 ej 341, 35-36</t>
  </si>
  <si>
    <t>Lämnade bidrag  [45]</t>
  </si>
  <si>
    <t>Mortpart 85</t>
  </si>
  <si>
    <t>Extern motpart, interv.5-7</t>
  </si>
  <si>
    <t>Motpart 87</t>
  </si>
  <si>
    <t>Motpart 82</t>
  </si>
  <si>
    <t>Motpart 84</t>
  </si>
  <si>
    <t>Motpart 81</t>
  </si>
  <si>
    <t>Motpart 86</t>
  </si>
  <si>
    <t>Motpart 83</t>
  </si>
  <si>
    <t>Extern motpart interv. 9</t>
  </si>
  <si>
    <t>[361]                       Motpart 84</t>
  </si>
  <si>
    <t>[351]                       Motpart 81</t>
  </si>
  <si>
    <t>Köp av huvud-</t>
  </si>
  <si>
    <t>238</t>
  </si>
  <si>
    <t>232, 239</t>
  </si>
  <si>
    <t>Upplupna sociala avgifter</t>
  </si>
  <si>
    <t>361, 363, 365</t>
  </si>
  <si>
    <t>Övriga främmande tjänster</t>
  </si>
  <si>
    <t>781, 782,784</t>
  </si>
  <si>
    <t>Pensionsutbetalningar intjänade fr.o.m.98</t>
  </si>
  <si>
    <t>[46]</t>
  </si>
  <si>
    <t>Köp av huvudverksamhet [46]</t>
  </si>
  <si>
    <t>verksamhet [46]</t>
  </si>
  <si>
    <t>617, 618</t>
  </si>
  <si>
    <t>63, 695</t>
  </si>
  <si>
    <t>361, 363</t>
  </si>
  <si>
    <t>361</t>
  </si>
  <si>
    <t>Därav köp av huvudverksamhet</t>
  </si>
  <si>
    <t>Motpartsredovisning av köp av huvudverksamhet [46]</t>
  </si>
  <si>
    <t>341</t>
  </si>
  <si>
    <t>651</t>
  </si>
  <si>
    <t>317</t>
  </si>
  <si>
    <t>327</t>
  </si>
  <si>
    <t>087</t>
  </si>
  <si>
    <t>062</t>
  </si>
  <si>
    <t>064</t>
  </si>
  <si>
    <t xml:space="preserve">6192, 692, 696 </t>
  </si>
  <si>
    <t>Differens mellan summan av rad 900-984 och RR rad 070</t>
  </si>
  <si>
    <t>Enskilda personer, hushåll</t>
  </si>
  <si>
    <t>Staten, statl. Myndigheter (inkl.FK)</t>
  </si>
  <si>
    <t xml:space="preserve"> [30, 34 ej 341, 35-36] </t>
  </si>
  <si>
    <t>Externa bostadshyror och lokalhyror</t>
  </si>
  <si>
    <t>inkomster</t>
  </si>
  <si>
    <t>Avsättningar för pensioner och liknande förpliktelser</t>
  </si>
  <si>
    <t>Avsättningar för särskild avtalspens, visstidspens.o liknande</t>
  </si>
  <si>
    <t>138</t>
  </si>
  <si>
    <t>Grundfondskapital</t>
  </si>
  <si>
    <t>133, 134</t>
  </si>
  <si>
    <t>132, 137</t>
  </si>
  <si>
    <t>104</t>
  </si>
  <si>
    <t>[31]</t>
  </si>
  <si>
    <t>Buss, bil och spårbundna persontransporter</t>
  </si>
  <si>
    <t>Väg- och järnvägsnät, parkering</t>
  </si>
  <si>
    <t xml:space="preserve">Lärverktyg </t>
  </si>
  <si>
    <t>Varor m.m.</t>
  </si>
  <si>
    <t>Kommun-                  nyckel</t>
  </si>
  <si>
    <t>SCB-             nyckel</t>
  </si>
  <si>
    <t xml:space="preserve">             Fördelning i kolumnen kommunnyckel </t>
  </si>
  <si>
    <t xml:space="preserve">             Fördelning i kolumnen SCB-nyckel</t>
  </si>
  <si>
    <t>20</t>
  </si>
  <si>
    <t>Invånarantal 1-5 år</t>
  </si>
  <si>
    <t>Invånarantal 6-12 år</t>
  </si>
  <si>
    <t>Invånarantal 6 år</t>
  </si>
  <si>
    <t>Invånarantal 7-15 år</t>
  </si>
  <si>
    <t>Invånarantal 16-18 år</t>
  </si>
  <si>
    <t>Förskola, kostnad per invånare 1-5 år</t>
  </si>
  <si>
    <t>Förskola, kostnad per invånare 1-5 år kommunal regi</t>
  </si>
  <si>
    <t>Förskola, kostnad för lokaler/invånare 1-5 år kommunal regi</t>
  </si>
  <si>
    <t>Förskola, köp av platser i annan kommun per invånare 1-5 år</t>
  </si>
  <si>
    <t>Förskola, försäljning av platser till annan kommun per invånare 1-5 år</t>
  </si>
  <si>
    <t>Förskola, köp av platser i enskild regi per invånare 1-5 år</t>
  </si>
  <si>
    <t>Kostnad per invånare 16-18 år kommunal regi.</t>
  </si>
  <si>
    <t>Kostnad per invånare 16-18 år för undervisning kommunal regi.</t>
  </si>
  <si>
    <t>Kostnad per invånare 16-18 år för lärverktyg kommunal regi.</t>
  </si>
  <si>
    <t>Kostnad per invånare 16-18 år för skolmåltider kommunal regi.</t>
  </si>
  <si>
    <t>Kostnad per invånare 16-18 år skolskjuts hemkommunen.</t>
  </si>
  <si>
    <t>Kostnad per invånare 16-18 år för elevhälsa kommunal regi.</t>
  </si>
  <si>
    <t>Lokalkostnad per invånare 16-18 år kommunal regi.</t>
  </si>
  <si>
    <t>Kostnad per invånare 16-18 år för övrigt kommunal regi.</t>
  </si>
  <si>
    <t>Kostnad per invånare 16-18 år för hemkommunen.</t>
  </si>
  <si>
    <t>Köp av platser i fristående skola per invånare 16-18 år</t>
  </si>
  <si>
    <t>Köp av platser i fristående skola per invånare 16-18 år.</t>
  </si>
  <si>
    <t>Kostnad per invånare 19-64 år kommunal regi</t>
  </si>
  <si>
    <t>Kostnad per invånare 19-64 år för undervisning.</t>
  </si>
  <si>
    <t>Kostnad per invånare 19-64 år för lärverktyg</t>
  </si>
  <si>
    <t>Kostnad per invånare 19-64 år för elevhälsa.</t>
  </si>
  <si>
    <t>Kostnad per invånare 19-64 år för lokaler.</t>
  </si>
  <si>
    <t>Kostnad per invånare 19-64 år för övigt.</t>
  </si>
  <si>
    <t>Kostnad per invånare 19-64 år för hemkommunen, grundläggande och gymnasial vuxenutbildning.</t>
  </si>
  <si>
    <t>Kostnad per invånare 7-15 år kommunal regi.</t>
  </si>
  <si>
    <t>Kostnad per  invånare 7-15 år för undervisning kommunal regi.</t>
  </si>
  <si>
    <t>Kostnad per  invånare 7-15 år för lärverktyg kommunal regi.</t>
  </si>
  <si>
    <t>Kostnad per  invånare 7-15 år för skolmåltider kommunal regi.</t>
  </si>
  <si>
    <t>Kostnad per  invånare 7-15 år för skolskjuts hemkommun.</t>
  </si>
  <si>
    <t>Kostnad per  invånare 7-15 år för elevhälsa kommunal regi.</t>
  </si>
  <si>
    <t>Kostnad per  invånare 7-15 år för lokaler kommunal regi.</t>
  </si>
  <si>
    <t>Kostnad per  invånare 7-15 år för övrigt kommunal regi.</t>
  </si>
  <si>
    <t>Kostnad per  invånare 7-15 år för hemkommunen.</t>
  </si>
  <si>
    <t>Köp av platser i annan kommun per  invånare 7-15 år.</t>
  </si>
  <si>
    <t>Försäljning av platser till annan kommun per  invånare 7-15 år.</t>
  </si>
  <si>
    <t>Köp av platser i fristående skola per  invånare 7-15 år.</t>
  </si>
  <si>
    <t>Förskoleklass, kostnad per invånare 6 år för hemkommunen</t>
  </si>
  <si>
    <t>Förskoleklass, kostnad per invånare 6 år kommunal regi</t>
  </si>
  <si>
    <t>Förskolklass, kostnad för lokaler/invånare 6 år i kommunal regi.</t>
  </si>
  <si>
    <t>Förskoleklass, köp av platser i annan kommun per invånare 6 år</t>
  </si>
  <si>
    <t>Förskoleklass, försäljning av platser till annan kommun per invånare 6 år.</t>
  </si>
  <si>
    <t>Förskoleklass, köp av platser i enskild regi per invånare 6 år.</t>
  </si>
  <si>
    <t>Fritidshem, kostnad per invånare 6-12 år för hemkommunen</t>
  </si>
  <si>
    <t>Fritidshem, kostnad per invånare 6-12 år kommunal regi</t>
  </si>
  <si>
    <t>Fritidshem, kostnad för lokaler/invånare 6-12 år kommunal regi</t>
  </si>
  <si>
    <t>Fritidshem, köp av platser i annan kommun per invånare 6-12 år</t>
  </si>
  <si>
    <t>Fritidshem, försäljning av platser till annan kommun per invånare 6-12 år</t>
  </si>
  <si>
    <t>Fritidshem, köp av platser i enskild regi per invånare 6-12 år</t>
  </si>
  <si>
    <t>147</t>
  </si>
  <si>
    <t>+ Inköp / nyanskaffning inklusive pågående arbeten</t>
  </si>
  <si>
    <t>(Reavinst vid) försäljning av anläggningstillgångar</t>
  </si>
  <si>
    <t>Inköp av maskiner o</t>
  </si>
  <si>
    <t>Inköp av mark, byggn.</t>
  </si>
  <si>
    <t>Investerings-</t>
  </si>
  <si>
    <t>utgifter</t>
  </si>
  <si>
    <t>Därav borgensåtaganden för lån</t>
  </si>
  <si>
    <t>042</t>
  </si>
  <si>
    <t xml:space="preserve">           varav  för lån av offentligt ägda bolag</t>
  </si>
  <si>
    <t>Återbet borgensåt.</t>
  </si>
  <si>
    <t>161</t>
  </si>
  <si>
    <t>162</t>
  </si>
  <si>
    <t>Kostnad per invånare 7-15 år för undervisning kommunal regi.</t>
  </si>
  <si>
    <t>Kostnad per invånare 7-15 år för lärverktyg kommunal regi.</t>
  </si>
  <si>
    <t>Kostnad per invånare 7-15 år för skolmåltider kommunal regi.</t>
  </si>
  <si>
    <t>Kostnad per invånare 7-15 år skolskjuts hemkommunen.</t>
  </si>
  <si>
    <t>Kostnad per invånare 7-15 år för elevhälsa kommunal regi.</t>
  </si>
  <si>
    <t>Lokalkostnad per invånare 7-15 år kommunal regi.</t>
  </si>
  <si>
    <t>Kostnad per invånare 7-15 år för övrigt kommunal regi.</t>
  </si>
  <si>
    <t>Kostnad per invånare 7-15 år för hemkommunen.</t>
  </si>
  <si>
    <t>Köp av platser i annan kommun per invånare 7-15 år.</t>
  </si>
  <si>
    <t>Försäljning av platser till annan kommun per invånare 7-15 år.</t>
  </si>
  <si>
    <t>Köp av platser i fristående skola per invånare 7-15 år.</t>
  </si>
  <si>
    <t>Pensionsutbetalningar</t>
  </si>
  <si>
    <t>Uppdragsutbildning m.m.</t>
  </si>
  <si>
    <t>Avgifter till utjämningssystemen</t>
  </si>
  <si>
    <t>(Reavinst vid) Försälj. av anl.tillg.[38]</t>
  </si>
  <si>
    <t>Nyckeltal kostnad kr per invånare eller andel av verksamhet</t>
  </si>
  <si>
    <t>Bidrag till infrastruktur</t>
  </si>
  <si>
    <t>Kostnadsföring bidrag till infrastruktur</t>
  </si>
  <si>
    <t>Upplösning aktiverat bidrag till infrastruktur</t>
  </si>
  <si>
    <t>Däravposter till finansiella intäkter</t>
  </si>
  <si>
    <t>733,734, 765</t>
  </si>
  <si>
    <t>Kostnad för eget åtagande</t>
  </si>
  <si>
    <t>Kostnad för</t>
  </si>
  <si>
    <t xml:space="preserve">Kostnad för </t>
  </si>
  <si>
    <t xml:space="preserve">BRUTTO- 
</t>
  </si>
  <si>
    <t>Begravningsavgift (Stockholm och Tranås)</t>
  </si>
  <si>
    <t>Netto-kostnad</t>
  </si>
  <si>
    <t xml:space="preserve">Produktions-kostnad </t>
  </si>
  <si>
    <t>Bruttokostnad ./. Bruttointäkt</t>
  </si>
  <si>
    <t>Bruttokostnad ./. Köp av huvud-verksamhet ./. Lämnade bidrag ./. Interna intäkter</t>
  </si>
  <si>
    <t xml:space="preserve">        kronor / invånare</t>
  </si>
  <si>
    <t xml:space="preserve">           Nyckeltal</t>
  </si>
  <si>
    <t>Bruttokostnad ./. Interna</t>
  </si>
  <si>
    <t xml:space="preserve">            Nyckeltal </t>
  </si>
  <si>
    <t>808, 809</t>
  </si>
  <si>
    <t>Kostnader för eget åtagande</t>
  </si>
  <si>
    <t>åtagande</t>
  </si>
  <si>
    <t>eget</t>
  </si>
  <si>
    <t>Kommentarer flyktingmott. o arbetsm.åtg:</t>
  </si>
  <si>
    <t>Kommentarer kultur o fritids-verksamhet:</t>
  </si>
  <si>
    <t>Kommentarer förskola, fritids-hem o annan ped.verks.:</t>
  </si>
  <si>
    <t xml:space="preserve">Kommentarer affärs-verksamhet: </t>
  </si>
  <si>
    <t>Kommentarer infrastruktur och skydd:</t>
  </si>
  <si>
    <t>Statsbidrag maxtaxa kolumn AB 
Statsbidrag kvalitetssäkran-de åtgärder kolumn AC</t>
  </si>
  <si>
    <r>
      <t xml:space="preserve">Nyckeltal, kronor / invånare
</t>
    </r>
    <r>
      <rPr>
        <sz val="7"/>
        <rFont val="Helvetica"/>
        <family val="2"/>
      </rPr>
      <t>och Kommentarrutor</t>
    </r>
  </si>
  <si>
    <t>Kommentarer VoO inkl. IFO</t>
  </si>
  <si>
    <t>342</t>
  </si>
  <si>
    <t>Avskrivningar, inklusive nedskrivningar</t>
  </si>
  <si>
    <t>bindelser (inklusive borgens- o förlustansvar                   småhus)</t>
  </si>
  <si>
    <t>Pensionsförplikt.    Inkl. löneskatt på</t>
  </si>
  <si>
    <t xml:space="preserve"> som inte har upptagits bland skulder el. avsättningar                pensionsförpliktelse</t>
  </si>
  <si>
    <t xml:space="preserve">Entrepren., Konsulter </t>
  </si>
  <si>
    <t>[617,618,74,75]</t>
  </si>
  <si>
    <t>[402]</t>
  </si>
  <si>
    <t>[403]</t>
  </si>
  <si>
    <t>Samtliga invest. entrepr. och  invest.konsulter ingår)</t>
  </si>
  <si>
    <t>067</t>
  </si>
  <si>
    <t>15-17</t>
  </si>
  <si>
    <t>Summa kortfristiga fordringar</t>
  </si>
  <si>
    <t>18</t>
  </si>
  <si>
    <t>131</t>
  </si>
  <si>
    <t>132</t>
  </si>
  <si>
    <t>133</t>
  </si>
  <si>
    <t>134</t>
  </si>
  <si>
    <t>242</t>
  </si>
  <si>
    <r>
      <rPr>
        <b/>
        <sz val="7"/>
        <rFont val="Helvetica"/>
        <family val="2"/>
      </rPr>
      <t>Kommun</t>
    </r>
    <r>
      <rPr>
        <sz val="7"/>
        <rFont val="Helvetica"/>
        <family val="2"/>
      </rPr>
      <t xml:space="preserve">
Maskiner och inventarier [12]</t>
    </r>
  </si>
  <si>
    <t xml:space="preserve">
Därav</t>
  </si>
  <si>
    <r>
      <t xml:space="preserve">Koncern
</t>
    </r>
    <r>
      <rPr>
        <sz val="7"/>
        <color indexed="8"/>
        <rFont val="Helvetica"/>
        <family val="2"/>
      </rPr>
      <t>Materiella anläggningstillg.[11,12]</t>
    </r>
  </si>
  <si>
    <t>Rad-nr</t>
  </si>
  <si>
    <t>Inköp och försäljning av mark oavsett bokfört som omsättningstillgång eller anläggningstillgång</t>
  </si>
  <si>
    <t xml:space="preserve">Vid redovisning av försäljning av mark ska enbart själva markens inkomst redovisas.  </t>
  </si>
  <si>
    <t>715</t>
  </si>
  <si>
    <t>720</t>
  </si>
  <si>
    <t>725</t>
  </si>
  <si>
    <t xml:space="preserve">Beloppen ska delas in utifrån den verksamhet som företagen klassificeras som enligt de alternativ som finns nedan.  T ex ska 50 % av ett bostadsföretags investeringsbelopp, som ägs </t>
  </si>
  <si>
    <t>Bransch</t>
  </si>
  <si>
    <t>Företagen/    dotterbolagen</t>
  </si>
  <si>
    <t>730</t>
  </si>
  <si>
    <t>Fastighetsverksamhet</t>
  </si>
  <si>
    <t>735</t>
  </si>
  <si>
    <t>Energi och vatten</t>
  </si>
  <si>
    <t>740</t>
  </si>
  <si>
    <t>Transport och kommunikation</t>
  </si>
  <si>
    <t>745</t>
  </si>
  <si>
    <t>Övriga</t>
  </si>
  <si>
    <t>750</t>
  </si>
  <si>
    <t>Summa</t>
  </si>
  <si>
    <t>(exkl. förs. av anl.tillgångar)</t>
  </si>
  <si>
    <t>Intäkter till Kolada</t>
  </si>
  <si>
    <t>Bruttointäkt minus Interna intäkter och försäljning till andra kommuner och landsting</t>
  </si>
  <si>
    <t>Därav personal-kostnader</t>
  </si>
  <si>
    <t>Netto-</t>
  </si>
  <si>
    <t>Dagverksamhet, ordinärt boende</t>
  </si>
  <si>
    <t>del av 453   [ej 4538]</t>
  </si>
  <si>
    <t>- Försäljningspris / avyttringsbelopp</t>
  </si>
  <si>
    <t>Däravposter till avsättningar och skulder</t>
  </si>
  <si>
    <t>Därav köp av huvudverk-samhet</t>
  </si>
  <si>
    <r>
      <t>Bidrag motpart staten och statliga myndigheter</t>
    </r>
    <r>
      <rPr>
        <b/>
        <sz val="7"/>
        <rFont val="Helvetica"/>
        <family val="2"/>
      </rPr>
      <t xml:space="preserve"> exkl.</t>
    </r>
    <r>
      <rPr>
        <sz val="7"/>
        <rFont val="Helvetica"/>
        <family val="2"/>
      </rPr>
      <t xml:space="preserve"> ersättning till FK för pers.assistenter</t>
    </r>
  </si>
  <si>
    <t xml:space="preserve">   därav investeringsbidrag från staten o statl.myndigheter</t>
  </si>
  <si>
    <t xml:space="preserve">   därav investeringsbidrag från EU</t>
  </si>
  <si>
    <t>del av 238</t>
  </si>
  <si>
    <t>del av 23</t>
  </si>
  <si>
    <t>755</t>
  </si>
  <si>
    <t>lämnas nedan</t>
  </si>
  <si>
    <t xml:space="preserve">Uppgifterna för koncernen </t>
  </si>
  <si>
    <t>Om ingen exakt uppdelning finns mellan mark och eventuell byggnad/anläggning så får en uppskattning med utgångspunkt ur bokfört värde göras.</t>
  </si>
  <si>
    <r>
      <t xml:space="preserve">Det som avses är de investeringar som har gjorts av de företag/bolag/stiftelser/kommunalförbund som konsolideras i den sammanställda redovisningen. </t>
    </r>
    <r>
      <rPr>
        <b/>
        <sz val="8"/>
        <rFont val="Helvetica"/>
        <family val="2"/>
      </rPr>
      <t xml:space="preserve">Endast kommunens andel  anges. </t>
    </r>
  </si>
  <si>
    <t>- Förlust vid avyttring och utrangering av anl.tillgångar</t>
  </si>
  <si>
    <t>Hälso- och sjukvård, övrigt (utöver den hemsjukvård som ingår på radnr 510, 520 eller 513)</t>
  </si>
  <si>
    <t>Totalt (exklusive försäljning av anl.tillg.)</t>
  </si>
  <si>
    <r>
      <t>Infrastruktur, skydd m.m.</t>
    </r>
    <r>
      <rPr>
        <sz val="7"/>
        <rFont val="Helvetica"/>
        <family val="2"/>
      </rPr>
      <t xml:space="preserve">                                                      Fysisk o. teknisk planering, bostadsförbättr.</t>
    </r>
  </si>
  <si>
    <t>inv. 65-w år</t>
  </si>
  <si>
    <t>inv. 0-64 år</t>
  </si>
  <si>
    <t>inv. 23-w år</t>
  </si>
  <si>
    <t>inv. 0-22 år</t>
  </si>
  <si>
    <t>inv. 23-64 år</t>
  </si>
  <si>
    <t>Enligt Verksamhetens intäkter och kostnader</t>
  </si>
  <si>
    <t>Därav                                köp av huvud-verksamhet</t>
  </si>
  <si>
    <t>Differens mellan summan av rad 800-844 och RR rad 060:</t>
  </si>
  <si>
    <t>Självrisker</t>
  </si>
  <si>
    <t>Infriad borgen</t>
  </si>
  <si>
    <t>Avgifter</t>
  </si>
  <si>
    <t>Nämnare nyckeltal och kommentar till kontroller</t>
  </si>
  <si>
    <t>Följande jämförelsestörande poster ingår i Resultaträkningen ovan:</t>
  </si>
  <si>
    <t>170</t>
  </si>
  <si>
    <t>175</t>
  </si>
  <si>
    <t>180</t>
  </si>
  <si>
    <t>del av 16</t>
  </si>
  <si>
    <t>Fördelad gemensam verksamhet (rad 920)</t>
  </si>
  <si>
    <t>735, 736, 738, 739</t>
  </si>
  <si>
    <t>utgifter i mat.</t>
  </si>
  <si>
    <r>
      <t xml:space="preserve">o immat. anl.    tillg.              </t>
    </r>
    <r>
      <rPr>
        <sz val="7"/>
        <rFont val="Helvetica"/>
        <family val="2"/>
      </rPr>
      <t xml:space="preserve">  (före konsolidering)</t>
    </r>
  </si>
  <si>
    <t>2019</t>
  </si>
  <si>
    <t>Generella statsbidrag och utjämning</t>
  </si>
  <si>
    <t>Resultat efter finansiella poster</t>
  </si>
  <si>
    <t>Extraordinära poster (netto)</t>
  </si>
  <si>
    <t>Kommunal borgensavgift</t>
  </si>
  <si>
    <t>Regioner</t>
  </si>
  <si>
    <t>[361]                      Motpart 82 och 83</t>
  </si>
  <si>
    <t>Försälj.av v-het o konsult- o andra tjänster, MP kommun</t>
  </si>
  <si>
    <t>Försälj.av v-het o konsult- o andra tjänster, MP kommunalförbund</t>
  </si>
  <si>
    <t>Försäljning av verksamhet, motpart region</t>
  </si>
  <si>
    <t>Summa kortfristiga placeringar (i värdepapper)</t>
  </si>
  <si>
    <t>Kassa och bank</t>
  </si>
  <si>
    <t>Transporter/resor, ej anställda o förtroendevalda</t>
  </si>
  <si>
    <t>Lokal- och bostadshyror</t>
  </si>
  <si>
    <r>
      <rPr>
        <strike/>
        <sz val="7"/>
        <rFont val="Helvetica"/>
        <family val="2"/>
      </rPr>
      <t>I</t>
    </r>
    <r>
      <rPr>
        <sz val="7"/>
        <rFont val="Helvetica"/>
        <family val="2"/>
      </rPr>
      <t>nhyrd personal</t>
    </r>
  </si>
  <si>
    <r>
      <t>Försäkrings</t>
    </r>
    <r>
      <rPr>
        <sz val="7"/>
        <rFont val="Helvetica"/>
        <family val="2"/>
      </rPr>
      <t>premier</t>
    </r>
  </si>
  <si>
    <t>6192, 692, 696, 73, 76</t>
  </si>
  <si>
    <t>kommunalförb.</t>
  </si>
  <si>
    <t>och regioner</t>
  </si>
  <si>
    <r>
      <t>Därav försäljn. av v-het till kommuner, kommunalförb. och</t>
    </r>
    <r>
      <rPr>
        <strike/>
        <sz val="7"/>
        <color rgb="FFFF0000"/>
        <rFont val="Helvetica"/>
        <family val="2"/>
      </rPr>
      <t xml:space="preserve"> </t>
    </r>
    <r>
      <rPr>
        <sz val="7"/>
        <rFont val="Helvetica"/>
        <family val="2"/>
      </rPr>
      <t>regioner</t>
    </r>
  </si>
  <si>
    <t>intäkter o förs.</t>
  </si>
  <si>
    <t>till andra kommuner</t>
  </si>
  <si>
    <t>361 motpart 82, 83, 84</t>
  </si>
  <si>
    <t>[361] motpart 82, 83, 84</t>
  </si>
  <si>
    <t>Försäljning av verksamhet till andra kommuner, kommunalförb. och regioner</t>
  </si>
  <si>
    <t>Bruttokostnad ./. Interna intäkter o.</t>
  </si>
  <si>
    <t>förs. av v-samhet</t>
  </si>
  <si>
    <t>regioner</t>
  </si>
  <si>
    <t>kommunalförb och</t>
  </si>
  <si>
    <t>Bruttokostnad  ./. Interna intäkter och försäljning till andra kommuner, kommunalförb. och regioner</t>
  </si>
  <si>
    <t>Övriga finansiella intäkter</t>
  </si>
  <si>
    <t>Övriga finansiella kostnader</t>
  </si>
  <si>
    <t>Förlust vid avyttring o värdering, finansiella oms.tillg.</t>
  </si>
  <si>
    <t>0731</t>
  </si>
  <si>
    <t>524</t>
  </si>
  <si>
    <t>328</t>
  </si>
  <si>
    <t>Försälj.av v-het o konsult- o andra tjänster, MP region</t>
  </si>
  <si>
    <r>
      <t>Därav personal</t>
    </r>
    <r>
      <rPr>
        <sz val="7"/>
        <rFont val="Helvetica"/>
        <family val="2"/>
      </rPr>
      <t>kostnad</t>
    </r>
  </si>
  <si>
    <t>Därav personalkostnad</t>
  </si>
  <si>
    <t>577</t>
  </si>
  <si>
    <t>Likvida medel (kassa, bank)  i % av externa driftkostnader</t>
  </si>
  <si>
    <t>[50-51, 53, 54, 55x2, 5598, 591 samt PO]</t>
  </si>
  <si>
    <t>[50-51, 53, 54, 55x2, 5598, 591] samt PO</t>
  </si>
  <si>
    <t>Skuld för avgifter samt offentliga bidrag (investeringar)</t>
  </si>
  <si>
    <t>Anslutnings- och anläggningsavg. (investeringar)</t>
  </si>
  <si>
    <t>Offentliga bidrag (investeringar)</t>
  </si>
  <si>
    <t>50, 51, 53, 54, 55x2, 5598</t>
  </si>
  <si>
    <t>56 [ej 5635]</t>
  </si>
  <si>
    <t>572, 5635</t>
  </si>
  <si>
    <t>Verksamhetens resultat</t>
  </si>
  <si>
    <t>Därav försäljn. av verksamhet till annan kommun/kommunalförbund</t>
  </si>
  <si>
    <t>Försäljning av platser till annan kommun/kommunalförb. per invånare 16-18 år.</t>
  </si>
  <si>
    <t>Köp av platser i annan kommun/kommunalförb. per invånare 16-18 år.</t>
  </si>
  <si>
    <t>Köp av platser från region per invånare 7-15 år.</t>
  </si>
  <si>
    <t>Köp av plater från region per invånare 16-18 år.</t>
  </si>
  <si>
    <t>Kommunalförbund och SKR</t>
  </si>
  <si>
    <t>Kostn.ers. o rikt bidrag, MP Arbetsförmedlingen</t>
  </si>
  <si>
    <t>Kostn.ers. o rikt.bidrag, MP kommuner, komm.förb. o region</t>
  </si>
  <si>
    <t>Kostn.ers. o rikt. bidrag, MP staten o statl. myndigh exkl AF, ej invest</t>
  </si>
  <si>
    <t>Förs. av v-het. till region</t>
  </si>
  <si>
    <t xml:space="preserve">Investeringar fördelade på verksamheter </t>
  </si>
  <si>
    <t xml:space="preserve">Tilläggsuppgifter avseende kommunens investeringsredovisning </t>
  </si>
  <si>
    <t xml:space="preserve">Tilläggsuppgifter avseende investeringar i företag/bolag/stiftelser/kommunalförbund som konsolideras i den sammanställda redovisningen </t>
  </si>
  <si>
    <t>Skulder för statsbidrag, fastighetsavgift, fastighetsskatt mm.</t>
  </si>
  <si>
    <t>fordringar för statliga bidrag och kostnadsers.</t>
  </si>
  <si>
    <t>del av 24</t>
  </si>
  <si>
    <t>352</t>
  </si>
  <si>
    <t>352, 359</t>
  </si>
  <si>
    <t>Återvunna, tidigare avskrivna kundfordringar</t>
  </si>
  <si>
    <t>Intäkter från exploateringsverksamhet sam försälj. av OT</t>
  </si>
  <si>
    <t>22</t>
  </si>
  <si>
    <t>231</t>
  </si>
  <si>
    <t>Övriga ersättningar, exploateringsverksamhet</t>
  </si>
  <si>
    <t xml:space="preserve">   därav investeringsinkomster från företag</t>
  </si>
  <si>
    <t xml:space="preserve">   därav övriga investeringsinkomster</t>
  </si>
  <si>
    <t>329</t>
  </si>
  <si>
    <t>105</t>
  </si>
  <si>
    <t>Investeringsinkomster som utbetalats till kommunen eller som kommunen erhållit, under året</t>
  </si>
  <si>
    <t>Bidrag/gåvor från privata aktörer</t>
  </si>
  <si>
    <t xml:space="preserve">På rad 740 borde det finnas ett belopp eller beloppet borde vara högre.
</t>
  </si>
  <si>
    <t>Försäljning och värdering, finans. omsättningstillg.</t>
  </si>
  <si>
    <t>Försäljning och värdering, finans. anläggningstillg.</t>
  </si>
  <si>
    <t>Aktier samt andelar i finansiella instrument</t>
  </si>
  <si>
    <t>Ersättningar från FK för personliga assistenter</t>
  </si>
  <si>
    <t>Bidrag till juridiska personer</t>
  </si>
  <si>
    <t>Ersättning till FK för personliga assistenter</t>
  </si>
  <si>
    <t>Anskaffningskostnad, såld exploateringsfastighet</t>
  </si>
  <si>
    <t>Anskaff.kostnad, såld exploat.fastig [418]</t>
  </si>
  <si>
    <t>[342, 351 [ej mp 81], 352, 354, 356, 357, 359]</t>
  </si>
  <si>
    <t>Obligationer och andra värdepapper (exkl certifikat)</t>
  </si>
  <si>
    <t>[601 (interna poster)]</t>
  </si>
  <si>
    <t xml:space="preserve">Försäljning av mark, brutto </t>
  </si>
  <si>
    <t>79,                  852 (interna poster) ]</t>
  </si>
  <si>
    <t>+/- Omklassificeringar mellan kontogrupper</t>
  </si>
  <si>
    <t>2341</t>
  </si>
  <si>
    <t>2342</t>
  </si>
  <si>
    <t>Lån i banker och kreditinstitut utländsk valuta</t>
  </si>
  <si>
    <t>Lagstadgade sociala avgifter och särskild löneskatt</t>
  </si>
  <si>
    <t>Not 1: 26-27 (ej 271-272), 289, 29 (ej 292, 293, 296, 298)</t>
  </si>
  <si>
    <t>Inköp av mark (inköpspris)</t>
  </si>
  <si>
    <t>Nyckeltal kr/inv
Kommunen</t>
  </si>
  <si>
    <t>Rad
nr</t>
  </si>
  <si>
    <t>102</t>
  </si>
  <si>
    <t>Kostn.ers. o rikt.bidrag, MP föreningar och stiftelser</t>
  </si>
  <si>
    <r>
      <rPr>
        <b/>
        <sz val="7"/>
        <rFont val="Helvetica"/>
        <family val="2"/>
      </rPr>
      <t>Därav</t>
    </r>
    <r>
      <rPr>
        <sz val="7"/>
        <rFont val="Helvetica"/>
        <family val="2"/>
      </rPr>
      <t xml:space="preserve"> jämförelsestörande intäkter </t>
    </r>
    <r>
      <rPr>
        <b/>
        <sz val="7"/>
        <rFont val="Helvetica"/>
        <family val="2"/>
      </rPr>
      <t>på rad 010</t>
    </r>
  </si>
  <si>
    <r>
      <rPr>
        <b/>
        <sz val="7"/>
        <rFont val="Helvetica"/>
        <family val="2"/>
      </rPr>
      <t>Därav</t>
    </r>
    <r>
      <rPr>
        <sz val="7"/>
        <rFont val="Helvetica"/>
        <family val="2"/>
      </rPr>
      <t xml:space="preserve"> jämförelsestörande kostnader </t>
    </r>
    <r>
      <rPr>
        <b/>
        <sz val="7"/>
        <rFont val="Helvetica"/>
        <family val="2"/>
      </rPr>
      <t xml:space="preserve">på rad 020 </t>
    </r>
    <r>
      <rPr>
        <sz val="7"/>
        <rFont val="Helvetica"/>
        <family val="2"/>
      </rPr>
      <t xml:space="preserve"> </t>
    </r>
  </si>
  <si>
    <r>
      <rPr>
        <b/>
        <sz val="7"/>
        <rFont val="Helvetica"/>
        <family val="2"/>
      </rPr>
      <t>Därav</t>
    </r>
    <r>
      <rPr>
        <sz val="7"/>
        <rFont val="Helvetica"/>
        <family val="2"/>
      </rPr>
      <t xml:space="preserve"> jämförelsestörande av-/nedskrivningar </t>
    </r>
    <r>
      <rPr>
        <b/>
        <sz val="7"/>
        <rFont val="Helvetica"/>
        <family val="2"/>
      </rPr>
      <t>på rad 025</t>
    </r>
  </si>
  <si>
    <r>
      <rPr>
        <b/>
        <sz val="7"/>
        <rFont val="Helvetica"/>
        <family val="2"/>
      </rPr>
      <t xml:space="preserve">Därav </t>
    </r>
    <r>
      <rPr>
        <sz val="7"/>
        <rFont val="Helvetica"/>
        <family val="2"/>
      </rPr>
      <t>jämförelsestörande finansiella kostnader</t>
    </r>
    <r>
      <rPr>
        <b/>
        <sz val="7"/>
        <rFont val="Helvetica"/>
        <family val="2"/>
      </rPr>
      <t xml:space="preserve"> på rad 070</t>
    </r>
  </si>
  <si>
    <r>
      <rPr>
        <b/>
        <sz val="7"/>
        <rFont val="Helvetica"/>
        <family val="2"/>
      </rPr>
      <t>Därav</t>
    </r>
    <r>
      <rPr>
        <sz val="7"/>
        <rFont val="Helvetica"/>
        <family val="2"/>
      </rPr>
      <t xml:space="preserve"> jämförelsestörande finansiella intäkter</t>
    </r>
    <r>
      <rPr>
        <b/>
        <sz val="7"/>
        <rFont val="Helvetica"/>
        <family val="2"/>
      </rPr>
      <t xml:space="preserve"> på rad 060</t>
    </r>
  </si>
  <si>
    <t>Summa materiella anläggningstillgångar</t>
  </si>
  <si>
    <t>Summa finansiella anläggningstillgångar</t>
  </si>
  <si>
    <t>Förråd, lager, exploateringsfastigheter</t>
  </si>
  <si>
    <t>Förutbet. kost. o upplupna intäkter, exkl. upplupna skatteint.</t>
  </si>
  <si>
    <t>exploateringsfastigheter (avser kommun)</t>
  </si>
  <si>
    <t>SUMMA OMSÄTTNINGSTILLGÅNGAR</t>
  </si>
  <si>
    <t>Lån i banker och kreditinstitut svenska kronor</t>
  </si>
  <si>
    <t>Justering av eget kapital, ingående värde</t>
  </si>
  <si>
    <t>SKULDER, AVSÄTTNINGAR O. EGET KAPITAL</t>
  </si>
  <si>
    <t>avsättning för återställ. av deponier/soptippar</t>
  </si>
  <si>
    <t>avsättning bidrag till infrastruktur</t>
  </si>
  <si>
    <t>uppbokade offentliga bidrag (investeringar)</t>
  </si>
  <si>
    <t>nyupptagna långfristiga lån</t>
  </si>
  <si>
    <t xml:space="preserve">kortfristiga skulder till koncernföretag </t>
  </si>
  <si>
    <t>kortfristig del av långfristig skuld</t>
  </si>
  <si>
    <t>lev.skulder till kommunens koncernföretag</t>
  </si>
  <si>
    <t>för vidareutlåning till koncernföretag</t>
  </si>
  <si>
    <t>lån för vidarutlåning till koncernföretag</t>
  </si>
  <si>
    <t>upplupen särsk. löneskatt avgiftsbest. ålderspension</t>
  </si>
  <si>
    <t xml:space="preserve">                                varav kortfristig del av långfristig skuld</t>
  </si>
  <si>
    <r>
      <rPr>
        <b/>
        <sz val="7"/>
        <rFont val="Helvetica"/>
        <family val="2"/>
      </rPr>
      <t xml:space="preserve">koncern: </t>
    </r>
    <r>
      <rPr>
        <sz val="7"/>
        <rFont val="Helvetica"/>
        <family val="2"/>
      </rPr>
      <t>kortfristiga skulder till kreditinstitut och kunder</t>
    </r>
  </si>
  <si>
    <t>Borgen o andra förplikt. gentemot övriga bostadsföretag och bostadsrättsför.</t>
  </si>
  <si>
    <t>Övr. ansvarsför-  för egnahem o</t>
  </si>
  <si>
    <t>Bidrag/gåvor från privata aktörer och övriga bidrag</t>
  </si>
  <si>
    <t>SUMMERING AV VERKSAMHETENS INTÄKTER</t>
  </si>
  <si>
    <t>SUMMERING AV VERKSAMHETENS KOSTNADER</t>
  </si>
  <si>
    <t>Försäljning av verksamhet, motpart kommunalför.</t>
  </si>
  <si>
    <t>Förs. intäkter,  övriga ersättningar och intäkter</t>
  </si>
  <si>
    <t>Försälj.av v-het o konsult- o andra tjänster, MP övr., återv. kundfo.</t>
  </si>
  <si>
    <t>Aktivering av eget arbete vid utveckling av anläggningstillgångar</t>
  </si>
  <si>
    <t>Förändring pensionsavs. inkl. särskild löneskatt på avsättning pens.</t>
  </si>
  <si>
    <t>Bränsle, energi och vatten, drivmedel</t>
  </si>
  <si>
    <t>Fastighets-, anläggnings- och reparationsentreprenader</t>
  </si>
  <si>
    <t>Operationell leasing/hyra av mask., invent., bilar o transp.medel</t>
  </si>
  <si>
    <t>Tele-, IT-kommunikation o. postbefordran</t>
  </si>
  <si>
    <t>Fastighetsskatt och fastighetsavgift, fordons- o trängselskatt, försäkringspremier o riskkostnader, diverse kostnader</t>
  </si>
  <si>
    <t>Förlust vid avyttring o utrangering av mat. o. immat. anl.tillgångar</t>
  </si>
  <si>
    <t>Kostnadsers.o.rikt. bidrag motpart regioner</t>
  </si>
  <si>
    <t>Pensionsutbetalningar intjänade före 98</t>
  </si>
  <si>
    <t>Pensionsutbet. särsk. avtalspens., visstidspens.</t>
  </si>
  <si>
    <t>Larm o bevakning, brandskydd, avgifter för kurser m.m.</t>
  </si>
  <si>
    <t>Kundförluster, straffavgifter m.m., förluster på kortfr.fordringar, övr. riskkostnader</t>
  </si>
  <si>
    <t>Fastighetsskatt o -avgift, fordons- o. trängselskatt</t>
  </si>
  <si>
    <t>Verksamhetens nettokostnader / Skatteintäkter, generella statsbidrag och utjämning</t>
  </si>
  <si>
    <t>Finansnetto / Skatteintäkter, generella statsbidrag och utjämning</t>
  </si>
  <si>
    <t>Resultat efter finansiella poster / Skatteintäkter, generella statsbidrag och utjämning</t>
  </si>
  <si>
    <t>Årets resultat / Skatteintäkter, generella statsbidrag och utjämning</t>
  </si>
  <si>
    <t>Särsk. löneskatt, exkl. särsk.löneskatt på avs. pens.</t>
  </si>
  <si>
    <t>Finansiell kostnad, förändring av pensionsavs.</t>
  </si>
  <si>
    <t>Förlust vid avyttring o värdering, finansiella anl.tillg</t>
  </si>
  <si>
    <t>Utdeln.aktier, andelar i konc.ftg.</t>
  </si>
  <si>
    <t xml:space="preserve">Mellankommunal kostn.utj., övriga skatter </t>
  </si>
  <si>
    <r>
      <rPr>
        <b/>
        <sz val="7"/>
        <rFont val="Helvetica"/>
        <family val="2"/>
      </rPr>
      <t>Kommun</t>
    </r>
    <r>
      <rPr>
        <sz val="7"/>
        <rFont val="Helvetica"/>
        <family val="2"/>
      </rPr>
      <t xml:space="preserve">
Mark, byggn. och tekn. anläggningar [11]</t>
    </r>
  </si>
  <si>
    <r>
      <rPr>
        <b/>
        <sz val="7"/>
        <rFont val="Helvetica"/>
        <family val="2"/>
      </rPr>
      <t>Kommun</t>
    </r>
    <r>
      <rPr>
        <sz val="7"/>
        <rFont val="Helvetica"/>
        <family val="2"/>
      </rPr>
      <t xml:space="preserve">
Finansiella anläggnings-tillgångar              [13 ej 139]</t>
    </r>
  </si>
  <si>
    <r>
      <t xml:space="preserve">Koncern
</t>
    </r>
    <r>
      <rPr>
        <sz val="7"/>
        <color indexed="8"/>
        <rFont val="Helvetica"/>
        <family val="2"/>
      </rPr>
      <t>Finansiella anläggningstillg. [13, ej 139]</t>
    </r>
  </si>
  <si>
    <r>
      <t xml:space="preserve">till 50 % av kommunen, anges på raden för fastighetsverksamhet. I beloppet ska bolagets samtliga investeringsutgifter/inkomster </t>
    </r>
    <r>
      <rPr>
        <i/>
        <sz val="8"/>
        <color rgb="FFFF0000"/>
        <rFont val="Helvetica"/>
        <family val="2"/>
      </rPr>
      <t>avseende materiella och immateriella anläggningstillgångar</t>
    </r>
    <r>
      <rPr>
        <sz val="8"/>
        <rFont val="Helvetica"/>
        <family val="2"/>
      </rPr>
      <t xml:space="preserve"> ingå, dvs. inte enbart fastighetsinvesteringar.</t>
    </r>
  </si>
  <si>
    <r>
      <rPr>
        <b/>
        <sz val="7"/>
        <rFont val="Helvetica"/>
        <family val="2"/>
      </rPr>
      <t xml:space="preserve">AFFÄRSVERKSAMHET  </t>
    </r>
    <r>
      <rPr>
        <sz val="7"/>
        <rFont val="Helvetica"/>
        <family val="2"/>
      </rPr>
      <t xml:space="preserve">                          
</t>
    </r>
    <r>
      <rPr>
        <b/>
        <sz val="7"/>
        <rFont val="Helvetica"/>
        <family val="2"/>
      </rPr>
      <t xml:space="preserve">Näringsliv och bostäder                                 </t>
    </r>
    <r>
      <rPr>
        <sz val="7"/>
        <rFont val="Helvetica"/>
        <family val="2"/>
      </rPr>
      <t>Arbetsområden och lokaler</t>
    </r>
  </si>
  <si>
    <t>Förskola, fritidshem o annan ped.verksamhet tot.</t>
  </si>
  <si>
    <r>
      <t>Därav utdebiterat till verksamheterna (raderna)</t>
    </r>
    <r>
      <rPr>
        <sz val="7"/>
        <color rgb="FFFFFFCC"/>
        <rFont val="Helvetica"/>
        <family val="2"/>
      </rPr>
      <t xml:space="preserve"> …………..</t>
    </r>
    <r>
      <rPr>
        <sz val="7"/>
        <rFont val="Helvetica"/>
        <family val="2"/>
      </rPr>
      <t xml:space="preserve">100-910 i regel i kol.M </t>
    </r>
  </si>
  <si>
    <t>Div. förluster, övr.risk. [735,736,737,738,739]</t>
  </si>
  <si>
    <t>Förs. av v-het. till annan kommun o kom.förbund</t>
  </si>
  <si>
    <t>Driftbidrag fr. staten, statl. mynd. inkl. AF</t>
  </si>
  <si>
    <t>Nedan fördelas summan av beloppen i kol. C och D på rad 987, inköp/nyansk. inkl. pågående arbeten och nyanskaffad finansiell leasing. Investeringar i immateriella anl.tillg. ska ingå. Finansiella anläggningstillgångar ska ej ingå.</t>
  </si>
  <si>
    <t>Anpassad grundskola, totalt</t>
  </si>
  <si>
    <t>Anpassad gymnasieskola, totalt</t>
  </si>
  <si>
    <t>Anpassad grundskola</t>
  </si>
  <si>
    <t>Anpassad gymnasieskola</t>
  </si>
  <si>
    <t>Differens anpassad grundskola</t>
  </si>
  <si>
    <t>Differens anpassad gymnasieskolan</t>
  </si>
  <si>
    <r>
      <rPr>
        <b/>
        <sz val="7"/>
        <rFont val="Helvetica"/>
        <family val="2"/>
      </rPr>
      <t>Not 1:</t>
    </r>
    <r>
      <rPr>
        <sz val="7"/>
        <rFont val="Helvetica"/>
        <family val="2"/>
      </rPr>
      <t xml:space="preserve"> 41, 43, 64 ej 644, 654, 655  </t>
    </r>
  </si>
  <si>
    <r>
      <rPr>
        <b/>
        <sz val="7"/>
        <rFont val="Helvetica"/>
        <family val="2"/>
      </rPr>
      <t>Not 2</t>
    </r>
    <r>
      <rPr>
        <sz val="7"/>
        <rFont val="Helvetica"/>
        <family val="2"/>
      </rPr>
      <t>: 55x1, 5597, 61 ej [617, 618, 6192], 699, 705, 71-72</t>
    </r>
  </si>
  <si>
    <t>Räntekostnader för leverantörsskulder</t>
  </si>
  <si>
    <t>Komvux, anpassad utbildning</t>
  </si>
  <si>
    <t>Grundskola inkl förskoleklass och anpassad grundskola</t>
  </si>
  <si>
    <t>Gymnasieskola inkl anpassad gymnasieskola</t>
  </si>
  <si>
    <t>Svenska för invandrare</t>
  </si>
  <si>
    <t>Differens svenska för invandrare</t>
  </si>
  <si>
    <t xml:space="preserve">Särskilt boende </t>
  </si>
  <si>
    <t>Annat boende</t>
  </si>
  <si>
    <t>476</t>
  </si>
  <si>
    <t>4761</t>
  </si>
  <si>
    <t>4762</t>
  </si>
  <si>
    <t>4766</t>
  </si>
  <si>
    <t>4767</t>
  </si>
  <si>
    <t>4768</t>
  </si>
  <si>
    <t>47681</t>
  </si>
  <si>
    <t>59 [ej 591]</t>
  </si>
  <si>
    <t>Övriga lönejusteringar</t>
  </si>
  <si>
    <t>Särskilt boende</t>
  </si>
  <si>
    <t>Obligationsprogram och förlagslån</t>
  </si>
  <si>
    <t>2282</t>
  </si>
  <si>
    <t>Generella bidrag från staten.</t>
  </si>
  <si>
    <t>Reaförluster o div. period. [78]</t>
  </si>
  <si>
    <t>varav för lån</t>
  </si>
  <si>
    <t xml:space="preserve">Rad nr </t>
  </si>
  <si>
    <t xml:space="preserve">        varav resultatreserv </t>
  </si>
  <si>
    <t xml:space="preserve">        varav resultatutjämningsreserv</t>
  </si>
  <si>
    <t>Förändr.pens.avs.[572] o.särsk.lönesk.pens.avs.[5635], del av 59</t>
  </si>
  <si>
    <t>Invånarantal 16 - w</t>
  </si>
  <si>
    <t>Kostnad per invånare 16-w år kommunal regi</t>
  </si>
  <si>
    <t>Kostnad per invånare 16-w år för undervisning.</t>
  </si>
  <si>
    <t>Kostnad per invånare 16-w år för lärverktyg</t>
  </si>
  <si>
    <t>Kostnad per invånare 16-w år för elevhälsa.</t>
  </si>
  <si>
    <t>Kostnad per invånare 16-w år för lokaler.</t>
  </si>
  <si>
    <t>Kostnad per invånare 16-w år för övigt.</t>
  </si>
  <si>
    <t>Kostnad per invånare 16-w år för hemkommunen, svenska för invandrare.</t>
  </si>
  <si>
    <t>061</t>
  </si>
  <si>
    <t>0732</t>
  </si>
  <si>
    <t>0733</t>
  </si>
  <si>
    <t>Övriga kortfristiga placeringar</t>
  </si>
  <si>
    <t>057</t>
  </si>
  <si>
    <t xml:space="preserve">        varav resultatreserv</t>
  </si>
  <si>
    <t>Eget kapital vid årets början</t>
  </si>
  <si>
    <t>EGET KAPITAL VID ÅRETS SLUT</t>
  </si>
  <si>
    <t>Åberopar synnerliga skäl för att inte återställa hela eller delar av årets negativa balanskravsresultat - ange belopp!</t>
  </si>
  <si>
    <t>Ackumulerat negativt balanskravsresultat att återställa</t>
  </si>
  <si>
    <t>Åberopar synnerliga skäl för att återställa årets negativa balanskravsresultat på fler än tre år - ange antal år!</t>
  </si>
  <si>
    <t>Årets balanskravsresultat att återställa, efter synnerliga skäl</t>
  </si>
  <si>
    <t>Synnerliga skäl (årets balanskravsresultat)</t>
  </si>
  <si>
    <t>Negativt balanskravsresultat att återställa från tidigare år</t>
  </si>
  <si>
    <t>Ackumulerat ej återställt negativt balanskravsresultat (från tidigare år inkl. årets ev negativa balanskravsresultat)</t>
  </si>
  <si>
    <t>Övriga justeringar i eget kapital</t>
  </si>
  <si>
    <t>Soc.avg o pens.utbet./kostn. [56 "ej 5635", del av 59, 57 "ej 572"]</t>
  </si>
  <si>
    <t>[50-51, 53, 54, 55x2, 5598, del av 59]</t>
  </si>
  <si>
    <t>Kontokredit, långfristig del, övriga långfristiga skulder</t>
  </si>
  <si>
    <t>Särskild momsersättning</t>
  </si>
  <si>
    <t>62, 691, 697</t>
  </si>
  <si>
    <t>[41"ej 418", 43, 617, 618, 62, 64-65, 691, 697]</t>
  </si>
  <si>
    <t>[55x1, 5597, 60,"ej 601", 61"ej 617,618", 63, 66, 68, 69"ej 691 och 697", 70-72, 731-734, 74, 75, 76]</t>
  </si>
  <si>
    <t>Pensionsförsäkringslösningar för pensionsförmåner intjänade före 1998</t>
  </si>
  <si>
    <t>181</t>
  </si>
  <si>
    <t>RIKSTOTAL</t>
  </si>
  <si>
    <t>Kommunernas finanser</t>
  </si>
  <si>
    <t>Räkenskapssammandraget 2025</t>
  </si>
  <si>
    <t>Värde Mnkr</t>
  </si>
  <si>
    <t>Därav interna intäkter</t>
  </si>
  <si>
    <t>Publiceringsdatum: 260828</t>
  </si>
  <si>
    <t>Att tänka på gällande redovisningen av balanskravsresultatet:</t>
  </si>
  <si>
    <t xml:space="preserve">När en analys ska ske av variabeln balanskravsresultat tillsammans med variablerna för synnerliga skäl så kan värden på riksnivå bli svårtolkade. Vi rekommenderar därför att data i första hand tolkas och analyseras på mikronivå. Bakgrunden till detta är att på riksnivå redovisas ett positivt balanskravsresultat samtidigt som tabellen också visar värden på variabeln årets balanskravsresultat att återställa efter synnerliga skäl, något som i normala fall på mikronivå aldrig skulle uppstå. Anledningen till att detta scenario uppstår, beror på att balanskravsresultatet på riksnivå summerar enskilda kommuners balanskravsresultat, som antingen kan vara positivt eller negativt. Det är endast de kommuner som har ett negativt balanskravsresultat som också kan ha ett balanskravsresultat att återställa efter synnerliga skäl och det är därmed endast de kommunernas summerade värden som redovisas på rad 104-106.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</si>
</sst>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quot;kr&quot;#,##0_);[Red]\(&quot;kr&quot;#,##0\)"/>
    <numFmt numFmtId="165" formatCode="_(* #,##0.00_);_(* \(#,##0.00\);_(* &quot;-&quot;??_);_(@_)"/>
    <numFmt numFmtId="166" formatCode="000"/>
    <numFmt numFmtId="167" formatCode="###,###,###"/>
    <numFmt numFmtId="168" formatCode=";;;"/>
    <numFmt numFmtId="169" formatCode="#,##0.0000"/>
    <numFmt numFmtId="170" formatCode="###,##0"/>
    <numFmt numFmtId="171" formatCode="#,###"/>
    <numFmt numFmtId="172" formatCode="#,##0.0000000"/>
    <numFmt numFmtId="173" formatCode="#\ ##0"/>
  </numFmts>
  <fonts count="156">
    <font>
      <sz val="10"/>
      <name val="Arial"/>
    </font>
    <font>
      <sz val="11"/>
      <color theme="1"/>
      <name val="Calibri"/>
      <family val="2"/>
      <scheme val="minor"/>
    </font>
    <font>
      <sz val="11"/>
      <color theme="1"/>
      <name val="Calibri"/>
      <family val="2"/>
      <scheme val="minor"/>
    </font>
    <font>
      <sz val="10"/>
      <name val="Helvetica"/>
      <family val="2"/>
    </font>
    <font>
      <sz val="8"/>
      <name val="Helvetica"/>
      <family val="2"/>
    </font>
    <font>
      <sz val="7"/>
      <name val="Helvetica"/>
      <family val="2"/>
    </font>
    <font>
      <b/>
      <sz val="8"/>
      <name val="Helvetica"/>
      <family val="2"/>
    </font>
    <font>
      <b/>
      <sz val="7"/>
      <name val="Helvetica"/>
      <family val="2"/>
    </font>
    <font>
      <b/>
      <sz val="11"/>
      <name val="Helvetica"/>
      <family val="2"/>
    </font>
    <font>
      <sz val="7"/>
      <name val="Arial"/>
      <family val="2"/>
    </font>
    <font>
      <sz val="7"/>
      <name val="Helvetica"/>
      <family val="2"/>
    </font>
    <font>
      <sz val="8"/>
      <name val="Arial"/>
      <family val="2"/>
    </font>
    <font>
      <sz val="8"/>
      <color indexed="8"/>
      <name val="Helvetica"/>
      <family val="2"/>
    </font>
    <font>
      <sz val="7"/>
      <name val="Arial"/>
      <family val="2"/>
    </font>
    <font>
      <b/>
      <sz val="7"/>
      <name val="Arial"/>
      <family val="2"/>
    </font>
    <font>
      <sz val="8"/>
      <name val="Helvetica"/>
      <family val="2"/>
    </font>
    <font>
      <b/>
      <sz val="8"/>
      <color indexed="81"/>
      <name val="Tahoma"/>
      <family val="2"/>
    </font>
    <font>
      <sz val="8"/>
      <color indexed="81"/>
      <name val="Tahoma"/>
      <family val="2"/>
    </font>
    <font>
      <b/>
      <sz val="7"/>
      <name val="Helvetica"/>
      <family val="2"/>
    </font>
    <font>
      <b/>
      <sz val="10"/>
      <name val="Helvetica"/>
      <family val="2"/>
    </font>
    <font>
      <sz val="7"/>
      <color indexed="8"/>
      <name val="Helvetica"/>
      <family val="2"/>
    </font>
    <font>
      <sz val="12"/>
      <name val="Times New Roman"/>
      <family val="1"/>
    </font>
    <font>
      <b/>
      <sz val="12"/>
      <name val="Helvetica"/>
      <family val="2"/>
    </font>
    <font>
      <b/>
      <sz val="8"/>
      <name val="Arial"/>
      <family val="2"/>
    </font>
    <font>
      <sz val="12"/>
      <name val="Helvetica"/>
      <family val="2"/>
    </font>
    <font>
      <sz val="10"/>
      <name val="MS Sans Serif"/>
      <family val="2"/>
    </font>
    <font>
      <sz val="10"/>
      <name val="Arial"/>
      <family val="2"/>
    </font>
    <font>
      <sz val="8"/>
      <name val="Arial"/>
      <family val="2"/>
    </font>
    <font>
      <b/>
      <sz val="9"/>
      <name val="Helvetica"/>
      <family val="2"/>
    </font>
    <font>
      <b/>
      <sz val="7"/>
      <name val="Coronet"/>
      <family val="2"/>
    </font>
    <font>
      <b/>
      <sz val="8"/>
      <name val="Coronet"/>
      <family val="2"/>
    </font>
    <font>
      <b/>
      <sz val="11"/>
      <name val="Coronet"/>
      <family val="2"/>
    </font>
    <font>
      <b/>
      <sz val="12"/>
      <color indexed="9"/>
      <name val="Arial Black"/>
      <family val="2"/>
    </font>
    <font>
      <sz val="10"/>
      <color indexed="9"/>
      <name val="Coronet"/>
      <family val="2"/>
    </font>
    <font>
      <b/>
      <sz val="9"/>
      <color indexed="9"/>
      <name val="Coronet"/>
      <family val="2"/>
    </font>
    <font>
      <b/>
      <sz val="16"/>
      <color indexed="9"/>
      <name val="Arial"/>
      <family val="2"/>
    </font>
    <font>
      <sz val="10"/>
      <name val="Arial"/>
      <family val="2"/>
    </font>
    <font>
      <sz val="10"/>
      <name val="Helvetica"/>
      <family val="2"/>
    </font>
    <font>
      <sz val="7"/>
      <color indexed="10"/>
      <name val="Helvetica"/>
      <family val="2"/>
    </font>
    <font>
      <sz val="8"/>
      <color indexed="10"/>
      <name val="Helvetica"/>
      <family val="2"/>
    </font>
    <font>
      <sz val="7"/>
      <color indexed="10"/>
      <name val="Arial"/>
      <family val="2"/>
    </font>
    <font>
      <sz val="9"/>
      <name val="Helvetica"/>
      <family val="2"/>
    </font>
    <font>
      <sz val="10"/>
      <color indexed="9"/>
      <name val="Arial"/>
      <family val="2"/>
    </font>
    <font>
      <sz val="7"/>
      <color indexed="37"/>
      <name val="Helvetica"/>
      <family val="2"/>
    </font>
    <font>
      <sz val="8"/>
      <color indexed="37"/>
      <name val="Helvetica"/>
      <family val="2"/>
    </font>
    <font>
      <sz val="7"/>
      <color indexed="8"/>
      <name val="Arial"/>
      <family val="2"/>
    </font>
    <font>
      <sz val="10"/>
      <color indexed="39"/>
      <name val="Arial"/>
      <family val="2"/>
    </font>
    <font>
      <sz val="8"/>
      <color indexed="39"/>
      <name val="Helvetica"/>
      <family val="2"/>
    </font>
    <font>
      <b/>
      <sz val="7"/>
      <color indexed="10"/>
      <name val="Helvetica"/>
      <family val="2"/>
    </font>
    <font>
      <sz val="7"/>
      <color indexed="39"/>
      <name val="Arial"/>
      <family val="2"/>
    </font>
    <font>
      <sz val="8"/>
      <color indexed="12"/>
      <name val="Helvetica"/>
      <family val="2"/>
    </font>
    <font>
      <sz val="8"/>
      <color indexed="39"/>
      <name val="Arial"/>
      <family val="2"/>
    </font>
    <font>
      <b/>
      <sz val="7"/>
      <color indexed="10"/>
      <name val="Arial"/>
      <family val="2"/>
    </font>
    <font>
      <b/>
      <sz val="10"/>
      <name val="Arial"/>
      <family val="2"/>
    </font>
    <font>
      <sz val="9"/>
      <color indexed="39"/>
      <name val="Helvetica"/>
      <family val="2"/>
    </font>
    <font>
      <b/>
      <sz val="10"/>
      <color indexed="37"/>
      <name val="Helvetica"/>
      <family val="2"/>
    </font>
    <font>
      <b/>
      <sz val="9"/>
      <color indexed="8"/>
      <name val="Arial Black"/>
      <family val="2"/>
    </font>
    <font>
      <b/>
      <sz val="12"/>
      <name val="Arial"/>
      <family val="2"/>
    </font>
    <font>
      <b/>
      <sz val="10"/>
      <color indexed="37"/>
      <name val="Arial"/>
      <family val="2"/>
    </font>
    <font>
      <u/>
      <sz val="10"/>
      <color indexed="36"/>
      <name val="Arial"/>
      <family val="2"/>
    </font>
    <font>
      <sz val="7"/>
      <color indexed="10"/>
      <name val="Helvetica"/>
      <family val="2"/>
    </font>
    <font>
      <sz val="11"/>
      <color indexed="9"/>
      <name val="Calibri"/>
      <family val="2"/>
    </font>
    <font>
      <sz val="10"/>
      <color indexed="9"/>
      <name val="Helvetica"/>
      <family val="2"/>
    </font>
    <font>
      <b/>
      <sz val="9"/>
      <color indexed="9"/>
      <name val="Helvetica"/>
      <family val="2"/>
    </font>
    <font>
      <sz val="7"/>
      <color indexed="8"/>
      <name val="Helvetica"/>
      <family val="2"/>
    </font>
    <font>
      <b/>
      <sz val="8"/>
      <color indexed="8"/>
      <name val="Helvetica"/>
      <family val="2"/>
    </font>
    <font>
      <sz val="7"/>
      <color indexed="8"/>
      <name val="Calibri"/>
      <family val="2"/>
    </font>
    <font>
      <b/>
      <sz val="7"/>
      <color indexed="8"/>
      <name val="Helvetica"/>
      <family val="2"/>
    </font>
    <font>
      <sz val="10"/>
      <color indexed="8"/>
      <name val="Arial"/>
      <family val="2"/>
    </font>
    <font>
      <sz val="10"/>
      <color indexed="8"/>
      <name val="Helvetica"/>
      <family val="2"/>
    </font>
    <font>
      <sz val="7"/>
      <color indexed="10"/>
      <name val="Times New Roman"/>
      <family val="1"/>
    </font>
    <font>
      <sz val="8"/>
      <color indexed="10"/>
      <name val="Times New Roman"/>
      <family val="1"/>
    </font>
    <font>
      <sz val="8"/>
      <color indexed="10"/>
      <name val="Helvetica"/>
      <family val="2"/>
    </font>
    <font>
      <b/>
      <sz val="12"/>
      <color indexed="8"/>
      <name val="Arial"/>
      <family val="2"/>
    </font>
    <font>
      <b/>
      <sz val="8"/>
      <color indexed="8"/>
      <name val="Helvetica"/>
      <family val="2"/>
    </font>
    <font>
      <b/>
      <sz val="7"/>
      <name val="Calibri"/>
      <family val="2"/>
    </font>
    <font>
      <b/>
      <sz val="12"/>
      <color indexed="8"/>
      <name val="Helvetica"/>
      <family val="2"/>
    </font>
    <font>
      <b/>
      <sz val="11"/>
      <color indexed="8"/>
      <name val="Helvetica"/>
      <family val="2"/>
    </font>
    <font>
      <b/>
      <sz val="10"/>
      <color indexed="8"/>
      <name val="Helvetica"/>
      <family val="2"/>
    </font>
    <font>
      <sz val="8"/>
      <color indexed="9"/>
      <name val="Helvetica"/>
      <family val="2"/>
    </font>
    <font>
      <b/>
      <sz val="16"/>
      <color indexed="10"/>
      <name val="Arial"/>
      <family val="2"/>
    </font>
    <font>
      <sz val="10"/>
      <color indexed="10"/>
      <name val="Arial"/>
      <family val="2"/>
    </font>
    <font>
      <sz val="8"/>
      <color indexed="10"/>
      <name val="Arial"/>
      <family val="2"/>
    </font>
    <font>
      <b/>
      <sz val="8"/>
      <color indexed="10"/>
      <name val="Helvetica"/>
      <family val="2"/>
    </font>
    <font>
      <sz val="7"/>
      <color indexed="16"/>
      <name val="Helvetica"/>
      <family val="2"/>
    </font>
    <font>
      <sz val="10"/>
      <color indexed="16"/>
      <name val="Cambria"/>
      <family val="1"/>
    </font>
    <font>
      <b/>
      <sz val="7"/>
      <color indexed="9"/>
      <name val="Helvetica"/>
      <family val="2"/>
    </font>
    <font>
      <b/>
      <vertAlign val="superscript"/>
      <sz val="7"/>
      <name val="Helvetica"/>
      <family val="2"/>
    </font>
    <font>
      <b/>
      <vertAlign val="superscript"/>
      <sz val="7"/>
      <name val="Calibri"/>
      <family val="2"/>
    </font>
    <font>
      <vertAlign val="superscript"/>
      <sz val="7"/>
      <name val="Helvetica"/>
      <family val="2"/>
    </font>
    <font>
      <sz val="8"/>
      <name val="Arial"/>
      <family val="2"/>
    </font>
    <font>
      <b/>
      <sz val="8"/>
      <name val="Arial"/>
      <family val="2"/>
    </font>
    <font>
      <sz val="10"/>
      <color indexed="39"/>
      <name val="Helvetica"/>
      <family val="2"/>
    </font>
    <font>
      <b/>
      <sz val="9"/>
      <name val="Arial"/>
      <family val="2"/>
    </font>
    <font>
      <sz val="10"/>
      <color indexed="9"/>
      <name val="Arial"/>
      <family val="2"/>
    </font>
    <font>
      <sz val="10"/>
      <color indexed="9"/>
      <name val="Arial"/>
      <family val="2"/>
    </font>
    <font>
      <b/>
      <sz val="12"/>
      <color indexed="9"/>
      <name val="Arial"/>
      <family val="2"/>
    </font>
    <font>
      <b/>
      <sz val="10"/>
      <color indexed="9"/>
      <name val="Arial"/>
      <family val="2"/>
    </font>
    <font>
      <b/>
      <sz val="12"/>
      <color indexed="9"/>
      <name val="Arial"/>
      <family val="2"/>
    </font>
    <font>
      <sz val="14"/>
      <name val="Arial"/>
      <family val="2"/>
    </font>
    <font>
      <sz val="10"/>
      <color indexed="39"/>
      <name val="Arial"/>
      <family val="2"/>
    </font>
    <font>
      <sz val="6"/>
      <color indexed="10"/>
      <name val="Helvetica"/>
      <family val="2"/>
    </font>
    <font>
      <sz val="7"/>
      <name val="Helvetica "/>
    </font>
    <font>
      <sz val="8"/>
      <color indexed="9"/>
      <name val="Helvetica"/>
      <family val="2"/>
    </font>
    <font>
      <sz val="8"/>
      <color indexed="9"/>
      <name val="Cambria"/>
      <family val="1"/>
    </font>
    <font>
      <sz val="10"/>
      <color indexed="9"/>
      <name val="Cambria"/>
      <family val="1"/>
    </font>
    <font>
      <sz val="7"/>
      <name val="Cambria"/>
      <family val="1"/>
    </font>
    <font>
      <u/>
      <sz val="10"/>
      <name val="Arial"/>
      <family val="2"/>
    </font>
    <font>
      <sz val="6.5"/>
      <name val="Helvetica"/>
      <family val="2"/>
    </font>
    <font>
      <sz val="9"/>
      <color indexed="81"/>
      <name val="Tahoma"/>
      <family val="2"/>
    </font>
    <font>
      <b/>
      <sz val="9"/>
      <color indexed="81"/>
      <name val="Tahoma"/>
      <family val="2"/>
    </font>
    <font>
      <sz val="11"/>
      <color theme="1"/>
      <name val="Calibri"/>
      <family val="2"/>
      <scheme val="minor"/>
    </font>
    <font>
      <sz val="11"/>
      <color rgb="FF9C0006"/>
      <name val="Calibri"/>
      <family val="2"/>
      <scheme val="minor"/>
    </font>
    <font>
      <sz val="7"/>
      <color rgb="FFFF0000"/>
      <name val="Helvetica"/>
      <family val="2"/>
    </font>
    <font>
      <sz val="7"/>
      <color rgb="FFFF0000"/>
      <name val="Arial"/>
      <family val="2"/>
    </font>
    <font>
      <sz val="8"/>
      <color rgb="FFFF0000"/>
      <name val="Arial"/>
      <family val="2"/>
    </font>
    <font>
      <sz val="8"/>
      <color rgb="FFFF0000"/>
      <name val="Helvetica"/>
      <family val="2"/>
    </font>
    <font>
      <b/>
      <sz val="11"/>
      <color theme="0"/>
      <name val="Arial"/>
      <family val="2"/>
    </font>
    <font>
      <sz val="7"/>
      <color theme="0"/>
      <name val="Helvetica"/>
      <family val="2"/>
    </font>
    <font>
      <sz val="7"/>
      <color rgb="FFFFFFCC"/>
      <name val="Helvetica"/>
      <family val="2"/>
    </font>
    <font>
      <sz val="10"/>
      <color rgb="FFFFFFCC"/>
      <name val="Arial"/>
      <family val="2"/>
    </font>
    <font>
      <sz val="8"/>
      <color rgb="FF00B050"/>
      <name val="Helvetica"/>
      <family val="2"/>
    </font>
    <font>
      <sz val="8"/>
      <color theme="1"/>
      <name val="Helvetica"/>
      <family val="2"/>
    </font>
    <font>
      <b/>
      <sz val="7"/>
      <color theme="1"/>
      <name val="Helvetica"/>
      <family val="2"/>
    </font>
    <font>
      <b/>
      <sz val="8"/>
      <color theme="1"/>
      <name val="Helvetica"/>
      <family val="2"/>
    </font>
    <font>
      <sz val="8"/>
      <color rgb="FFFFFFCC"/>
      <name val="Helvetica"/>
      <family val="2"/>
    </font>
    <font>
      <b/>
      <sz val="7"/>
      <color rgb="FFFFFFCC"/>
      <name val="Helvetica"/>
      <family val="2"/>
    </font>
    <font>
      <sz val="7"/>
      <color rgb="FFFF0000"/>
      <name val="Helvetica"/>
      <family val="2"/>
    </font>
    <font>
      <sz val="7"/>
      <name val="Helvetica"/>
      <family val="2"/>
    </font>
    <font>
      <b/>
      <sz val="7"/>
      <name val="Helvetica"/>
      <family val="2"/>
    </font>
    <font>
      <b/>
      <sz val="7"/>
      <color rgb="FFFFFFCC"/>
      <name val="Helvetica"/>
      <family val="2"/>
    </font>
    <font>
      <sz val="7"/>
      <color rgb="FFFFFFCC"/>
      <name val="Helvetica"/>
      <family val="2"/>
    </font>
    <font>
      <sz val="7"/>
      <color rgb="FFFFFFCC"/>
      <name val="Arial"/>
      <family val="2"/>
    </font>
    <font>
      <sz val="7"/>
      <color rgb="FFFFFFCC"/>
      <name val="Helvetia"/>
    </font>
    <font>
      <sz val="7"/>
      <name val="Helvetia"/>
    </font>
    <font>
      <sz val="8"/>
      <color theme="0"/>
      <name val="Arial"/>
      <family val="2"/>
    </font>
    <font>
      <i/>
      <sz val="8"/>
      <color rgb="FFFF0000"/>
      <name val="Helvetica"/>
      <family val="2"/>
    </font>
    <font>
      <sz val="10"/>
      <color theme="0"/>
      <name val="Arial"/>
      <family val="2"/>
    </font>
    <font>
      <sz val="8"/>
      <color theme="0"/>
      <name val="Helvetica"/>
      <family val="2"/>
    </font>
    <font>
      <strike/>
      <sz val="7"/>
      <color rgb="FFFF0000"/>
      <name val="Helvetica"/>
      <family val="2"/>
    </font>
    <font>
      <strike/>
      <sz val="7"/>
      <name val="Helvetica"/>
      <family val="2"/>
    </font>
    <font>
      <sz val="7"/>
      <color theme="0"/>
      <name val="Arial"/>
      <family val="2"/>
    </font>
    <font>
      <b/>
      <sz val="7"/>
      <color theme="0"/>
      <name val="Helvetica"/>
      <family val="2"/>
    </font>
    <font>
      <b/>
      <sz val="8"/>
      <color indexed="10"/>
      <name val="Tahoma"/>
      <family val="2"/>
    </font>
    <font>
      <sz val="7"/>
      <color rgb="FFFF0000"/>
      <name val="Helvetica"/>
      <family val="2"/>
    </font>
    <font>
      <sz val="7"/>
      <color rgb="FFFF0000"/>
      <name val="Calibri"/>
      <family val="2"/>
      <scheme val="minor"/>
    </font>
    <font>
      <sz val="10"/>
      <name val="Arial"/>
      <family val="2"/>
    </font>
    <font>
      <b/>
      <sz val="7"/>
      <name val="Helvetica"/>
      <family val="2"/>
    </font>
    <font>
      <i/>
      <sz val="10"/>
      <name val="Arial"/>
      <family val="2"/>
    </font>
    <font>
      <sz val="9"/>
      <color indexed="81"/>
      <name val="Tahoma"/>
      <charset val="1"/>
    </font>
    <font>
      <b/>
      <sz val="9"/>
      <color indexed="81"/>
      <name val="Tahoma"/>
      <charset val="1"/>
    </font>
    <font>
      <sz val="7"/>
      <color rgb="FFFF0000"/>
      <name val="Helvetia"/>
    </font>
    <font>
      <sz val="7"/>
      <color rgb="FFFF0000"/>
      <name val="Helvetica"/>
    </font>
    <font>
      <b/>
      <sz val="10"/>
      <color rgb="FFFFFFC0"/>
      <name val="Helvetica"/>
      <family val="2"/>
    </font>
    <font>
      <sz val="26"/>
      <name val="Arial"/>
      <family val="2"/>
    </font>
    <font>
      <b/>
      <sz val="11"/>
      <color rgb="FF242424"/>
      <name val="Aptos Narrow"/>
      <family val="2"/>
    </font>
  </fonts>
  <fills count="38">
    <fill>
      <patternFill patternType="none"/>
    </fill>
    <fill>
      <patternFill patternType="gray125"/>
    </fill>
    <fill>
      <patternFill patternType="solid">
        <fgColor indexed="9"/>
        <bgColor indexed="64"/>
      </patternFill>
    </fill>
    <fill>
      <patternFill patternType="gray125">
        <fgColor indexed="22"/>
        <bgColor indexed="9"/>
      </patternFill>
    </fill>
    <fill>
      <patternFill patternType="solid">
        <fgColor indexed="9"/>
        <bgColor indexed="9"/>
      </patternFill>
    </fill>
    <fill>
      <patternFill patternType="gray125">
        <fgColor indexed="9"/>
        <bgColor indexed="9"/>
      </patternFill>
    </fill>
    <fill>
      <patternFill patternType="solid">
        <fgColor indexed="9"/>
        <bgColor indexed="22"/>
      </patternFill>
    </fill>
    <fill>
      <patternFill patternType="solid">
        <fgColor indexed="56"/>
        <bgColor indexed="64"/>
      </patternFill>
    </fill>
    <fill>
      <patternFill patternType="lightGray">
        <fgColor indexed="22"/>
        <bgColor indexed="9"/>
      </patternFill>
    </fill>
    <fill>
      <patternFill patternType="lightGray">
        <fgColor indexed="40"/>
        <bgColor indexed="9"/>
      </patternFill>
    </fill>
    <fill>
      <patternFill patternType="solid">
        <fgColor indexed="26"/>
        <bgColor indexed="64"/>
      </patternFill>
    </fill>
    <fill>
      <patternFill patternType="solid">
        <fgColor indexed="65"/>
        <bgColor indexed="31"/>
      </patternFill>
    </fill>
    <fill>
      <patternFill patternType="lightGray">
        <fgColor indexed="22"/>
      </patternFill>
    </fill>
    <fill>
      <patternFill patternType="gray125">
        <fgColor indexed="22"/>
      </patternFill>
    </fill>
    <fill>
      <patternFill patternType="solid">
        <fgColor indexed="65"/>
        <bgColor indexed="64"/>
      </patternFill>
    </fill>
    <fill>
      <patternFill patternType="lightDown">
        <fgColor indexed="9"/>
        <bgColor indexed="26"/>
      </patternFill>
    </fill>
    <fill>
      <patternFill patternType="solid">
        <fgColor indexed="26"/>
        <bgColor indexed="22"/>
      </patternFill>
    </fill>
    <fill>
      <patternFill patternType="solid">
        <fgColor indexed="65"/>
        <bgColor indexed="22"/>
      </patternFill>
    </fill>
    <fill>
      <patternFill patternType="solid">
        <fgColor rgb="FFFFFFCC"/>
      </patternFill>
    </fill>
    <fill>
      <patternFill patternType="solid">
        <fgColor rgb="FFFFC7CE"/>
      </patternFill>
    </fill>
    <fill>
      <patternFill patternType="solid">
        <fgColor rgb="FFFFFFCC"/>
        <bgColor indexed="64"/>
      </patternFill>
    </fill>
    <fill>
      <patternFill patternType="solid">
        <fgColor rgb="FFFFFFCC"/>
        <bgColor indexed="22"/>
      </patternFill>
    </fill>
    <fill>
      <patternFill patternType="solid">
        <fgColor rgb="FFFFFFCC"/>
        <bgColor indexed="55"/>
      </patternFill>
    </fill>
    <fill>
      <patternFill patternType="solid">
        <fgColor rgb="FFFFFFCC"/>
        <bgColor indexed="31"/>
      </patternFill>
    </fill>
    <fill>
      <patternFill patternType="solid">
        <fgColor rgb="FFFFFFCC"/>
        <bgColor indexed="40"/>
      </patternFill>
    </fill>
    <fill>
      <patternFill patternType="gray125">
        <fgColor indexed="22"/>
        <bgColor rgb="FFFFFFFF"/>
      </patternFill>
    </fill>
    <fill>
      <patternFill patternType="lightGray">
        <fgColor indexed="40"/>
        <bgColor theme="0"/>
      </patternFill>
    </fill>
    <fill>
      <patternFill patternType="gray125">
        <fgColor indexed="22"/>
        <bgColor theme="0"/>
      </patternFill>
    </fill>
    <fill>
      <patternFill patternType="solid">
        <fgColor theme="0"/>
        <bgColor indexed="64"/>
      </patternFill>
    </fill>
    <fill>
      <patternFill patternType="solid">
        <fgColor rgb="FFFFFFE5"/>
        <bgColor indexed="64"/>
      </patternFill>
    </fill>
    <fill>
      <patternFill patternType="solid">
        <fgColor theme="0" tint="-0.14999847407452621"/>
        <bgColor indexed="64"/>
      </patternFill>
    </fill>
    <fill>
      <patternFill patternType="solid">
        <fgColor rgb="FFFFFFCC"/>
        <bgColor indexed="26"/>
      </patternFill>
    </fill>
    <fill>
      <patternFill patternType="solid">
        <fgColor rgb="FFFFFFCC"/>
        <bgColor rgb="FFFFFFCC"/>
      </patternFill>
    </fill>
    <fill>
      <patternFill patternType="gray125">
        <fgColor rgb="FFC0C0C0"/>
        <bgColor indexed="9"/>
      </patternFill>
    </fill>
    <fill>
      <patternFill patternType="solid">
        <fgColor rgb="FFFFFFFF"/>
        <bgColor indexed="64"/>
      </patternFill>
    </fill>
    <fill>
      <patternFill patternType="solid">
        <fgColor rgb="FFFFFFCC"/>
        <bgColor rgb="FFFFFFFF"/>
      </patternFill>
    </fill>
    <fill>
      <patternFill patternType="solid">
        <fgColor rgb="FFFFFFFF"/>
        <bgColor rgb="FFFFFFFF"/>
      </patternFill>
    </fill>
    <fill>
      <patternFill patternType="lightGray">
        <fgColor rgb="FF00CCFF"/>
        <bgColor rgb="FFFFFFFF"/>
      </patternFill>
    </fill>
  </fills>
  <borders count="329">
    <border>
      <left/>
      <right/>
      <top/>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right style="hair">
        <color indexed="64"/>
      </right>
      <top style="medium">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diagonal/>
    </border>
    <border>
      <left style="medium">
        <color indexed="64"/>
      </left>
      <right/>
      <top style="hair">
        <color indexed="64"/>
      </top>
      <bottom/>
      <diagonal/>
    </border>
    <border>
      <left/>
      <right/>
      <top/>
      <bottom style="medium">
        <color indexed="64"/>
      </bottom>
      <diagonal/>
    </border>
    <border>
      <left style="hair">
        <color indexed="64"/>
      </left>
      <right style="medium">
        <color indexed="64"/>
      </right>
      <top style="thin">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hair">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hair">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hair">
        <color indexed="64"/>
      </right>
      <top/>
      <bottom style="medium">
        <color indexed="64"/>
      </bottom>
      <diagonal/>
    </border>
    <border>
      <left/>
      <right/>
      <top style="thin">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medium">
        <color indexed="64"/>
      </right>
      <top style="hair">
        <color indexed="64"/>
      </top>
      <bottom/>
      <diagonal/>
    </border>
    <border>
      <left style="hair">
        <color indexed="64"/>
      </left>
      <right style="medium">
        <color indexed="64"/>
      </right>
      <top style="medium">
        <color indexed="64"/>
      </top>
      <bottom/>
      <diagonal/>
    </border>
    <border>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diagonal/>
    </border>
    <border>
      <left style="hair">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bottom style="thin">
        <color indexed="64"/>
      </bottom>
      <diagonal/>
    </border>
    <border>
      <left style="hair">
        <color indexed="64"/>
      </left>
      <right style="thin">
        <color indexed="64"/>
      </right>
      <top style="medium">
        <color indexed="64"/>
      </top>
      <bottom/>
      <diagonal/>
    </border>
    <border>
      <left style="hair">
        <color indexed="64"/>
      </left>
      <right style="hair">
        <color indexed="64"/>
      </right>
      <top style="medium">
        <color indexed="64"/>
      </top>
      <bottom/>
      <diagonal/>
    </border>
    <border>
      <left style="thin">
        <color indexed="64"/>
      </left>
      <right style="medium">
        <color indexed="64"/>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top style="hair">
        <color indexed="64"/>
      </top>
      <bottom/>
      <diagonal/>
    </border>
    <border>
      <left/>
      <right/>
      <top style="medium">
        <color indexed="64"/>
      </top>
      <bottom/>
      <diagonal/>
    </border>
    <border>
      <left style="medium">
        <color indexed="64"/>
      </left>
      <right/>
      <top style="thin">
        <color indexed="64"/>
      </top>
      <bottom style="hair">
        <color indexed="64"/>
      </bottom>
      <diagonal/>
    </border>
    <border>
      <left/>
      <right style="thin">
        <color indexed="64"/>
      </right>
      <top style="thin">
        <color indexed="64"/>
      </top>
      <bottom/>
      <diagonal/>
    </border>
    <border>
      <left style="medium">
        <color indexed="64"/>
      </left>
      <right style="hair">
        <color indexed="64"/>
      </right>
      <top/>
      <bottom/>
      <diagonal/>
    </border>
    <border>
      <left/>
      <right style="hair">
        <color indexed="64"/>
      </right>
      <top style="hair">
        <color indexed="64"/>
      </top>
      <bottom/>
      <diagonal/>
    </border>
    <border>
      <left style="medium">
        <color indexed="64"/>
      </left>
      <right style="hair">
        <color indexed="64"/>
      </right>
      <top/>
      <bottom style="medium">
        <color indexed="64"/>
      </bottom>
      <diagonal/>
    </border>
    <border>
      <left style="medium">
        <color indexed="64"/>
      </left>
      <right style="hair">
        <color indexed="64"/>
      </right>
      <top style="hair">
        <color indexed="64"/>
      </top>
      <bottom/>
      <diagonal/>
    </border>
    <border>
      <left style="medium">
        <color indexed="64"/>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hair">
        <color indexed="64"/>
      </left>
      <right style="hair">
        <color indexed="64"/>
      </right>
      <top style="thin">
        <color indexed="39"/>
      </top>
      <bottom/>
      <diagonal/>
    </border>
    <border>
      <left style="medium">
        <color indexed="64"/>
      </left>
      <right style="hair">
        <color indexed="64"/>
      </right>
      <top style="medium">
        <color indexed="64"/>
      </top>
      <bottom style="medium">
        <color indexed="64"/>
      </bottom>
      <diagonal/>
    </border>
    <border>
      <left style="hair">
        <color indexed="64"/>
      </left>
      <right/>
      <top/>
      <bottom style="thin">
        <color indexed="64"/>
      </bottom>
      <diagonal/>
    </border>
    <border>
      <left style="hair">
        <color indexed="64"/>
      </left>
      <right/>
      <top style="thin">
        <color indexed="39"/>
      </top>
      <bottom/>
      <diagonal/>
    </border>
    <border>
      <left style="hair">
        <color indexed="64"/>
      </left>
      <right style="medium">
        <color indexed="64"/>
      </right>
      <top style="thin">
        <color indexed="39"/>
      </top>
      <bottom/>
      <diagonal/>
    </border>
    <border>
      <left style="thin">
        <color indexed="64"/>
      </left>
      <right style="hair">
        <color indexed="64"/>
      </right>
      <top/>
      <bottom style="thin">
        <color indexed="64"/>
      </bottom>
      <diagonal/>
    </border>
    <border>
      <left style="hair">
        <color indexed="64"/>
      </left>
      <right style="hair">
        <color indexed="64"/>
      </right>
      <top style="medium">
        <color indexed="12"/>
      </top>
      <bottom style="medium">
        <color indexed="64"/>
      </bottom>
      <diagonal/>
    </border>
    <border>
      <left style="medium">
        <color indexed="64"/>
      </left>
      <right style="medium">
        <color indexed="64"/>
      </right>
      <top/>
      <bottom style="medium">
        <color indexed="64"/>
      </bottom>
      <diagonal/>
    </border>
    <border>
      <left/>
      <right style="hair">
        <color indexed="64"/>
      </right>
      <top/>
      <bottom/>
      <diagonal/>
    </border>
    <border>
      <left/>
      <right style="hair">
        <color indexed="64"/>
      </right>
      <top style="hair">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medium">
        <color indexed="64"/>
      </left>
      <right style="thin">
        <color indexed="64"/>
      </right>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hair">
        <color indexed="64"/>
      </left>
      <right/>
      <top style="hair">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top/>
      <bottom style="hair">
        <color indexed="64"/>
      </bottom>
      <diagonal/>
    </border>
    <border>
      <left style="hair">
        <color indexed="64"/>
      </left>
      <right style="medium">
        <color indexed="64"/>
      </right>
      <top style="thin">
        <color indexed="64"/>
      </top>
      <bottom/>
      <diagonal/>
    </border>
    <border>
      <left style="hair">
        <color indexed="64"/>
      </left>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top style="medium">
        <color indexed="64"/>
      </top>
      <bottom/>
      <diagonal/>
    </border>
    <border>
      <left style="hair">
        <color indexed="64"/>
      </left>
      <right style="thin">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medium">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bottom style="medium">
        <color indexed="64"/>
      </bottom>
      <diagonal/>
    </border>
    <border>
      <left style="hair">
        <color indexed="64"/>
      </left>
      <right/>
      <top style="thin">
        <color indexed="64"/>
      </top>
      <bottom style="thin">
        <color indexed="64"/>
      </bottom>
      <diagonal/>
    </border>
    <border>
      <left style="thin">
        <color indexed="64"/>
      </left>
      <right style="medium">
        <color indexed="64"/>
      </right>
      <top style="hair">
        <color indexed="64"/>
      </top>
      <bottom/>
      <diagonal/>
    </border>
    <border>
      <left style="hair">
        <color indexed="64"/>
      </left>
      <right style="hair">
        <color indexed="64"/>
      </right>
      <top style="hair">
        <color indexed="64"/>
      </top>
      <bottom style="thick">
        <color indexed="64"/>
      </bottom>
      <diagonal/>
    </border>
    <border>
      <left style="medium">
        <color indexed="64"/>
      </left>
      <right style="medium">
        <color indexed="64"/>
      </right>
      <top style="hair">
        <color indexed="64"/>
      </top>
      <bottom style="thick">
        <color indexed="64"/>
      </bottom>
      <diagonal/>
    </border>
    <border>
      <left/>
      <right/>
      <top/>
      <bottom style="thick">
        <color indexed="64"/>
      </bottom>
      <diagonal/>
    </border>
    <border>
      <left style="hair">
        <color indexed="64"/>
      </left>
      <right/>
      <top style="hair">
        <color indexed="64"/>
      </top>
      <bottom style="thick">
        <color indexed="64"/>
      </bottom>
      <diagonal/>
    </border>
    <border>
      <left/>
      <right/>
      <top style="hair">
        <color indexed="64"/>
      </top>
      <bottom style="thick">
        <color indexed="64"/>
      </bottom>
      <diagonal/>
    </border>
    <border>
      <left/>
      <right style="medium">
        <color indexed="64"/>
      </right>
      <top style="hair">
        <color indexed="64"/>
      </top>
      <bottom style="thick">
        <color indexed="64"/>
      </bottom>
      <diagonal/>
    </border>
    <border>
      <left style="thin">
        <color indexed="64"/>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dotted">
        <color indexed="64"/>
      </right>
      <top style="hair">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medium">
        <color indexed="64"/>
      </left>
      <right/>
      <top/>
      <bottom style="hair">
        <color rgb="FF000000"/>
      </bottom>
      <diagonal/>
    </border>
    <border>
      <left/>
      <right style="medium">
        <color indexed="64"/>
      </right>
      <top/>
      <bottom style="hair">
        <color rgb="FF000000"/>
      </bottom>
      <diagonal/>
    </border>
    <border>
      <left/>
      <right style="hair">
        <color indexed="64"/>
      </right>
      <top/>
      <bottom style="hair">
        <color rgb="FF000000"/>
      </bottom>
      <diagonal/>
    </border>
    <border>
      <left/>
      <right style="hair">
        <color rgb="FF000000"/>
      </right>
      <top style="medium">
        <color indexed="64"/>
      </top>
      <bottom/>
      <diagonal/>
    </border>
    <border>
      <left/>
      <right style="hair">
        <color rgb="FF000000"/>
      </right>
      <top/>
      <bottom style="hair">
        <color rgb="FF000000"/>
      </bottom>
      <diagonal/>
    </border>
    <border>
      <left/>
      <right style="hair">
        <color rgb="FF000000"/>
      </right>
      <top/>
      <bottom style="hair">
        <color indexed="64"/>
      </bottom>
      <diagonal/>
    </border>
    <border>
      <left/>
      <right style="hair">
        <color rgb="FF000000"/>
      </right>
      <top style="hair">
        <color indexed="64"/>
      </top>
      <bottom style="hair">
        <color indexed="64"/>
      </bottom>
      <diagonal/>
    </border>
    <border>
      <left/>
      <right style="hair">
        <color rgb="FF000000"/>
      </right>
      <top/>
      <bottom style="medium">
        <color indexed="64"/>
      </bottom>
      <diagonal/>
    </border>
    <border>
      <left/>
      <right style="medium">
        <color rgb="FF000000"/>
      </right>
      <top/>
      <bottom/>
      <diagonal/>
    </border>
    <border>
      <left/>
      <right/>
      <top/>
      <bottom style="medium">
        <color rgb="FF000000"/>
      </bottom>
      <diagonal/>
    </border>
    <border>
      <left style="medium">
        <color rgb="FF000000"/>
      </left>
      <right style="medium">
        <color indexed="64"/>
      </right>
      <top style="hair">
        <color indexed="64"/>
      </top>
      <bottom style="medium">
        <color rgb="FF000000"/>
      </bottom>
      <diagonal/>
    </border>
    <border>
      <left style="thin">
        <color indexed="64"/>
      </left>
      <right style="medium">
        <color rgb="FF000000"/>
      </right>
      <top style="medium">
        <color indexed="64"/>
      </top>
      <bottom/>
      <diagonal/>
    </border>
    <border>
      <left style="thin">
        <color indexed="64"/>
      </left>
      <right style="medium">
        <color rgb="FF000000"/>
      </right>
      <top/>
      <bottom/>
      <diagonal/>
    </border>
    <border>
      <left style="hair">
        <color indexed="64"/>
      </left>
      <right style="medium">
        <color rgb="FF000000"/>
      </right>
      <top style="medium">
        <color indexed="64"/>
      </top>
      <bottom/>
      <diagonal/>
    </border>
    <border>
      <left style="hair">
        <color indexed="64"/>
      </left>
      <right style="medium">
        <color rgb="FF000000"/>
      </right>
      <top/>
      <bottom/>
      <diagonal/>
    </border>
    <border>
      <left style="hair">
        <color indexed="64"/>
      </left>
      <right style="medium">
        <color rgb="FF000000"/>
      </right>
      <top/>
      <bottom style="hair">
        <color indexed="64"/>
      </bottom>
      <diagonal/>
    </border>
    <border>
      <left style="hair">
        <color indexed="64"/>
      </left>
      <right style="medium">
        <color rgb="FF000000"/>
      </right>
      <top style="hair">
        <color indexed="64"/>
      </top>
      <bottom style="medium">
        <color indexed="64"/>
      </bottom>
      <diagonal/>
    </border>
    <border>
      <left style="hair">
        <color indexed="64"/>
      </left>
      <right style="medium">
        <color rgb="FF000000"/>
      </right>
      <top style="hair">
        <color indexed="64"/>
      </top>
      <bottom style="hair">
        <color indexed="64"/>
      </bottom>
      <diagonal/>
    </border>
    <border>
      <left style="hair">
        <color indexed="64"/>
      </left>
      <right style="medium">
        <color rgb="FF000000"/>
      </right>
      <top style="hair">
        <color indexed="64"/>
      </top>
      <bottom/>
      <diagonal/>
    </border>
    <border>
      <left style="hair">
        <color indexed="64"/>
      </left>
      <right style="medium">
        <color rgb="FF000000"/>
      </right>
      <top/>
      <bottom style="medium">
        <color indexed="64"/>
      </bottom>
      <diagonal/>
    </border>
    <border>
      <left style="hair">
        <color indexed="64"/>
      </left>
      <right/>
      <top style="thin">
        <color indexed="64"/>
      </top>
      <bottom style="medium">
        <color indexed="64"/>
      </bottom>
      <diagonal/>
    </border>
    <border>
      <left style="hair">
        <color indexed="64"/>
      </left>
      <right style="medium">
        <color rgb="FF000000"/>
      </right>
      <top/>
      <bottom style="thin">
        <color indexed="64"/>
      </bottom>
      <diagonal/>
    </border>
    <border>
      <left style="hair">
        <color indexed="64"/>
      </left>
      <right style="medium">
        <color rgb="FF000000"/>
      </right>
      <top style="thin">
        <color indexed="64"/>
      </top>
      <bottom style="medium">
        <color indexed="64"/>
      </bottom>
      <diagonal/>
    </border>
    <border>
      <left style="medium">
        <color rgb="FF000000"/>
      </left>
      <right style="hair">
        <color indexed="64"/>
      </right>
      <top style="hair">
        <color indexed="64"/>
      </top>
      <bottom style="hair">
        <color indexed="64"/>
      </bottom>
      <diagonal/>
    </border>
    <border>
      <left style="medium">
        <color rgb="FF000000"/>
      </left>
      <right style="hair">
        <color indexed="64"/>
      </right>
      <top style="hair">
        <color indexed="64"/>
      </top>
      <bottom style="medium">
        <color indexed="64"/>
      </bottom>
      <diagonal/>
    </border>
    <border>
      <left/>
      <right style="medium">
        <color rgb="FF000000"/>
      </right>
      <top style="medium">
        <color indexed="64"/>
      </top>
      <bottom style="medium">
        <color indexed="64"/>
      </bottom>
      <diagonal/>
    </border>
    <border>
      <left/>
      <right style="medium">
        <color rgb="FF000000"/>
      </right>
      <top style="hair">
        <color indexed="64"/>
      </top>
      <bottom style="hair">
        <color indexed="64"/>
      </bottom>
      <diagonal/>
    </border>
    <border>
      <left style="hair">
        <color indexed="64"/>
      </left>
      <right style="medium">
        <color rgb="FF000000"/>
      </right>
      <top style="hair">
        <color indexed="64"/>
      </top>
      <bottom style="thin">
        <color indexed="64"/>
      </bottom>
      <diagonal/>
    </border>
    <border>
      <left/>
      <right style="medium">
        <color rgb="FF000000"/>
      </right>
      <top style="hair">
        <color indexed="64"/>
      </top>
      <bottom style="medium">
        <color indexed="64"/>
      </bottom>
      <diagonal/>
    </border>
    <border>
      <left style="hair">
        <color indexed="64"/>
      </left>
      <right style="medium">
        <color rgb="FF000000"/>
      </right>
      <top style="thin">
        <color indexed="64"/>
      </top>
      <bottom style="thin">
        <color indexed="64"/>
      </bottom>
      <diagonal/>
    </border>
    <border>
      <left style="hair">
        <color indexed="64"/>
      </left>
      <right style="medium">
        <color rgb="FF000000"/>
      </right>
      <top style="medium">
        <color indexed="64"/>
      </top>
      <bottom style="hair">
        <color indexed="64"/>
      </bottom>
      <diagonal/>
    </border>
    <border>
      <left/>
      <right style="medium">
        <color rgb="FF000000"/>
      </right>
      <top style="medium">
        <color indexed="64"/>
      </top>
      <bottom style="hair">
        <color indexed="64"/>
      </bottom>
      <diagonal/>
    </border>
    <border>
      <left/>
      <right style="medium">
        <color rgb="FF000000"/>
      </right>
      <top/>
      <bottom style="hair">
        <color indexed="64"/>
      </bottom>
      <diagonal/>
    </border>
    <border>
      <left/>
      <right style="medium">
        <color rgb="FF000000"/>
      </right>
      <top style="hair">
        <color indexed="64"/>
      </top>
      <bottom/>
      <diagonal/>
    </border>
    <border>
      <left/>
      <right style="medium">
        <color rgb="FF000000"/>
      </right>
      <top/>
      <bottom style="medium">
        <color indexed="64"/>
      </bottom>
      <diagonal/>
    </border>
    <border>
      <left style="thin">
        <color indexed="64"/>
      </left>
      <right/>
      <top style="medium">
        <color indexed="64"/>
      </top>
      <bottom style="medium">
        <color indexed="64"/>
      </bottom>
      <diagonal/>
    </border>
    <border>
      <left style="medium">
        <color rgb="FF000000"/>
      </left>
      <right style="thin">
        <color indexed="64"/>
      </right>
      <top style="medium">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diagonal/>
    </border>
    <border>
      <left style="medium">
        <color rgb="FF000000"/>
      </left>
      <right style="thin">
        <color indexed="64"/>
      </right>
      <top style="hair">
        <color indexed="64"/>
      </top>
      <bottom style="hair">
        <color indexed="64"/>
      </bottom>
      <diagonal/>
    </border>
    <border>
      <left style="medium">
        <color rgb="FF000000"/>
      </left>
      <right style="thin">
        <color indexed="64"/>
      </right>
      <top style="hair">
        <color indexed="64"/>
      </top>
      <bottom style="medium">
        <color indexed="64"/>
      </bottom>
      <diagonal/>
    </border>
    <border>
      <left style="medium">
        <color rgb="FF000000"/>
      </left>
      <right style="thin">
        <color indexed="64"/>
      </right>
      <top style="medium">
        <color indexed="64"/>
      </top>
      <bottom style="hair">
        <color indexed="64"/>
      </bottom>
      <diagonal/>
    </border>
    <border>
      <left style="medium">
        <color rgb="FF000000"/>
      </left>
      <right style="thin">
        <color indexed="64"/>
      </right>
      <top style="medium">
        <color indexed="64"/>
      </top>
      <bottom/>
      <diagonal/>
    </border>
    <border>
      <left style="medium">
        <color rgb="FF000000"/>
      </left>
      <right style="thin">
        <color indexed="64"/>
      </right>
      <top/>
      <bottom style="hair">
        <color indexed="64"/>
      </bottom>
      <diagonal/>
    </border>
    <border>
      <left style="medium">
        <color rgb="FF000000"/>
      </left>
      <right style="thin">
        <color indexed="64"/>
      </right>
      <top style="hair">
        <color indexed="64"/>
      </top>
      <bottom/>
      <diagonal/>
    </border>
    <border>
      <left style="medium">
        <color rgb="FF000000"/>
      </left>
      <right style="thin">
        <color indexed="64"/>
      </right>
      <top style="medium">
        <color indexed="64"/>
      </top>
      <bottom style="medium">
        <color indexed="64"/>
      </bottom>
      <diagonal/>
    </border>
    <border>
      <left style="medium">
        <color rgb="FF000000"/>
      </left>
      <right style="thin">
        <color indexed="64"/>
      </right>
      <top/>
      <bottom style="medium">
        <color indexed="64"/>
      </bottom>
      <diagonal/>
    </border>
    <border>
      <left style="medium">
        <color indexed="64"/>
      </left>
      <right style="hair">
        <color indexed="64"/>
      </right>
      <top style="hair">
        <color indexed="64"/>
      </top>
      <bottom style="medium">
        <color rgb="FF000000"/>
      </bottom>
      <diagonal/>
    </border>
    <border>
      <left style="hair">
        <color indexed="64"/>
      </left>
      <right/>
      <top style="hair">
        <color indexed="64"/>
      </top>
      <bottom style="medium">
        <color rgb="FF000000"/>
      </bottom>
      <diagonal/>
    </border>
    <border>
      <left style="thin">
        <color indexed="64"/>
      </left>
      <right style="hair">
        <color indexed="64"/>
      </right>
      <top style="hair">
        <color indexed="64"/>
      </top>
      <bottom style="medium">
        <color rgb="FF000000"/>
      </bottom>
      <diagonal/>
    </border>
    <border>
      <left style="hair">
        <color indexed="64"/>
      </left>
      <right style="hair">
        <color indexed="64"/>
      </right>
      <top style="hair">
        <color indexed="64"/>
      </top>
      <bottom style="medium">
        <color rgb="FF000000"/>
      </bottom>
      <diagonal/>
    </border>
    <border>
      <left style="hair">
        <color indexed="64"/>
      </left>
      <right style="medium">
        <color indexed="64"/>
      </right>
      <top style="hair">
        <color indexed="64"/>
      </top>
      <bottom style="medium">
        <color rgb="FF000000"/>
      </bottom>
      <diagonal/>
    </border>
    <border>
      <left/>
      <right style="hair">
        <color indexed="64"/>
      </right>
      <top style="hair">
        <color indexed="64"/>
      </top>
      <bottom style="medium">
        <color rgb="FF000000"/>
      </bottom>
      <diagonal/>
    </border>
    <border>
      <left style="hair">
        <color rgb="FF000000"/>
      </left>
      <right style="hair">
        <color rgb="FF000000"/>
      </right>
      <top/>
      <bottom/>
      <diagonal/>
    </border>
    <border>
      <left/>
      <right style="hair">
        <color rgb="FF000000"/>
      </right>
      <top/>
      <bottom/>
      <diagonal/>
    </border>
    <border>
      <left style="medium">
        <color rgb="FF000000"/>
      </left>
      <right style="medium">
        <color rgb="FF000000"/>
      </right>
      <top style="hair">
        <color indexed="64"/>
      </top>
      <bottom/>
      <diagonal/>
    </border>
    <border>
      <left style="medium">
        <color rgb="FF000000"/>
      </left>
      <right style="medium">
        <color rgb="FF000000"/>
      </right>
      <top style="hair">
        <color indexed="64"/>
      </top>
      <bottom style="thick">
        <color indexed="64"/>
      </bottom>
      <diagonal/>
    </border>
    <border>
      <left style="medium">
        <color rgb="FF000000"/>
      </left>
      <right style="medium">
        <color rgb="FF000000"/>
      </right>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style="thin">
        <color indexed="64"/>
      </top>
      <bottom style="hair">
        <color indexed="64"/>
      </bottom>
      <diagonal/>
    </border>
    <border>
      <left style="medium">
        <color indexed="64"/>
      </left>
      <right style="medium">
        <color rgb="FF000000"/>
      </right>
      <top style="hair">
        <color indexed="64"/>
      </top>
      <bottom style="hair">
        <color indexed="64"/>
      </bottom>
      <diagonal/>
    </border>
    <border>
      <left style="medium">
        <color indexed="64"/>
      </left>
      <right style="medium">
        <color rgb="FF000000"/>
      </right>
      <top style="medium">
        <color indexed="64"/>
      </top>
      <bottom style="hair">
        <color indexed="64"/>
      </bottom>
      <diagonal/>
    </border>
    <border>
      <left style="medium">
        <color indexed="64"/>
      </left>
      <right style="medium">
        <color rgb="FF000000"/>
      </right>
      <top/>
      <bottom style="hair">
        <color indexed="64"/>
      </bottom>
      <diagonal/>
    </border>
    <border>
      <left style="medium">
        <color indexed="64"/>
      </left>
      <right style="medium">
        <color rgb="FF000000"/>
      </right>
      <top/>
      <bottom style="medium">
        <color indexed="64"/>
      </bottom>
      <diagonal/>
    </border>
    <border>
      <left style="medium">
        <color indexed="64"/>
      </left>
      <right style="medium">
        <color rgb="FF000000"/>
      </right>
      <top style="hair">
        <color indexed="64"/>
      </top>
      <bottom/>
      <diagonal/>
    </border>
    <border>
      <left style="medium">
        <color indexed="64"/>
      </left>
      <right style="medium">
        <color rgb="FF000000"/>
      </right>
      <top style="hair">
        <color indexed="64"/>
      </top>
      <bottom style="medium">
        <color indexed="64"/>
      </bottom>
      <diagonal/>
    </border>
    <border>
      <left style="medium">
        <color indexed="64"/>
      </left>
      <right style="medium">
        <color rgb="FF000000"/>
      </right>
      <top style="hair">
        <color indexed="64"/>
      </top>
      <bottom style="thick">
        <color indexed="64"/>
      </bottom>
      <diagonal/>
    </border>
    <border>
      <left style="thin">
        <color indexed="64"/>
      </left>
      <right style="medium">
        <color rgb="FF000000"/>
      </right>
      <top/>
      <bottom style="hair">
        <color indexed="64"/>
      </bottom>
      <diagonal/>
    </border>
    <border>
      <left style="thin">
        <color indexed="64"/>
      </left>
      <right style="medium">
        <color rgb="FF000000"/>
      </right>
      <top style="hair">
        <color indexed="64"/>
      </top>
      <bottom style="hair">
        <color indexed="64"/>
      </bottom>
      <diagonal/>
    </border>
    <border>
      <left style="thin">
        <color indexed="64"/>
      </left>
      <right style="medium">
        <color rgb="FF000000"/>
      </right>
      <top style="hair">
        <color indexed="64"/>
      </top>
      <bottom style="medium">
        <color indexed="64"/>
      </bottom>
      <diagonal/>
    </border>
    <border>
      <left style="thin">
        <color indexed="64"/>
      </left>
      <right style="medium">
        <color rgb="FF000000"/>
      </right>
      <top style="medium">
        <color indexed="64"/>
      </top>
      <bottom style="hair">
        <color indexed="64"/>
      </bottom>
      <diagonal/>
    </border>
    <border>
      <left style="thin">
        <color indexed="64"/>
      </left>
      <right style="medium">
        <color rgb="FF000000"/>
      </right>
      <top/>
      <bottom style="medium">
        <color indexed="64"/>
      </bottom>
      <diagonal/>
    </border>
    <border>
      <left style="thin">
        <color indexed="64"/>
      </left>
      <right style="medium">
        <color rgb="FF000000"/>
      </right>
      <top style="hair">
        <color indexed="64"/>
      </top>
      <bottom style="thick">
        <color indexed="64"/>
      </bottom>
      <diagonal/>
    </border>
    <border>
      <left style="medium">
        <color rgb="FF000000"/>
      </left>
      <right style="medium">
        <color indexed="64"/>
      </right>
      <top/>
      <bottom/>
      <diagonal/>
    </border>
    <border>
      <left style="medium">
        <color rgb="FF000000"/>
      </left>
      <right style="medium">
        <color indexed="64"/>
      </right>
      <top/>
      <bottom style="thick">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hair">
        <color indexed="64"/>
      </left>
      <right style="medium">
        <color rgb="FF000000"/>
      </right>
      <top style="thin">
        <color indexed="64"/>
      </top>
      <bottom style="hair">
        <color indexed="64"/>
      </bottom>
      <diagonal/>
    </border>
    <border>
      <left style="hair">
        <color indexed="64"/>
      </left>
      <right style="medium">
        <color rgb="FF000000"/>
      </right>
      <top style="thin">
        <color indexed="64"/>
      </top>
      <bottom/>
      <diagonal/>
    </border>
    <border>
      <left/>
      <right style="medium">
        <color rgb="FF000000"/>
      </right>
      <top/>
      <bottom style="thin">
        <color indexed="64"/>
      </bottom>
      <diagonal/>
    </border>
    <border>
      <left style="medium">
        <color rgb="FF000000"/>
      </left>
      <right/>
      <top/>
      <bottom/>
      <diagonal/>
    </border>
    <border>
      <left style="medium">
        <color rgb="FF000000"/>
      </left>
      <right/>
      <top style="medium">
        <color indexed="64"/>
      </top>
      <bottom/>
      <diagonal/>
    </border>
    <border>
      <left style="medium">
        <color rgb="FF000000"/>
      </left>
      <right/>
      <top/>
      <bottom style="thin">
        <color indexed="64"/>
      </bottom>
      <diagonal/>
    </border>
    <border>
      <left style="medium">
        <color rgb="FF000000"/>
      </left>
      <right/>
      <top style="thin">
        <color indexed="64"/>
      </top>
      <bottom/>
      <diagonal/>
    </border>
    <border>
      <left style="medium">
        <color rgb="FF000000"/>
      </left>
      <right/>
      <top/>
      <bottom style="medium">
        <color indexed="64"/>
      </bottom>
      <diagonal/>
    </border>
    <border>
      <left/>
      <right style="medium">
        <color rgb="FF000000"/>
      </right>
      <top style="medium">
        <color indexed="64"/>
      </top>
      <bottom/>
      <diagonal/>
    </border>
    <border>
      <left style="medium">
        <color rgb="FF000000"/>
      </left>
      <right style="hair">
        <color indexed="64"/>
      </right>
      <top/>
      <bottom style="medium">
        <color indexed="64"/>
      </bottom>
      <diagonal/>
    </border>
    <border>
      <left style="medium">
        <color rgb="FF000000"/>
      </left>
      <right style="hair">
        <color indexed="64"/>
      </right>
      <top style="hair">
        <color indexed="64"/>
      </top>
      <bottom/>
      <diagonal/>
    </border>
    <border>
      <left style="medium">
        <color rgb="FF000000"/>
      </left>
      <right/>
      <top style="hair">
        <color indexed="64"/>
      </top>
      <bottom style="medium">
        <color rgb="FF000000"/>
      </bottom>
      <diagonal/>
    </border>
    <border>
      <left style="medium">
        <color rgb="FF000000"/>
      </left>
      <right style="hair">
        <color indexed="64"/>
      </right>
      <top/>
      <bottom style="hair">
        <color indexed="64"/>
      </bottom>
      <diagonal/>
    </border>
    <border>
      <left style="medium">
        <color rgb="FF000000"/>
      </left>
      <right/>
      <top/>
      <bottom style="medium">
        <color rgb="FF000000"/>
      </bottom>
      <diagonal/>
    </border>
    <border>
      <left style="medium">
        <color rgb="FF000000"/>
      </left>
      <right style="hair">
        <color indexed="64"/>
      </right>
      <top style="hair">
        <color indexed="64"/>
      </top>
      <bottom style="medium">
        <color rgb="FF000000"/>
      </bottom>
      <diagonal/>
    </border>
    <border>
      <left style="thin">
        <color indexed="64"/>
      </left>
      <right style="medium">
        <color rgb="FF000000"/>
      </right>
      <top/>
      <bottom style="thin">
        <color indexed="64"/>
      </bottom>
      <diagonal/>
    </border>
    <border>
      <left/>
      <right style="medium">
        <color rgb="FF000000"/>
      </right>
      <top/>
      <bottom style="medium">
        <color rgb="FF000000"/>
      </bottom>
      <diagonal/>
    </border>
    <border>
      <left style="hair">
        <color indexed="64"/>
      </left>
      <right style="medium">
        <color rgb="FF000000"/>
      </right>
      <top style="hair">
        <color indexed="64"/>
      </top>
      <bottom style="medium">
        <color rgb="FF000000"/>
      </bottom>
      <diagonal/>
    </border>
    <border>
      <left style="medium">
        <color rgb="FF000000"/>
      </left>
      <right/>
      <top style="medium">
        <color rgb="FF000000"/>
      </top>
      <bottom style="hair">
        <color indexed="64"/>
      </bottom>
      <diagonal/>
    </border>
    <border>
      <left style="medium">
        <color rgb="FF000000"/>
      </left>
      <right/>
      <top/>
      <bottom style="hair">
        <color indexed="64"/>
      </bottom>
      <diagonal/>
    </border>
    <border>
      <left/>
      <right style="medium">
        <color rgb="FF000000"/>
      </right>
      <top style="thin">
        <color indexed="64"/>
      </top>
      <bottom/>
      <diagonal/>
    </border>
    <border>
      <left/>
      <right style="medium">
        <color rgb="FF000000"/>
      </right>
      <top style="medium">
        <color rgb="FF000000"/>
      </top>
      <bottom style="hair">
        <color indexed="64"/>
      </bottom>
      <diagonal/>
    </border>
  </borders>
  <cellStyleXfs count="35">
    <xf numFmtId="0" fontId="0" fillId="0" borderId="0"/>
    <xf numFmtId="0" fontId="111" fillId="18" borderId="218" applyNumberFormat="0" applyFont="0" applyAlignment="0" applyProtection="0"/>
    <xf numFmtId="0" fontId="111" fillId="18" borderId="218" applyNumberFormat="0" applyFont="0" applyAlignment="0" applyProtection="0"/>
    <xf numFmtId="0" fontId="112" fillId="19" borderId="0" applyNumberFormat="0" applyBorder="0" applyAlignment="0" applyProtection="0"/>
    <xf numFmtId="0" fontId="59" fillId="0" borderId="0" applyNumberFormat="0" applyFill="0" applyBorder="0" applyAlignment="0" applyProtection="0">
      <alignment vertical="top"/>
      <protection locked="0"/>
    </xf>
    <xf numFmtId="0" fontId="26" fillId="0" borderId="0"/>
    <xf numFmtId="0" fontId="26" fillId="0" borderId="0"/>
    <xf numFmtId="0" fontId="111" fillId="0" borderId="0"/>
    <xf numFmtId="0" fontId="111" fillId="0" borderId="0"/>
    <xf numFmtId="0" fontId="21" fillId="0" borderId="0"/>
    <xf numFmtId="0" fontId="37" fillId="0" borderId="0"/>
    <xf numFmtId="0" fontId="3" fillId="0" borderId="0"/>
    <xf numFmtId="9" fontId="36" fillId="0" borderId="0" applyFont="0" applyFill="0" applyBorder="0" applyAlignment="0" applyProtection="0"/>
    <xf numFmtId="9" fontId="26" fillId="0" borderId="0" applyFont="0" applyFill="0" applyBorder="0" applyAlignment="0" applyProtection="0"/>
    <xf numFmtId="38" fontId="25" fillId="0" borderId="0" applyFont="0" applyFill="0" applyBorder="0" applyAlignment="0" applyProtection="0"/>
    <xf numFmtId="164" fontId="25" fillId="0" borderId="0" applyFont="0" applyFill="0" applyBorder="0" applyAlignment="0" applyProtection="0"/>
    <xf numFmtId="165" fontId="146" fillId="0" borderId="0" applyFont="0" applyFill="0" applyBorder="0" applyAlignment="0" applyProtection="0"/>
    <xf numFmtId="0" fontId="2" fillId="18" borderId="218" applyNumberFormat="0" applyFont="0" applyAlignment="0" applyProtection="0"/>
    <xf numFmtId="0" fontId="2" fillId="18" borderId="218" applyNumberFormat="0" applyFont="0" applyAlignment="0" applyProtection="0"/>
    <xf numFmtId="0" fontId="2" fillId="0" borderId="0"/>
    <xf numFmtId="0" fontId="2" fillId="0" borderId="0"/>
    <xf numFmtId="165" fontId="26" fillId="0" borderId="0" applyFont="0" applyFill="0" applyBorder="0" applyAlignment="0" applyProtection="0"/>
    <xf numFmtId="0" fontId="2" fillId="0" borderId="0"/>
    <xf numFmtId="0" fontId="1" fillId="18" borderId="218" applyNumberFormat="0" applyFont="0" applyAlignment="0" applyProtection="0"/>
    <xf numFmtId="0" fontId="1" fillId="18" borderId="218" applyNumberFormat="0" applyFont="0" applyAlignment="0" applyProtection="0"/>
    <xf numFmtId="0" fontId="1" fillId="0" borderId="0"/>
    <xf numFmtId="0" fontId="1" fillId="0" borderId="0"/>
    <xf numFmtId="43" fontId="26" fillId="0" borderId="0" applyFont="0" applyFill="0" applyBorder="0" applyAlignment="0" applyProtection="0"/>
    <xf numFmtId="0" fontId="1" fillId="18" borderId="218" applyNumberFormat="0" applyFont="0" applyAlignment="0" applyProtection="0"/>
    <xf numFmtId="0" fontId="1" fillId="18" borderId="218" applyNumberFormat="0" applyFont="0" applyAlignment="0" applyProtection="0"/>
    <xf numFmtId="0" fontId="1" fillId="0" borderId="0"/>
    <xf numFmtId="0" fontId="1" fillId="0" borderId="0"/>
    <xf numFmtId="43" fontId="26" fillId="0" borderId="0" applyFont="0" applyFill="0" applyBorder="0" applyAlignment="0" applyProtection="0"/>
    <xf numFmtId="0" fontId="1" fillId="0" borderId="0"/>
    <xf numFmtId="43" fontId="26" fillId="0" borderId="0" applyFont="0" applyFill="0" applyBorder="0" applyAlignment="0" applyProtection="0"/>
  </cellStyleXfs>
  <cellXfs count="2551">
    <xf numFmtId="0" fontId="0" fillId="0" borderId="0" xfId="0"/>
    <xf numFmtId="0" fontId="3" fillId="0" borderId="0" xfId="0" applyFont="1"/>
    <xf numFmtId="0" fontId="22" fillId="2" borderId="0" xfId="0" applyFont="1" applyFill="1" applyAlignment="1">
      <alignment horizontal="left"/>
    </xf>
    <xf numFmtId="0" fontId="7" fillId="2" borderId="0" xfId="0" applyFont="1" applyFill="1" applyAlignment="1">
      <alignment horizontal="right"/>
    </xf>
    <xf numFmtId="0" fontId="0" fillId="2" borderId="0" xfId="0" applyFill="1"/>
    <xf numFmtId="0" fontId="3" fillId="2" borderId="0" xfId="0" applyFont="1" applyFill="1"/>
    <xf numFmtId="1" fontId="5" fillId="2" borderId="0" xfId="0" applyNumberFormat="1" applyFont="1" applyFill="1" applyAlignment="1">
      <alignment horizontal="left"/>
    </xf>
    <xf numFmtId="0" fontId="5" fillId="2" borderId="0" xfId="0" applyFont="1" applyFill="1"/>
    <xf numFmtId="0" fontId="9" fillId="2" borderId="0" xfId="0" applyFont="1" applyFill="1"/>
    <xf numFmtId="0" fontId="10" fillId="2" borderId="0" xfId="0" applyFont="1" applyFill="1"/>
    <xf numFmtId="3" fontId="6" fillId="2" borderId="0" xfId="0" applyNumberFormat="1" applyFont="1" applyFill="1"/>
    <xf numFmtId="166" fontId="13" fillId="0" borderId="1" xfId="0" applyNumberFormat="1" applyFont="1" applyBorder="1" applyAlignment="1">
      <alignment horizontal="center" vertical="center"/>
    </xf>
    <xf numFmtId="0" fontId="15" fillId="2" borderId="0" xfId="0" applyFont="1" applyFill="1" applyAlignment="1">
      <alignment horizontal="left"/>
    </xf>
    <xf numFmtId="1" fontId="18" fillId="0" borderId="0" xfId="0" applyNumberFormat="1" applyFont="1" applyAlignment="1">
      <alignment horizontal="center"/>
    </xf>
    <xf numFmtId="0" fontId="18" fillId="0" borderId="0" xfId="0" applyFont="1"/>
    <xf numFmtId="3" fontId="15" fillId="0" borderId="0" xfId="0" applyNumberFormat="1" applyFont="1"/>
    <xf numFmtId="3" fontId="15" fillId="2" borderId="2" xfId="0" applyNumberFormat="1" applyFont="1" applyFill="1" applyBorder="1" applyAlignment="1" applyProtection="1">
      <alignment horizontal="right"/>
      <protection locked="0"/>
    </xf>
    <xf numFmtId="3" fontId="15" fillId="2" borderId="3" xfId="0" applyNumberFormat="1" applyFont="1" applyFill="1" applyBorder="1" applyAlignment="1" applyProtection="1">
      <alignment horizontal="right"/>
      <protection locked="0"/>
    </xf>
    <xf numFmtId="3" fontId="15" fillId="2" borderId="4" xfId="0" applyNumberFormat="1" applyFont="1" applyFill="1" applyBorder="1" applyAlignment="1" applyProtection="1">
      <alignment horizontal="right"/>
      <protection locked="0"/>
    </xf>
    <xf numFmtId="3" fontId="15" fillId="2" borderId="5" xfId="0" applyNumberFormat="1" applyFont="1" applyFill="1" applyBorder="1" applyAlignment="1" applyProtection="1">
      <alignment horizontal="right"/>
      <protection locked="0"/>
    </xf>
    <xf numFmtId="3" fontId="15" fillId="2" borderId="6" xfId="0" applyNumberFormat="1" applyFont="1" applyFill="1" applyBorder="1" applyAlignment="1" applyProtection="1">
      <alignment horizontal="right"/>
      <protection locked="0"/>
    </xf>
    <xf numFmtId="3" fontId="15" fillId="2" borderId="7" xfId="0" applyNumberFormat="1" applyFont="1" applyFill="1" applyBorder="1" applyAlignment="1" applyProtection="1">
      <alignment horizontal="right"/>
      <protection locked="0"/>
    </xf>
    <xf numFmtId="3" fontId="15" fillId="3" borderId="6" xfId="0" applyNumberFormat="1" applyFont="1" applyFill="1" applyBorder="1" applyAlignment="1">
      <alignment horizontal="right"/>
    </xf>
    <xf numFmtId="3" fontId="15" fillId="2" borderId="8" xfId="0" applyNumberFormat="1" applyFont="1" applyFill="1" applyBorder="1" applyAlignment="1" applyProtection="1">
      <alignment horizontal="right"/>
      <protection locked="0"/>
    </xf>
    <xf numFmtId="3" fontId="15" fillId="2" borderId="9" xfId="0" applyNumberFormat="1" applyFont="1" applyFill="1" applyBorder="1" applyAlignment="1" applyProtection="1">
      <alignment horizontal="right"/>
      <protection locked="0"/>
    </xf>
    <xf numFmtId="3" fontId="15" fillId="2" borderId="10" xfId="0" applyNumberFormat="1" applyFont="1" applyFill="1" applyBorder="1" applyAlignment="1" applyProtection="1">
      <alignment horizontal="right"/>
      <protection locked="0"/>
    </xf>
    <xf numFmtId="3" fontId="15" fillId="2" borderId="0" xfId="0" applyNumberFormat="1" applyFont="1" applyFill="1"/>
    <xf numFmtId="3" fontId="15" fillId="2" borderId="0" xfId="0" applyNumberFormat="1" applyFont="1" applyFill="1" applyAlignment="1">
      <alignment horizontal="right"/>
    </xf>
    <xf numFmtId="0" fontId="27" fillId="2" borderId="0" xfId="0" applyFont="1" applyFill="1"/>
    <xf numFmtId="3" fontId="10" fillId="2" borderId="0" xfId="0" applyNumberFormat="1" applyFont="1" applyFill="1"/>
    <xf numFmtId="0" fontId="57" fillId="2" borderId="0" xfId="0" applyFont="1" applyFill="1" applyAlignment="1">
      <alignment vertical="top"/>
    </xf>
    <xf numFmtId="168" fontId="10" fillId="2" borderId="0" xfId="0" applyNumberFormat="1" applyFont="1" applyFill="1"/>
    <xf numFmtId="3" fontId="15" fillId="2" borderId="0" xfId="0" applyNumberFormat="1" applyFont="1" applyFill="1" applyAlignment="1">
      <alignment horizontal="left"/>
    </xf>
    <xf numFmtId="3" fontId="7" fillId="2" borderId="0" xfId="0" applyNumberFormat="1" applyFont="1" applyFill="1"/>
    <xf numFmtId="0" fontId="15" fillId="2" borderId="0" xfId="0" applyFont="1" applyFill="1"/>
    <xf numFmtId="1" fontId="41" fillId="2" borderId="0" xfId="0" applyNumberFormat="1" applyFont="1" applyFill="1" applyAlignment="1">
      <alignment horizontal="left"/>
    </xf>
    <xf numFmtId="167" fontId="48" fillId="2" borderId="0" xfId="0" applyNumberFormat="1" applyFont="1" applyFill="1"/>
    <xf numFmtId="3" fontId="38" fillId="2" borderId="0" xfId="0" applyNumberFormat="1" applyFont="1" applyFill="1"/>
    <xf numFmtId="3" fontId="9" fillId="2" borderId="0" xfId="0" applyNumberFormat="1" applyFont="1" applyFill="1"/>
    <xf numFmtId="3" fontId="10" fillId="4" borderId="0" xfId="0" applyNumberFormat="1" applyFont="1" applyFill="1"/>
    <xf numFmtId="3" fontId="15" fillId="5" borderId="0" xfId="0" applyNumberFormat="1" applyFont="1" applyFill="1" applyAlignment="1">
      <alignment horizontal="right"/>
    </xf>
    <xf numFmtId="3" fontId="15" fillId="4" borderId="0" xfId="0" applyNumberFormat="1" applyFont="1" applyFill="1" applyAlignment="1">
      <alignment horizontal="right"/>
    </xf>
    <xf numFmtId="3" fontId="15" fillId="4" borderId="0" xfId="0" applyNumberFormat="1" applyFont="1" applyFill="1" applyAlignment="1">
      <alignment horizontal="left"/>
    </xf>
    <xf numFmtId="3" fontId="15" fillId="5" borderId="0" xfId="0" applyNumberFormat="1" applyFont="1" applyFill="1"/>
    <xf numFmtId="3" fontId="4" fillId="2" borderId="5" xfId="0" applyNumberFormat="1" applyFont="1" applyFill="1" applyBorder="1" applyAlignment="1" applyProtection="1">
      <alignment horizontal="right"/>
      <protection locked="0"/>
    </xf>
    <xf numFmtId="3" fontId="4" fillId="2" borderId="12" xfId="0" applyNumberFormat="1" applyFont="1" applyFill="1" applyBorder="1" applyAlignment="1" applyProtection="1">
      <alignment horizontal="right"/>
      <protection locked="0"/>
    </xf>
    <xf numFmtId="3" fontId="54" fillId="2" borderId="0" xfId="0" applyNumberFormat="1" applyFont="1" applyFill="1"/>
    <xf numFmtId="3" fontId="15" fillId="6" borderId="0" xfId="0" applyNumberFormat="1" applyFont="1" applyFill="1" applyAlignment="1">
      <alignment horizontal="right"/>
    </xf>
    <xf numFmtId="3" fontId="15" fillId="6" borderId="0" xfId="0" applyNumberFormat="1" applyFont="1" applyFill="1"/>
    <xf numFmtId="0" fontId="65" fillId="2" borderId="0" xfId="0" applyFont="1" applyFill="1"/>
    <xf numFmtId="0" fontId="67" fillId="2" borderId="0" xfId="0" quotePrefix="1" applyFont="1" applyFill="1"/>
    <xf numFmtId="0" fontId="68" fillId="2" borderId="0" xfId="0" applyFont="1" applyFill="1" applyProtection="1">
      <protection hidden="1"/>
    </xf>
    <xf numFmtId="0" fontId="68" fillId="2" borderId="0" xfId="0" applyFont="1" applyFill="1"/>
    <xf numFmtId="0" fontId="69" fillId="2" borderId="0" xfId="0" applyFont="1" applyFill="1"/>
    <xf numFmtId="3" fontId="5" fillId="2" borderId="0" xfId="0" applyNumberFormat="1" applyFont="1" applyFill="1"/>
    <xf numFmtId="3" fontId="4" fillId="2" borderId="2" xfId="0" applyNumberFormat="1" applyFont="1" applyFill="1" applyBorder="1" applyAlignment="1" applyProtection="1">
      <alignment horizontal="right"/>
      <protection locked="0"/>
    </xf>
    <xf numFmtId="0" fontId="11" fillId="2" borderId="0" xfId="0" applyFont="1" applyFill="1"/>
    <xf numFmtId="168" fontId="11" fillId="2" borderId="0" xfId="0" applyNumberFormat="1" applyFont="1" applyFill="1"/>
    <xf numFmtId="0" fontId="39" fillId="2" borderId="0" xfId="0" applyFont="1" applyFill="1"/>
    <xf numFmtId="0" fontId="70" fillId="2" borderId="0" xfId="0" applyFont="1" applyFill="1"/>
    <xf numFmtId="0" fontId="38" fillId="2" borderId="0" xfId="0" applyFont="1" applyFill="1" applyAlignment="1">
      <alignment horizontal="left" vertical="top"/>
    </xf>
    <xf numFmtId="3" fontId="4" fillId="0" borderId="0" xfId="0" applyNumberFormat="1" applyFont="1" applyAlignment="1">
      <alignment horizontal="right"/>
    </xf>
    <xf numFmtId="3" fontId="7" fillId="4" borderId="0" xfId="0" applyNumberFormat="1" applyFont="1" applyFill="1"/>
    <xf numFmtId="0" fontId="53" fillId="2" borderId="0" xfId="0" applyFont="1" applyFill="1"/>
    <xf numFmtId="0" fontId="53" fillId="2" borderId="0" xfId="0" applyFont="1" applyFill="1" applyAlignment="1">
      <alignment vertical="top"/>
    </xf>
    <xf numFmtId="0" fontId="35" fillId="7" borderId="0" xfId="0" applyFont="1" applyFill="1" applyAlignment="1">
      <alignment horizontal="left"/>
    </xf>
    <xf numFmtId="0" fontId="32" fillId="7" borderId="0" xfId="0" applyFont="1" applyFill="1" applyAlignment="1">
      <alignment horizontal="left"/>
    </xf>
    <xf numFmtId="0" fontId="5" fillId="0" borderId="0" xfId="0" applyFont="1"/>
    <xf numFmtId="3" fontId="4" fillId="8" borderId="13" xfId="0" applyNumberFormat="1" applyFont="1" applyFill="1" applyBorder="1" applyAlignment="1">
      <alignment horizontal="right"/>
    </xf>
    <xf numFmtId="3" fontId="4" fillId="9" borderId="14" xfId="0" applyNumberFormat="1" applyFont="1" applyFill="1" applyBorder="1" applyAlignment="1">
      <alignment horizontal="right"/>
    </xf>
    <xf numFmtId="3" fontId="4" fillId="9" borderId="9" xfId="0" applyNumberFormat="1" applyFont="1" applyFill="1" applyBorder="1" applyAlignment="1">
      <alignment horizontal="right"/>
    </xf>
    <xf numFmtId="3" fontId="4" fillId="9" borderId="7" xfId="0" applyNumberFormat="1" applyFont="1" applyFill="1" applyBorder="1" applyAlignment="1">
      <alignment horizontal="right"/>
    </xf>
    <xf numFmtId="3" fontId="4" fillId="9" borderId="15" xfId="0" applyNumberFormat="1" applyFont="1" applyFill="1" applyBorder="1" applyAlignment="1">
      <alignment horizontal="right"/>
    </xf>
    <xf numFmtId="3" fontId="4" fillId="9" borderId="17" xfId="0" applyNumberFormat="1" applyFont="1" applyFill="1" applyBorder="1" applyAlignment="1">
      <alignment horizontal="right"/>
    </xf>
    <xf numFmtId="3" fontId="4" fillId="9" borderId="5" xfId="0" applyNumberFormat="1" applyFont="1" applyFill="1" applyBorder="1" applyAlignment="1">
      <alignment horizontal="right"/>
    </xf>
    <xf numFmtId="0" fontId="7" fillId="0" borderId="0" xfId="0" applyFont="1" applyAlignment="1">
      <alignment horizontal="left"/>
    </xf>
    <xf numFmtId="0" fontId="7" fillId="0" borderId="0" xfId="0" applyFont="1"/>
    <xf numFmtId="0" fontId="5" fillId="0" borderId="0" xfId="0" applyFont="1" applyAlignment="1">
      <alignment horizontal="left"/>
    </xf>
    <xf numFmtId="0" fontId="35" fillId="7" borderId="0" xfId="0" applyFont="1" applyFill="1" applyAlignment="1">
      <alignment vertical="top"/>
    </xf>
    <xf numFmtId="0" fontId="33" fillId="7" borderId="0" xfId="0" applyFont="1" applyFill="1"/>
    <xf numFmtId="0" fontId="34" fillId="7" borderId="0" xfId="0" applyFont="1" applyFill="1"/>
    <xf numFmtId="0" fontId="35" fillId="7" borderId="0" xfId="0" quotePrefix="1" applyFont="1" applyFill="1" applyAlignment="1">
      <alignment horizontal="left"/>
    </xf>
    <xf numFmtId="0" fontId="62" fillId="7" borderId="0" xfId="0" applyFont="1" applyFill="1"/>
    <xf numFmtId="0" fontId="63" fillId="7" borderId="0" xfId="0" applyFont="1" applyFill="1"/>
    <xf numFmtId="168" fontId="63" fillId="7" borderId="0" xfId="0" applyNumberFormat="1" applyFont="1" applyFill="1"/>
    <xf numFmtId="3" fontId="4" fillId="9" borderId="9" xfId="0" applyNumberFormat="1" applyFont="1" applyFill="1" applyBorder="1"/>
    <xf numFmtId="3" fontId="4" fillId="9" borderId="5" xfId="0" applyNumberFormat="1" applyFont="1" applyFill="1" applyBorder="1"/>
    <xf numFmtId="3" fontId="4" fillId="2" borderId="18" xfId="0" applyNumberFormat="1" applyFont="1" applyFill="1" applyBorder="1" applyAlignment="1" applyProtection="1">
      <alignment horizontal="right"/>
      <protection locked="0"/>
    </xf>
    <xf numFmtId="3" fontId="15" fillId="2" borderId="18" xfId="0" applyNumberFormat="1" applyFont="1" applyFill="1" applyBorder="1" applyAlignment="1" applyProtection="1">
      <alignment horizontal="right"/>
      <protection locked="0"/>
    </xf>
    <xf numFmtId="3" fontId="15" fillId="2" borderId="19" xfId="0" applyNumberFormat="1" applyFont="1" applyFill="1" applyBorder="1" applyAlignment="1" applyProtection="1">
      <alignment horizontal="right"/>
      <protection locked="0"/>
    </xf>
    <xf numFmtId="3" fontId="15" fillId="2" borderId="20" xfId="0" applyNumberFormat="1" applyFont="1" applyFill="1" applyBorder="1" applyAlignment="1" applyProtection="1">
      <alignment horizontal="right"/>
      <protection locked="0"/>
    </xf>
    <xf numFmtId="3" fontId="15" fillId="2" borderId="21" xfId="0" applyNumberFormat="1" applyFont="1" applyFill="1" applyBorder="1" applyAlignment="1" applyProtection="1">
      <alignment horizontal="right"/>
      <protection locked="0"/>
    </xf>
    <xf numFmtId="3" fontId="15" fillId="2" borderId="22" xfId="0" applyNumberFormat="1" applyFont="1" applyFill="1" applyBorder="1" applyAlignment="1" applyProtection="1">
      <alignment horizontal="right"/>
      <protection locked="0"/>
    </xf>
    <xf numFmtId="3" fontId="15" fillId="3" borderId="19" xfId="0" applyNumberFormat="1" applyFont="1" applyFill="1" applyBorder="1" applyAlignment="1">
      <alignment horizontal="right"/>
    </xf>
    <xf numFmtId="3" fontId="15" fillId="2" borderId="23" xfId="0" applyNumberFormat="1" applyFont="1" applyFill="1" applyBorder="1" applyAlignment="1" applyProtection="1">
      <alignment horizontal="right"/>
      <protection locked="0"/>
    </xf>
    <xf numFmtId="3" fontId="15" fillId="2" borderId="24" xfId="0" applyNumberFormat="1" applyFont="1" applyFill="1" applyBorder="1" applyAlignment="1" applyProtection="1">
      <alignment horizontal="right"/>
      <protection locked="0"/>
    </xf>
    <xf numFmtId="3" fontId="15" fillId="2" borderId="25" xfId="0" applyNumberFormat="1" applyFont="1" applyFill="1" applyBorder="1" applyAlignment="1" applyProtection="1">
      <alignment horizontal="right"/>
      <protection locked="0"/>
    </xf>
    <xf numFmtId="3" fontId="15" fillId="2" borderId="26" xfId="0" applyNumberFormat="1" applyFont="1" applyFill="1" applyBorder="1" applyAlignment="1" applyProtection="1">
      <alignment horizontal="right"/>
      <protection locked="0"/>
    </xf>
    <xf numFmtId="0" fontId="7" fillId="2" borderId="0" xfId="0" applyFont="1" applyFill="1"/>
    <xf numFmtId="0" fontId="10" fillId="4" borderId="0" xfId="0" applyFont="1" applyFill="1"/>
    <xf numFmtId="3" fontId="15" fillId="5" borderId="27" xfId="0" applyNumberFormat="1" applyFont="1" applyFill="1" applyBorder="1" applyAlignment="1">
      <alignment horizontal="right"/>
    </xf>
    <xf numFmtId="3" fontId="15" fillId="2" borderId="28" xfId="0" applyNumberFormat="1" applyFont="1" applyFill="1" applyBorder="1" applyAlignment="1" applyProtection="1">
      <alignment horizontal="right"/>
      <protection locked="0"/>
    </xf>
    <xf numFmtId="3" fontId="15" fillId="2" borderId="29" xfId="0" applyNumberFormat="1" applyFont="1" applyFill="1" applyBorder="1" applyAlignment="1" applyProtection="1">
      <alignment horizontal="right"/>
      <protection locked="0"/>
    </xf>
    <xf numFmtId="3" fontId="15" fillId="2" borderId="30" xfId="0" applyNumberFormat="1" applyFont="1" applyFill="1" applyBorder="1" applyAlignment="1" applyProtection="1">
      <alignment horizontal="right"/>
      <protection locked="0"/>
    </xf>
    <xf numFmtId="3" fontId="15" fillId="3" borderId="31" xfId="0" applyNumberFormat="1" applyFont="1" applyFill="1" applyBorder="1" applyAlignment="1">
      <alignment horizontal="right"/>
    </xf>
    <xf numFmtId="3" fontId="15" fillId="3" borderId="29" xfId="0" applyNumberFormat="1" applyFont="1" applyFill="1" applyBorder="1" applyAlignment="1">
      <alignment horizontal="right"/>
    </xf>
    <xf numFmtId="3" fontId="15" fillId="3" borderId="32" xfId="0" applyNumberFormat="1" applyFont="1" applyFill="1" applyBorder="1" applyAlignment="1">
      <alignment horizontal="right"/>
    </xf>
    <xf numFmtId="3" fontId="15" fillId="2" borderId="32" xfId="0" applyNumberFormat="1" applyFont="1" applyFill="1" applyBorder="1" applyAlignment="1" applyProtection="1">
      <alignment horizontal="right"/>
      <protection locked="0"/>
    </xf>
    <xf numFmtId="3" fontId="4" fillId="9" borderId="33" xfId="0" applyNumberFormat="1" applyFont="1" applyFill="1" applyBorder="1"/>
    <xf numFmtId="3" fontId="4" fillId="9" borderId="34" xfId="0" applyNumberFormat="1" applyFont="1" applyFill="1" applyBorder="1" applyAlignment="1">
      <alignment horizontal="right"/>
    </xf>
    <xf numFmtId="3" fontId="4" fillId="9" borderId="35" xfId="0" applyNumberFormat="1" applyFont="1" applyFill="1" applyBorder="1" applyAlignment="1">
      <alignment horizontal="right"/>
    </xf>
    <xf numFmtId="0" fontId="5" fillId="10" borderId="37" xfId="0" applyFont="1" applyFill="1" applyBorder="1" applyAlignment="1">
      <alignment horizontal="center"/>
    </xf>
    <xf numFmtId="0" fontId="38" fillId="2" borderId="0" xfId="0" applyFont="1" applyFill="1"/>
    <xf numFmtId="3" fontId="9" fillId="2" borderId="38" xfId="0" applyNumberFormat="1" applyFont="1" applyFill="1" applyBorder="1"/>
    <xf numFmtId="3" fontId="40" fillId="2" borderId="38" xfId="0" applyNumberFormat="1" applyFont="1" applyFill="1" applyBorder="1" applyAlignment="1">
      <alignment horizontal="left"/>
    </xf>
    <xf numFmtId="3" fontId="4" fillId="9" borderId="39" xfId="0" applyNumberFormat="1" applyFont="1" applyFill="1" applyBorder="1" applyAlignment="1">
      <alignment horizontal="right"/>
    </xf>
    <xf numFmtId="3" fontId="4" fillId="9" borderId="20" xfId="0" applyNumberFormat="1" applyFont="1" applyFill="1" applyBorder="1" applyAlignment="1">
      <alignment horizontal="right"/>
    </xf>
    <xf numFmtId="3" fontId="4" fillId="9" borderId="40" xfId="0" applyNumberFormat="1" applyFont="1" applyFill="1" applyBorder="1" applyAlignment="1">
      <alignment horizontal="right"/>
    </xf>
    <xf numFmtId="0" fontId="35" fillId="7" borderId="0" xfId="5" applyFont="1" applyFill="1" applyAlignment="1">
      <alignment horizontal="left"/>
    </xf>
    <xf numFmtId="0" fontId="32" fillId="7" borderId="0" xfId="5" applyFont="1" applyFill="1" applyAlignment="1">
      <alignment horizontal="left"/>
    </xf>
    <xf numFmtId="3" fontId="4" fillId="2" borderId="5" xfId="5" applyNumberFormat="1" applyFont="1" applyFill="1" applyBorder="1" applyAlignment="1" applyProtection="1">
      <alignment horizontal="right"/>
      <protection locked="0"/>
    </xf>
    <xf numFmtId="3" fontId="4" fillId="9" borderId="5" xfId="5" applyNumberFormat="1" applyFont="1" applyFill="1" applyBorder="1" applyAlignment="1">
      <alignment horizontal="right"/>
    </xf>
    <xf numFmtId="3" fontId="39" fillId="8" borderId="5" xfId="5" applyNumberFormat="1" applyFont="1" applyFill="1" applyBorder="1"/>
    <xf numFmtId="3" fontId="39" fillId="8" borderId="2" xfId="5" applyNumberFormat="1" applyFont="1" applyFill="1" applyBorder="1"/>
    <xf numFmtId="3" fontId="39" fillId="8" borderId="41" xfId="5" applyNumberFormat="1" applyFont="1" applyFill="1" applyBorder="1"/>
    <xf numFmtId="0" fontId="80" fillId="7" borderId="0" xfId="0" applyFont="1" applyFill="1" applyAlignment="1">
      <alignment horizontal="left"/>
    </xf>
    <xf numFmtId="3" fontId="60" fillId="2" borderId="0" xfId="0" applyNumberFormat="1" applyFont="1" applyFill="1"/>
    <xf numFmtId="3" fontId="38" fillId="0" borderId="0" xfId="0" applyNumberFormat="1" applyFont="1"/>
    <xf numFmtId="49" fontId="7" fillId="0" borderId="0" xfId="0" applyNumberFormat="1" applyFont="1" applyAlignment="1">
      <alignment horizontal="left"/>
    </xf>
    <xf numFmtId="0" fontId="9" fillId="0" borderId="0" xfId="0" applyFont="1"/>
    <xf numFmtId="3" fontId="5" fillId="0" borderId="0" xfId="0" applyNumberFormat="1" applyFont="1"/>
    <xf numFmtId="3" fontId="15" fillId="0" borderId="0" xfId="0" applyNumberFormat="1" applyFont="1" applyAlignment="1">
      <alignment horizontal="right"/>
    </xf>
    <xf numFmtId="49" fontId="4" fillId="10" borderId="43" xfId="0" applyNumberFormat="1" applyFont="1" applyFill="1" applyBorder="1"/>
    <xf numFmtId="49" fontId="4" fillId="10" borderId="28" xfId="0" applyNumberFormat="1" applyFont="1" applyFill="1" applyBorder="1"/>
    <xf numFmtId="49" fontId="4" fillId="10" borderId="29" xfId="0" applyNumberFormat="1" applyFont="1" applyFill="1" applyBorder="1"/>
    <xf numFmtId="49" fontId="4" fillId="10" borderId="44" xfId="0" applyNumberFormat="1" applyFont="1" applyFill="1" applyBorder="1"/>
    <xf numFmtId="49" fontId="4" fillId="10" borderId="45" xfId="0" applyNumberFormat="1" applyFont="1" applyFill="1" applyBorder="1"/>
    <xf numFmtId="49" fontId="4" fillId="10" borderId="46" xfId="0" applyNumberFormat="1" applyFont="1" applyFill="1" applyBorder="1"/>
    <xf numFmtId="49" fontId="4" fillId="10" borderId="30" xfId="0" applyNumberFormat="1" applyFont="1" applyFill="1" applyBorder="1"/>
    <xf numFmtId="3" fontId="84" fillId="0" borderId="0" xfId="0" applyNumberFormat="1" applyFont="1"/>
    <xf numFmtId="0" fontId="64" fillId="2" borderId="0" xfId="0" applyFont="1" applyFill="1"/>
    <xf numFmtId="0" fontId="86" fillId="7" borderId="0" xfId="0" applyFont="1" applyFill="1"/>
    <xf numFmtId="170" fontId="84" fillId="2" borderId="0" xfId="0" applyNumberFormat="1" applyFont="1" applyFill="1" applyAlignment="1">
      <alignment horizontal="left"/>
    </xf>
    <xf numFmtId="3" fontId="84" fillId="2" borderId="0" xfId="0" applyNumberFormat="1" applyFont="1" applyFill="1"/>
    <xf numFmtId="0" fontId="84" fillId="2" borderId="0" xfId="0" applyFont="1" applyFill="1"/>
    <xf numFmtId="3" fontId="4" fillId="9" borderId="47" xfId="0" applyNumberFormat="1" applyFont="1" applyFill="1" applyBorder="1" applyAlignment="1">
      <alignment horizontal="right"/>
    </xf>
    <xf numFmtId="3" fontId="4" fillId="9" borderId="48" xfId="0" applyNumberFormat="1" applyFont="1" applyFill="1" applyBorder="1" applyAlignment="1">
      <alignment horizontal="right"/>
    </xf>
    <xf numFmtId="49" fontId="4" fillId="10" borderId="0" xfId="0" applyNumberFormat="1" applyFont="1" applyFill="1"/>
    <xf numFmtId="49" fontId="4" fillId="10" borderId="49" xfId="0" applyNumberFormat="1" applyFont="1" applyFill="1" applyBorder="1"/>
    <xf numFmtId="49" fontId="4" fillId="10" borderId="50" xfId="0" applyNumberFormat="1" applyFont="1" applyFill="1" applyBorder="1"/>
    <xf numFmtId="0" fontId="0" fillId="7" borderId="0" xfId="0" applyFill="1"/>
    <xf numFmtId="0" fontId="4" fillId="2" borderId="0" xfId="0" applyFont="1" applyFill="1"/>
    <xf numFmtId="3" fontId="4" fillId="0" borderId="5" xfId="0" applyNumberFormat="1" applyFont="1" applyBorder="1" applyAlignment="1" applyProtection="1">
      <alignment horizontal="right"/>
      <protection locked="0"/>
    </xf>
    <xf numFmtId="3" fontId="4" fillId="0" borderId="51" xfId="0" applyNumberFormat="1" applyFont="1" applyBorder="1" applyAlignment="1" applyProtection="1">
      <alignment horizontal="right"/>
      <protection locked="0"/>
    </xf>
    <xf numFmtId="3" fontId="4" fillId="2" borderId="52" xfId="0" applyNumberFormat="1" applyFont="1" applyFill="1" applyBorder="1" applyAlignment="1" applyProtection="1">
      <alignment horizontal="right"/>
      <protection locked="0"/>
    </xf>
    <xf numFmtId="3" fontId="4" fillId="2" borderId="19" xfId="0" applyNumberFormat="1" applyFont="1" applyFill="1" applyBorder="1" applyAlignment="1" applyProtection="1">
      <alignment horizontal="right"/>
      <protection locked="0"/>
    </xf>
    <xf numFmtId="0" fontId="38" fillId="2" borderId="0" xfId="0" applyFont="1" applyFill="1" applyAlignment="1">
      <alignment horizontal="left"/>
    </xf>
    <xf numFmtId="0" fontId="53" fillId="0" borderId="0" xfId="0" applyFont="1"/>
    <xf numFmtId="49" fontId="0" fillId="2" borderId="0" xfId="0" applyNumberFormat="1" applyFill="1"/>
    <xf numFmtId="0" fontId="85" fillId="2" borderId="0" xfId="0" applyFont="1" applyFill="1"/>
    <xf numFmtId="0" fontId="26" fillId="2" borderId="0" xfId="0" applyFont="1" applyFill="1"/>
    <xf numFmtId="3" fontId="4" fillId="2" borderId="53" xfId="0" applyNumberFormat="1" applyFont="1" applyFill="1" applyBorder="1" applyAlignment="1" applyProtection="1">
      <alignment horizontal="right"/>
      <protection locked="0"/>
    </xf>
    <xf numFmtId="3" fontId="4" fillId="6" borderId="18" xfId="0" applyNumberFormat="1" applyFont="1" applyFill="1" applyBorder="1" applyAlignment="1" applyProtection="1">
      <alignment horizontal="right"/>
      <protection locked="0"/>
    </xf>
    <xf numFmtId="3" fontId="4" fillId="2" borderId="54" xfId="0" applyNumberFormat="1" applyFont="1" applyFill="1" applyBorder="1" applyAlignment="1" applyProtection="1">
      <alignment horizontal="right"/>
      <protection locked="0"/>
    </xf>
    <xf numFmtId="3" fontId="4" fillId="6" borderId="19" xfId="0" applyNumberFormat="1" applyFont="1" applyFill="1" applyBorder="1" applyAlignment="1" applyProtection="1">
      <alignment horizontal="right"/>
      <protection locked="0"/>
    </xf>
    <xf numFmtId="3" fontId="4" fillId="11" borderId="18" xfId="0" applyNumberFormat="1" applyFont="1" applyFill="1" applyBorder="1" applyAlignment="1" applyProtection="1">
      <alignment horizontal="right"/>
      <protection locked="0"/>
    </xf>
    <xf numFmtId="3" fontId="4" fillId="6" borderId="53" xfId="0" applyNumberFormat="1" applyFont="1" applyFill="1" applyBorder="1" applyAlignment="1" applyProtection="1">
      <alignment horizontal="right"/>
      <protection locked="0"/>
    </xf>
    <xf numFmtId="3" fontId="4" fillId="6" borderId="12" xfId="0" applyNumberFormat="1" applyFont="1" applyFill="1" applyBorder="1" applyAlignment="1" applyProtection="1">
      <alignment horizontal="right"/>
      <protection locked="0"/>
    </xf>
    <xf numFmtId="3" fontId="4" fillId="6" borderId="55" xfId="0" applyNumberFormat="1" applyFont="1" applyFill="1" applyBorder="1" applyAlignment="1" applyProtection="1">
      <alignment horizontal="right"/>
      <protection locked="0"/>
    </xf>
    <xf numFmtId="0" fontId="56" fillId="2" borderId="0" xfId="0" quotePrefix="1" applyFont="1" applyFill="1" applyAlignment="1">
      <alignment horizontal="left"/>
    </xf>
    <xf numFmtId="0" fontId="42" fillId="0" borderId="0" xfId="0" applyFont="1"/>
    <xf numFmtId="0" fontId="13" fillId="4" borderId="0" xfId="0" applyFont="1" applyFill="1"/>
    <xf numFmtId="49" fontId="13" fillId="0" borderId="57" xfId="0" applyNumberFormat="1" applyFont="1" applyBorder="1"/>
    <xf numFmtId="0" fontId="26" fillId="0" borderId="0" xfId="0" applyFont="1"/>
    <xf numFmtId="0" fontId="27" fillId="4" borderId="0" xfId="0" applyFont="1" applyFill="1"/>
    <xf numFmtId="3" fontId="15" fillId="4" borderId="0" xfId="0" applyNumberFormat="1" applyFont="1" applyFill="1"/>
    <xf numFmtId="0" fontId="23" fillId="2" borderId="0" xfId="0" applyFont="1" applyFill="1"/>
    <xf numFmtId="0" fontId="13" fillId="2" borderId="0" xfId="0" applyFont="1" applyFill="1"/>
    <xf numFmtId="49" fontId="13" fillId="2" borderId="0" xfId="0" applyNumberFormat="1" applyFont="1" applyFill="1" applyAlignment="1">
      <alignment horizontal="center"/>
    </xf>
    <xf numFmtId="0" fontId="82" fillId="0" borderId="0" xfId="0" applyFont="1"/>
    <xf numFmtId="3" fontId="4" fillId="0" borderId="32" xfId="0" applyNumberFormat="1" applyFont="1" applyBorder="1" applyAlignment="1" applyProtection="1">
      <alignment horizontal="right"/>
      <protection locked="0"/>
    </xf>
    <xf numFmtId="0" fontId="11" fillId="2" borderId="1" xfId="0" applyFont="1" applyFill="1" applyBorder="1"/>
    <xf numFmtId="0" fontId="11" fillId="0" borderId="0" xfId="0" applyFont="1"/>
    <xf numFmtId="3" fontId="4" fillId="2" borderId="58" xfId="0" applyNumberFormat="1" applyFont="1" applyFill="1" applyBorder="1" applyAlignment="1" applyProtection="1">
      <alignment horizontal="right"/>
      <protection locked="0"/>
    </xf>
    <xf numFmtId="3" fontId="15" fillId="2" borderId="52" xfId="0" applyNumberFormat="1" applyFont="1" applyFill="1" applyBorder="1" applyAlignment="1" applyProtection="1">
      <alignment horizontal="right"/>
      <protection locked="0"/>
    </xf>
    <xf numFmtId="3" fontId="15" fillId="0" borderId="20" xfId="0" applyNumberFormat="1" applyFont="1" applyBorder="1" applyAlignment="1" applyProtection="1">
      <alignment horizontal="right"/>
      <protection locked="0"/>
    </xf>
    <xf numFmtId="3" fontId="15" fillId="0" borderId="19" xfId="0" applyNumberFormat="1" applyFont="1" applyBorder="1" applyAlignment="1" applyProtection="1">
      <alignment horizontal="right"/>
      <protection locked="0"/>
    </xf>
    <xf numFmtId="3" fontId="4" fillId="2" borderId="59" xfId="0" applyNumberFormat="1" applyFont="1" applyFill="1" applyBorder="1" applyAlignment="1" applyProtection="1">
      <alignment horizontal="right"/>
      <protection locked="0"/>
    </xf>
    <xf numFmtId="3" fontId="12" fillId="2" borderId="18" xfId="0" applyNumberFormat="1" applyFont="1" applyFill="1" applyBorder="1" applyAlignment="1" applyProtection="1">
      <alignment horizontal="right"/>
      <protection locked="0"/>
    </xf>
    <xf numFmtId="3" fontId="15" fillId="0" borderId="18" xfId="0" applyNumberFormat="1" applyFont="1" applyBorder="1" applyAlignment="1" applyProtection="1">
      <alignment horizontal="right"/>
      <protection locked="0"/>
    </xf>
    <xf numFmtId="3" fontId="15" fillId="0" borderId="26" xfId="0" applyNumberFormat="1" applyFont="1" applyBorder="1" applyAlignment="1" applyProtection="1">
      <alignment horizontal="right"/>
      <protection locked="0"/>
    </xf>
    <xf numFmtId="3" fontId="15" fillId="2" borderId="60" xfId="0" applyNumberFormat="1" applyFont="1" applyFill="1" applyBorder="1" applyAlignment="1" applyProtection="1">
      <alignment horizontal="right"/>
      <protection locked="0"/>
    </xf>
    <xf numFmtId="3" fontId="15" fillId="0" borderId="61" xfId="0" applyNumberFormat="1" applyFont="1" applyBorder="1" applyAlignment="1" applyProtection="1">
      <alignment horizontal="right"/>
      <protection locked="0"/>
    </xf>
    <xf numFmtId="0" fontId="38" fillId="0" borderId="0" xfId="0" applyFont="1"/>
    <xf numFmtId="0" fontId="13" fillId="0" borderId="0" xfId="0" applyFont="1" applyAlignment="1">
      <alignment horizontal="center"/>
    </xf>
    <xf numFmtId="3" fontId="15" fillId="0" borderId="62" xfId="0" applyNumberFormat="1" applyFont="1" applyBorder="1" applyAlignment="1" applyProtection="1">
      <alignment horizontal="right"/>
      <protection locked="0"/>
    </xf>
    <xf numFmtId="0" fontId="61" fillId="0" borderId="0" xfId="0" applyFont="1"/>
    <xf numFmtId="0" fontId="61" fillId="2" borderId="0" xfId="0" applyFont="1" applyFill="1"/>
    <xf numFmtId="0" fontId="66" fillId="2" borderId="0" xfId="0" applyFont="1" applyFill="1"/>
    <xf numFmtId="0" fontId="66" fillId="0" borderId="0" xfId="0" applyFont="1"/>
    <xf numFmtId="0" fontId="0" fillId="2" borderId="0" xfId="0" applyFill="1" applyAlignment="1">
      <alignment horizontal="left"/>
    </xf>
    <xf numFmtId="49" fontId="5" fillId="0" borderId="0" xfId="0" applyNumberFormat="1" applyFont="1"/>
    <xf numFmtId="3" fontId="12" fillId="2" borderId="8" xfId="0" applyNumberFormat="1" applyFont="1" applyFill="1" applyBorder="1" applyAlignment="1" applyProtection="1">
      <alignment horizontal="right"/>
      <protection locked="0"/>
    </xf>
    <xf numFmtId="3" fontId="12" fillId="2" borderId="5" xfId="0" applyNumberFormat="1" applyFont="1" applyFill="1" applyBorder="1" applyAlignment="1" applyProtection="1">
      <alignment horizontal="right"/>
      <protection locked="0"/>
    </xf>
    <xf numFmtId="3" fontId="12" fillId="2" borderId="5" xfId="0" quotePrefix="1" applyNumberFormat="1" applyFont="1" applyFill="1" applyBorder="1" applyAlignment="1" applyProtection="1">
      <alignment horizontal="right"/>
      <protection locked="0"/>
    </xf>
    <xf numFmtId="3" fontId="12" fillId="0" borderId="8" xfId="0" applyNumberFormat="1" applyFont="1" applyBorder="1" applyAlignment="1" applyProtection="1">
      <alignment horizontal="right"/>
      <protection locked="0"/>
    </xf>
    <xf numFmtId="3" fontId="12" fillId="0" borderId="5" xfId="0" applyNumberFormat="1" applyFont="1" applyBorder="1" applyAlignment="1" applyProtection="1">
      <alignment horizontal="right"/>
      <protection locked="0"/>
    </xf>
    <xf numFmtId="3" fontId="15" fillId="2" borderId="41" xfId="0" applyNumberFormat="1" applyFont="1" applyFill="1" applyBorder="1" applyAlignment="1" applyProtection="1">
      <alignment horizontal="right"/>
      <protection locked="0"/>
    </xf>
    <xf numFmtId="3" fontId="15" fillId="6" borderId="41" xfId="0" applyNumberFormat="1" applyFont="1" applyFill="1" applyBorder="1" applyAlignment="1" applyProtection="1">
      <alignment horizontal="right"/>
      <protection locked="0"/>
    </xf>
    <xf numFmtId="3" fontId="15" fillId="2" borderId="13" xfId="0" applyNumberFormat="1" applyFont="1" applyFill="1" applyBorder="1" applyAlignment="1" applyProtection="1">
      <alignment horizontal="right"/>
      <protection locked="0"/>
    </xf>
    <xf numFmtId="0" fontId="9" fillId="2" borderId="38" xfId="0" applyFont="1" applyFill="1" applyBorder="1"/>
    <xf numFmtId="0" fontId="83" fillId="0" borderId="38" xfId="11" applyFont="1" applyBorder="1"/>
    <xf numFmtId="3" fontId="11" fillId="2" borderId="0" xfId="0" applyNumberFormat="1" applyFont="1" applyFill="1"/>
    <xf numFmtId="3" fontId="82" fillId="2" borderId="0" xfId="0" applyNumberFormat="1" applyFont="1" applyFill="1"/>
    <xf numFmtId="49" fontId="26" fillId="7" borderId="0" xfId="0" applyNumberFormat="1" applyFont="1" applyFill="1"/>
    <xf numFmtId="49" fontId="5" fillId="10" borderId="46" xfId="0" applyNumberFormat="1" applyFont="1" applyFill="1" applyBorder="1" applyAlignment="1">
      <alignment vertical="top" wrapText="1"/>
    </xf>
    <xf numFmtId="0" fontId="43" fillId="0" borderId="0" xfId="0" applyFont="1" applyAlignment="1">
      <alignment horizontal="left"/>
    </xf>
    <xf numFmtId="0" fontId="4" fillId="0" borderId="0" xfId="0" applyFont="1"/>
    <xf numFmtId="0" fontId="5" fillId="0" borderId="0" xfId="0" applyFont="1" applyAlignment="1">
      <alignment vertical="top"/>
    </xf>
    <xf numFmtId="49" fontId="26" fillId="0" borderId="0" xfId="0" applyNumberFormat="1" applyFont="1" applyAlignment="1">
      <alignment horizontal="left"/>
    </xf>
    <xf numFmtId="49" fontId="26" fillId="0" borderId="0" xfId="0" applyNumberFormat="1" applyFont="1"/>
    <xf numFmtId="0" fontId="81" fillId="0" borderId="0" xfId="0" applyFont="1"/>
    <xf numFmtId="3" fontId="12" fillId="0" borderId="19" xfId="0" applyNumberFormat="1" applyFont="1" applyBorder="1" applyAlignment="1" applyProtection="1">
      <alignment horizontal="right"/>
      <protection locked="0"/>
    </xf>
    <xf numFmtId="3" fontId="12" fillId="0" borderId="4" xfId="0" applyNumberFormat="1" applyFont="1" applyBorder="1" applyAlignment="1" applyProtection="1">
      <alignment horizontal="right"/>
      <protection locked="0"/>
    </xf>
    <xf numFmtId="0" fontId="26" fillId="7" borderId="0" xfId="5" applyFill="1"/>
    <xf numFmtId="1" fontId="26" fillId="7" borderId="0" xfId="5" applyNumberFormat="1" applyFill="1"/>
    <xf numFmtId="0" fontId="26" fillId="0" borderId="0" xfId="5"/>
    <xf numFmtId="0" fontId="26" fillId="2" borderId="0" xfId="5" applyFill="1"/>
    <xf numFmtId="1" fontId="55" fillId="2" borderId="0" xfId="11" applyNumberFormat="1" applyFont="1" applyFill="1" applyAlignment="1">
      <alignment horizontal="left"/>
    </xf>
    <xf numFmtId="0" fontId="53" fillId="2" borderId="0" xfId="5" applyFont="1" applyFill="1"/>
    <xf numFmtId="1" fontId="26" fillId="0" borderId="0" xfId="5" applyNumberFormat="1"/>
    <xf numFmtId="3" fontId="4" fillId="2" borderId="2" xfId="5" applyNumberFormat="1" applyFont="1" applyFill="1" applyBorder="1" applyAlignment="1" applyProtection="1">
      <alignment horizontal="right"/>
      <protection locked="0"/>
    </xf>
    <xf numFmtId="3" fontId="4" fillId="2" borderId="60" xfId="0" applyNumberFormat="1" applyFont="1" applyFill="1" applyBorder="1" applyAlignment="1" applyProtection="1">
      <alignment horizontal="right"/>
      <protection locked="0"/>
    </xf>
    <xf numFmtId="3" fontId="4" fillId="2" borderId="61" xfId="0" applyNumberFormat="1" applyFont="1" applyFill="1" applyBorder="1" applyAlignment="1" applyProtection="1">
      <alignment horizontal="right"/>
      <protection locked="0"/>
    </xf>
    <xf numFmtId="3" fontId="4" fillId="2" borderId="63" xfId="0" applyNumberFormat="1" applyFont="1" applyFill="1" applyBorder="1" applyAlignment="1" applyProtection="1">
      <alignment horizontal="right"/>
      <protection locked="0"/>
    </xf>
    <xf numFmtId="3" fontId="4" fillId="2" borderId="64" xfId="0" applyNumberFormat="1" applyFont="1" applyFill="1" applyBorder="1" applyAlignment="1" applyProtection="1">
      <alignment horizontal="right"/>
      <protection locked="0"/>
    </xf>
    <xf numFmtId="3" fontId="15" fillId="2" borderId="61" xfId="0" applyNumberFormat="1" applyFont="1" applyFill="1" applyBorder="1" applyAlignment="1" applyProtection="1">
      <alignment horizontal="right"/>
      <protection locked="0"/>
    </xf>
    <xf numFmtId="3" fontId="4" fillId="6" borderId="62" xfId="0" applyNumberFormat="1" applyFont="1" applyFill="1" applyBorder="1" applyAlignment="1" applyProtection="1">
      <alignment horizontal="right"/>
      <protection locked="0"/>
    </xf>
    <xf numFmtId="171" fontId="38" fillId="0" borderId="0" xfId="5" applyNumberFormat="1" applyFont="1" applyAlignment="1">
      <alignment vertical="top" wrapText="1"/>
    </xf>
    <xf numFmtId="3" fontId="4" fillId="9" borderId="65" xfId="0" applyNumberFormat="1" applyFont="1" applyFill="1" applyBorder="1"/>
    <xf numFmtId="3" fontId="4" fillId="9" borderId="13" xfId="0" applyNumberFormat="1" applyFont="1" applyFill="1" applyBorder="1"/>
    <xf numFmtId="3" fontId="39" fillId="8" borderId="67" xfId="5" applyNumberFormat="1" applyFont="1" applyFill="1" applyBorder="1"/>
    <xf numFmtId="3" fontId="39" fillId="8" borderId="35" xfId="5" applyNumberFormat="1" applyFont="1" applyFill="1" applyBorder="1"/>
    <xf numFmtId="3" fontId="39" fillId="8" borderId="25" xfId="5" applyNumberFormat="1" applyFont="1" applyFill="1" applyBorder="1"/>
    <xf numFmtId="166" fontId="11" fillId="0" borderId="0" xfId="0" applyNumberFormat="1" applyFont="1" applyAlignment="1">
      <alignment horizontal="center" vertical="center"/>
    </xf>
    <xf numFmtId="49" fontId="10" fillId="0" borderId="0" xfId="0" applyNumberFormat="1" applyFont="1" applyAlignment="1">
      <alignment horizontal="center"/>
    </xf>
    <xf numFmtId="3" fontId="15" fillId="0" borderId="68" xfId="0" applyNumberFormat="1" applyFont="1" applyBorder="1" applyAlignment="1" applyProtection="1">
      <alignment horizontal="right"/>
      <protection locked="0"/>
    </xf>
    <xf numFmtId="3" fontId="15" fillId="9" borderId="26" xfId="0" applyNumberFormat="1" applyFont="1" applyFill="1" applyBorder="1"/>
    <xf numFmtId="0" fontId="12" fillId="0" borderId="0" xfId="5" applyFont="1"/>
    <xf numFmtId="3" fontId="39" fillId="0" borderId="0" xfId="5" applyNumberFormat="1" applyFont="1"/>
    <xf numFmtId="0" fontId="0" fillId="0" borderId="1" xfId="0" applyBorder="1"/>
    <xf numFmtId="0" fontId="0" fillId="2" borderId="1" xfId="0" applyFill="1" applyBorder="1"/>
    <xf numFmtId="3" fontId="15" fillId="2" borderId="19" xfId="0" applyNumberFormat="1" applyFont="1" applyFill="1" applyBorder="1" applyProtection="1">
      <protection locked="0"/>
    </xf>
    <xf numFmtId="171" fontId="38" fillId="0" borderId="0" xfId="0" applyNumberFormat="1" applyFont="1"/>
    <xf numFmtId="171" fontId="38" fillId="2" borderId="0" xfId="0" applyNumberFormat="1" applyFont="1" applyFill="1"/>
    <xf numFmtId="0" fontId="38" fillId="2" borderId="0" xfId="0" applyFont="1" applyFill="1" applyAlignment="1">
      <alignment horizontal="left" vertical="top" wrapText="1"/>
    </xf>
    <xf numFmtId="3" fontId="4" fillId="2" borderId="8" xfId="0" applyNumberFormat="1" applyFont="1" applyFill="1" applyBorder="1" applyAlignment="1" applyProtection="1">
      <alignment horizontal="right"/>
      <protection locked="0"/>
    </xf>
    <xf numFmtId="3" fontId="4" fillId="2" borderId="69" xfId="5" applyNumberFormat="1" applyFont="1" applyFill="1" applyBorder="1" applyAlignment="1" applyProtection="1">
      <alignment horizontal="right"/>
      <protection locked="0"/>
    </xf>
    <xf numFmtId="3" fontId="4" fillId="2" borderId="25" xfId="5" applyNumberFormat="1" applyFont="1" applyFill="1" applyBorder="1" applyAlignment="1" applyProtection="1">
      <alignment horizontal="right"/>
      <protection locked="0"/>
    </xf>
    <xf numFmtId="0" fontId="40" fillId="0" borderId="0" xfId="5" applyFont="1"/>
    <xf numFmtId="0" fontId="52" fillId="2" borderId="0" xfId="5" applyFont="1" applyFill="1"/>
    <xf numFmtId="0" fontId="38" fillId="0" borderId="0" xfId="5" quotePrefix="1" applyFont="1"/>
    <xf numFmtId="3" fontId="72" fillId="8" borderId="25" xfId="5" applyNumberFormat="1" applyFont="1" applyFill="1" applyBorder="1" applyAlignment="1">
      <alignment horizontal="right"/>
    </xf>
    <xf numFmtId="3" fontId="4" fillId="8" borderId="5" xfId="5" applyNumberFormat="1" applyFont="1" applyFill="1" applyBorder="1"/>
    <xf numFmtId="3" fontId="72" fillId="12" borderId="25" xfId="5" applyNumberFormat="1" applyFont="1" applyFill="1" applyBorder="1" applyAlignment="1">
      <alignment horizontal="right"/>
    </xf>
    <xf numFmtId="3" fontId="72" fillId="8" borderId="25" xfId="5" quotePrefix="1" applyNumberFormat="1" applyFont="1" applyFill="1" applyBorder="1" applyAlignment="1">
      <alignment horizontal="right"/>
    </xf>
    <xf numFmtId="3" fontId="4" fillId="8" borderId="5" xfId="0" applyNumberFormat="1" applyFont="1" applyFill="1" applyBorder="1" applyAlignment="1">
      <alignment horizontal="right"/>
    </xf>
    <xf numFmtId="0" fontId="39" fillId="2" borderId="0" xfId="0" applyFont="1" applyFill="1" applyAlignment="1">
      <alignment horizontal="right"/>
    </xf>
    <xf numFmtId="0" fontId="38" fillId="0" borderId="0" xfId="5" applyFont="1"/>
    <xf numFmtId="3" fontId="4" fillId="9" borderId="77" xfId="5" applyNumberFormat="1" applyFont="1" applyFill="1" applyBorder="1"/>
    <xf numFmtId="3" fontId="4" fillId="9" borderId="78" xfId="5" applyNumberFormat="1" applyFont="1" applyFill="1" applyBorder="1"/>
    <xf numFmtId="3" fontId="4" fillId="3" borderId="13" xfId="0" applyNumberFormat="1" applyFont="1" applyFill="1" applyBorder="1"/>
    <xf numFmtId="3" fontId="4" fillId="3" borderId="26" xfId="0" applyNumberFormat="1" applyFont="1" applyFill="1" applyBorder="1"/>
    <xf numFmtId="3" fontId="4" fillId="3" borderId="53" xfId="0" applyNumberFormat="1" applyFont="1" applyFill="1" applyBorder="1"/>
    <xf numFmtId="3" fontId="4" fillId="3" borderId="55" xfId="0" applyNumberFormat="1" applyFont="1" applyFill="1" applyBorder="1"/>
    <xf numFmtId="3" fontId="4" fillId="3" borderId="68" xfId="0" applyNumberFormat="1" applyFont="1" applyFill="1" applyBorder="1"/>
    <xf numFmtId="3" fontId="4" fillId="3" borderId="25" xfId="0" applyNumberFormat="1" applyFont="1" applyFill="1" applyBorder="1"/>
    <xf numFmtId="3" fontId="4" fillId="3" borderId="19" xfId="0" applyNumberFormat="1" applyFont="1" applyFill="1" applyBorder="1"/>
    <xf numFmtId="3" fontId="4" fillId="3" borderId="62" xfId="0" applyNumberFormat="1" applyFont="1" applyFill="1" applyBorder="1"/>
    <xf numFmtId="3" fontId="4" fillId="3" borderId="79" xfId="0" applyNumberFormat="1" applyFont="1" applyFill="1" applyBorder="1"/>
    <xf numFmtId="3" fontId="4" fillId="3" borderId="5" xfId="0" applyNumberFormat="1" applyFont="1" applyFill="1" applyBorder="1"/>
    <xf numFmtId="3" fontId="4" fillId="3" borderId="80" xfId="0" applyNumberFormat="1" applyFont="1" applyFill="1" applyBorder="1"/>
    <xf numFmtId="3" fontId="4" fillId="3" borderId="81" xfId="0" applyNumberFormat="1" applyFont="1" applyFill="1" applyBorder="1"/>
    <xf numFmtId="3" fontId="4" fillId="3" borderId="76" xfId="0" applyNumberFormat="1" applyFont="1" applyFill="1" applyBorder="1"/>
    <xf numFmtId="3" fontId="15" fillId="3" borderId="58" xfId="0" applyNumberFormat="1" applyFont="1" applyFill="1" applyBorder="1"/>
    <xf numFmtId="3" fontId="15" fillId="3" borderId="82" xfId="0" applyNumberFormat="1" applyFont="1" applyFill="1" applyBorder="1"/>
    <xf numFmtId="3" fontId="15" fillId="3" borderId="83" xfId="0" applyNumberFormat="1" applyFont="1" applyFill="1" applyBorder="1"/>
    <xf numFmtId="3" fontId="15" fillId="3" borderId="80" xfId="0" applyNumberFormat="1" applyFont="1" applyFill="1" applyBorder="1"/>
    <xf numFmtId="3" fontId="15" fillId="3" borderId="26" xfId="0" applyNumberFormat="1" applyFont="1" applyFill="1" applyBorder="1"/>
    <xf numFmtId="3" fontId="15" fillId="3" borderId="20" xfId="0" applyNumberFormat="1" applyFont="1" applyFill="1" applyBorder="1"/>
    <xf numFmtId="3" fontId="15" fillId="3" borderId="18" xfId="0" applyNumberFormat="1" applyFont="1" applyFill="1" applyBorder="1"/>
    <xf numFmtId="3" fontId="15" fillId="3" borderId="19" xfId="0" applyNumberFormat="1" applyFont="1" applyFill="1" applyBorder="1"/>
    <xf numFmtId="3" fontId="15" fillId="3" borderId="5" xfId="0" applyNumberFormat="1" applyFont="1" applyFill="1" applyBorder="1" applyAlignment="1">
      <alignment horizontal="right"/>
    </xf>
    <xf numFmtId="3" fontId="4" fillId="13" borderId="7" xfId="0" applyNumberFormat="1" applyFont="1" applyFill="1" applyBorder="1" applyAlignment="1">
      <alignment horizontal="right"/>
    </xf>
    <xf numFmtId="3" fontId="4" fillId="3" borderId="41" xfId="0" applyNumberFormat="1" applyFont="1" applyFill="1" applyBorder="1" applyAlignment="1">
      <alignment horizontal="right"/>
    </xf>
    <xf numFmtId="3" fontId="4" fillId="3" borderId="13" xfId="0" applyNumberFormat="1" applyFont="1" applyFill="1" applyBorder="1" applyAlignment="1">
      <alignment horizontal="right"/>
    </xf>
    <xf numFmtId="3" fontId="15" fillId="3" borderId="18" xfId="0" applyNumberFormat="1" applyFont="1" applyFill="1" applyBorder="1" applyAlignment="1">
      <alignment horizontal="right"/>
    </xf>
    <xf numFmtId="3" fontId="15" fillId="3" borderId="3" xfId="0" applyNumberFormat="1" applyFont="1" applyFill="1" applyBorder="1" applyAlignment="1">
      <alignment horizontal="right"/>
    </xf>
    <xf numFmtId="3" fontId="15" fillId="3" borderId="22" xfId="0" applyNumberFormat="1" applyFont="1" applyFill="1" applyBorder="1" applyAlignment="1">
      <alignment horizontal="right"/>
    </xf>
    <xf numFmtId="3" fontId="15" fillId="3" borderId="7" xfId="0" applyNumberFormat="1" applyFont="1" applyFill="1" applyBorder="1" applyAlignment="1">
      <alignment horizontal="right"/>
    </xf>
    <xf numFmtId="3" fontId="15" fillId="3" borderId="86" xfId="0" applyNumberFormat="1" applyFont="1" applyFill="1" applyBorder="1" applyAlignment="1">
      <alignment horizontal="right"/>
    </xf>
    <xf numFmtId="3" fontId="15" fillId="3" borderId="87" xfId="0" applyNumberFormat="1" applyFont="1" applyFill="1" applyBorder="1" applyAlignment="1">
      <alignment horizontal="right"/>
    </xf>
    <xf numFmtId="3" fontId="15" fillId="3" borderId="88" xfId="0" applyNumberFormat="1" applyFont="1" applyFill="1" applyBorder="1" applyAlignment="1">
      <alignment horizontal="right"/>
    </xf>
    <xf numFmtId="3" fontId="15" fillId="3" borderId="25" xfId="0" applyNumberFormat="1" applyFont="1" applyFill="1" applyBorder="1" applyAlignment="1">
      <alignment horizontal="right"/>
    </xf>
    <xf numFmtId="3" fontId="15" fillId="3" borderId="71" xfId="0" applyNumberFormat="1" applyFont="1" applyFill="1" applyBorder="1" applyAlignment="1">
      <alignment horizontal="right"/>
    </xf>
    <xf numFmtId="3" fontId="15" fillId="3" borderId="26" xfId="0" applyNumberFormat="1" applyFont="1" applyFill="1" applyBorder="1" applyAlignment="1">
      <alignment horizontal="right"/>
    </xf>
    <xf numFmtId="3" fontId="15" fillId="3" borderId="24" xfId="0" applyNumberFormat="1" applyFont="1" applyFill="1" applyBorder="1" applyAlignment="1">
      <alignment horizontal="right"/>
    </xf>
    <xf numFmtId="3" fontId="15" fillId="3" borderId="64" xfId="0" applyNumberFormat="1" applyFont="1" applyFill="1" applyBorder="1" applyAlignment="1">
      <alignment horizontal="right"/>
    </xf>
    <xf numFmtId="3" fontId="15" fillId="3" borderId="24" xfId="0" applyNumberFormat="1" applyFont="1" applyFill="1" applyBorder="1"/>
    <xf numFmtId="3" fontId="15" fillId="3" borderId="25" xfId="0" applyNumberFormat="1" applyFont="1" applyFill="1" applyBorder="1"/>
    <xf numFmtId="3" fontId="15" fillId="3" borderId="71" xfId="0" applyNumberFormat="1" applyFont="1" applyFill="1" applyBorder="1"/>
    <xf numFmtId="3" fontId="15" fillId="3" borderId="89" xfId="0" applyNumberFormat="1" applyFont="1" applyFill="1" applyBorder="1" applyAlignment="1">
      <alignment horizontal="right"/>
    </xf>
    <xf numFmtId="3" fontId="15" fillId="10" borderId="90" xfId="0" applyNumberFormat="1" applyFont="1" applyFill="1" applyBorder="1" applyAlignment="1">
      <alignment horizontal="right"/>
    </xf>
    <xf numFmtId="3" fontId="15" fillId="10" borderId="91" xfId="0" applyNumberFormat="1" applyFont="1" applyFill="1" applyBorder="1" applyAlignment="1">
      <alignment horizontal="right"/>
    </xf>
    <xf numFmtId="3" fontId="15" fillId="10" borderId="81" xfId="0" applyNumberFormat="1" applyFont="1" applyFill="1" applyBorder="1" applyAlignment="1">
      <alignment horizontal="right"/>
    </xf>
    <xf numFmtId="3" fontId="15" fillId="10" borderId="92" xfId="0" applyNumberFormat="1" applyFont="1" applyFill="1" applyBorder="1" applyAlignment="1">
      <alignment horizontal="right"/>
    </xf>
    <xf numFmtId="3" fontId="15" fillId="3" borderId="52" xfId="0" applyNumberFormat="1" applyFont="1" applyFill="1" applyBorder="1" applyAlignment="1">
      <alignment horizontal="right"/>
    </xf>
    <xf numFmtId="3" fontId="15" fillId="3" borderId="93" xfId="0" applyNumberFormat="1" applyFont="1" applyFill="1" applyBorder="1" applyAlignment="1">
      <alignment horizontal="right"/>
    </xf>
    <xf numFmtId="3" fontId="15" fillId="3" borderId="79" xfId="0" applyNumberFormat="1" applyFont="1" applyFill="1" applyBorder="1" applyAlignment="1">
      <alignment horizontal="right"/>
    </xf>
    <xf numFmtId="3" fontId="15" fillId="3" borderId="94" xfId="0" applyNumberFormat="1" applyFont="1" applyFill="1" applyBorder="1" applyAlignment="1">
      <alignment horizontal="right"/>
    </xf>
    <xf numFmtId="3" fontId="15" fillId="3" borderId="95" xfId="0" applyNumberFormat="1" applyFont="1" applyFill="1" applyBorder="1" applyAlignment="1">
      <alignment horizontal="right"/>
    </xf>
    <xf numFmtId="3" fontId="15" fillId="3" borderId="96" xfId="0" applyNumberFormat="1" applyFont="1" applyFill="1" applyBorder="1" applyAlignment="1">
      <alignment horizontal="right"/>
    </xf>
    <xf numFmtId="3" fontId="15" fillId="3" borderId="83" xfId="0" applyNumberFormat="1" applyFont="1" applyFill="1" applyBorder="1" applyAlignment="1">
      <alignment horizontal="right"/>
    </xf>
    <xf numFmtId="3" fontId="4" fillId="3" borderId="97" xfId="0" applyNumberFormat="1" applyFont="1" applyFill="1" applyBorder="1"/>
    <xf numFmtId="3" fontId="4" fillId="3" borderId="31" xfId="0" applyNumberFormat="1" applyFont="1" applyFill="1" applyBorder="1"/>
    <xf numFmtId="3" fontId="4" fillId="3" borderId="98" xfId="0" applyNumberFormat="1" applyFont="1" applyFill="1" applyBorder="1"/>
    <xf numFmtId="3" fontId="15" fillId="3" borderId="31" xfId="0" applyNumberFormat="1" applyFont="1" applyFill="1" applyBorder="1"/>
    <xf numFmtId="3" fontId="15" fillId="3" borderId="32" xfId="0" applyNumberFormat="1" applyFont="1" applyFill="1" applyBorder="1"/>
    <xf numFmtId="3" fontId="15" fillId="3" borderId="76" xfId="0" applyNumberFormat="1" applyFont="1" applyFill="1" applyBorder="1"/>
    <xf numFmtId="3" fontId="4" fillId="3" borderId="99" xfId="0" applyNumberFormat="1" applyFont="1" applyFill="1" applyBorder="1"/>
    <xf numFmtId="3" fontId="15" fillId="3" borderId="98" xfId="0" applyNumberFormat="1" applyFont="1" applyFill="1" applyBorder="1" applyAlignment="1">
      <alignment horizontal="right"/>
    </xf>
    <xf numFmtId="3" fontId="15" fillId="3" borderId="33" xfId="0" applyNumberFormat="1" applyFont="1" applyFill="1" applyBorder="1" applyAlignment="1">
      <alignment horizontal="right"/>
    </xf>
    <xf numFmtId="3" fontId="15" fillId="3" borderId="44" xfId="0" applyNumberFormat="1" applyFont="1" applyFill="1" applyBorder="1" applyAlignment="1">
      <alignment horizontal="right"/>
    </xf>
    <xf numFmtId="3" fontId="15" fillId="3" borderId="33" xfId="0" applyNumberFormat="1" applyFont="1" applyFill="1" applyBorder="1"/>
    <xf numFmtId="3" fontId="15" fillId="3" borderId="44" xfId="0" applyNumberFormat="1" applyFont="1" applyFill="1" applyBorder="1"/>
    <xf numFmtId="3" fontId="15" fillId="3" borderId="100" xfId="0" applyNumberFormat="1" applyFont="1" applyFill="1" applyBorder="1" applyAlignment="1">
      <alignment horizontal="right"/>
    </xf>
    <xf numFmtId="3" fontId="39" fillId="3" borderId="74" xfId="0" applyNumberFormat="1" applyFont="1" applyFill="1" applyBorder="1" applyAlignment="1">
      <alignment horizontal="right"/>
    </xf>
    <xf numFmtId="3" fontId="39" fillId="3" borderId="102" xfId="0" applyNumberFormat="1" applyFont="1" applyFill="1" applyBorder="1" applyAlignment="1">
      <alignment horizontal="right"/>
    </xf>
    <xf numFmtId="3" fontId="39" fillId="3" borderId="25" xfId="0" applyNumberFormat="1" applyFont="1" applyFill="1" applyBorder="1" applyAlignment="1">
      <alignment horizontal="right"/>
    </xf>
    <xf numFmtId="3" fontId="39" fillId="3" borderId="26" xfId="0" applyNumberFormat="1" applyFont="1" applyFill="1" applyBorder="1" applyAlignment="1">
      <alignment horizontal="right"/>
    </xf>
    <xf numFmtId="0" fontId="3" fillId="7" borderId="0" xfId="0" applyFont="1" applyFill="1"/>
    <xf numFmtId="3" fontId="3" fillId="2" borderId="0" xfId="0" applyNumberFormat="1" applyFont="1" applyFill="1"/>
    <xf numFmtId="3" fontId="3" fillId="0" borderId="0" xfId="0" applyNumberFormat="1" applyFont="1"/>
    <xf numFmtId="0" fontId="0" fillId="10" borderId="0" xfId="0" applyFill="1"/>
    <xf numFmtId="0" fontId="0" fillId="0" borderId="66" xfId="0" applyBorder="1"/>
    <xf numFmtId="49" fontId="4" fillId="10" borderId="11" xfId="0" applyNumberFormat="1" applyFont="1" applyFill="1" applyBorder="1"/>
    <xf numFmtId="49" fontId="4" fillId="10" borderId="73" xfId="0" applyNumberFormat="1" applyFont="1" applyFill="1" applyBorder="1"/>
    <xf numFmtId="49" fontId="4" fillId="10" borderId="38" xfId="0" applyNumberFormat="1" applyFont="1" applyFill="1" applyBorder="1"/>
    <xf numFmtId="49" fontId="4" fillId="10" borderId="75" xfId="0" applyNumberFormat="1" applyFont="1" applyFill="1" applyBorder="1"/>
    <xf numFmtId="49" fontId="4" fillId="10" borderId="36" xfId="0" applyNumberFormat="1" applyFont="1" applyFill="1" applyBorder="1"/>
    <xf numFmtId="0" fontId="19" fillId="0" borderId="0" xfId="0" applyFont="1" applyAlignment="1">
      <alignment horizontal="center"/>
    </xf>
    <xf numFmtId="0" fontId="93" fillId="0" borderId="0" xfId="0" applyFont="1"/>
    <xf numFmtId="0" fontId="94" fillId="0" borderId="0" xfId="5" applyFont="1"/>
    <xf numFmtId="3" fontId="4" fillId="9" borderId="108" xfId="5" applyNumberFormat="1" applyFont="1" applyFill="1" applyBorder="1"/>
    <xf numFmtId="3" fontId="4" fillId="9" borderId="7" xfId="5" applyNumberFormat="1" applyFont="1" applyFill="1" applyBorder="1"/>
    <xf numFmtId="3" fontId="4" fillId="9" borderId="101" xfId="5" applyNumberFormat="1" applyFont="1" applyFill="1" applyBorder="1"/>
    <xf numFmtId="3" fontId="4" fillId="9" borderId="86" xfId="5" applyNumberFormat="1" applyFont="1" applyFill="1" applyBorder="1"/>
    <xf numFmtId="0" fontId="95" fillId="0" borderId="0" xfId="5" applyFont="1"/>
    <xf numFmtId="3" fontId="4" fillId="3" borderId="18" xfId="0" applyNumberFormat="1" applyFont="1" applyFill="1" applyBorder="1" applyAlignment="1">
      <alignment horizontal="right"/>
    </xf>
    <xf numFmtId="3" fontId="4" fillId="9" borderId="22" xfId="0" applyNumberFormat="1" applyFont="1" applyFill="1" applyBorder="1" applyAlignment="1">
      <alignment horizontal="right"/>
    </xf>
    <xf numFmtId="3" fontId="4" fillId="2" borderId="21" xfId="0" applyNumberFormat="1" applyFont="1" applyFill="1" applyBorder="1" applyAlignment="1" applyProtection="1">
      <alignment horizontal="right"/>
      <protection locked="0"/>
    </xf>
    <xf numFmtId="3" fontId="4" fillId="2" borderId="22" xfId="0" applyNumberFormat="1" applyFont="1" applyFill="1" applyBorder="1" applyAlignment="1" applyProtection="1">
      <alignment horizontal="right"/>
      <protection locked="0"/>
    </xf>
    <xf numFmtId="3" fontId="4" fillId="14" borderId="18" xfId="0" applyNumberFormat="1" applyFont="1" applyFill="1" applyBorder="1" applyAlignment="1" applyProtection="1">
      <alignment horizontal="right"/>
      <protection locked="0"/>
    </xf>
    <xf numFmtId="3" fontId="15" fillId="3" borderId="103" xfId="0" applyNumberFormat="1" applyFont="1" applyFill="1" applyBorder="1" applyAlignment="1">
      <alignment horizontal="right"/>
    </xf>
    <xf numFmtId="3" fontId="15" fillId="10" borderId="30" xfId="0" applyNumberFormat="1" applyFont="1" applyFill="1" applyBorder="1" applyAlignment="1">
      <alignment horizontal="right"/>
    </xf>
    <xf numFmtId="3" fontId="15" fillId="10" borderId="31" xfId="0" applyNumberFormat="1" applyFont="1" applyFill="1" applyBorder="1" applyAlignment="1">
      <alignment horizontal="right"/>
    </xf>
    <xf numFmtId="3" fontId="15" fillId="10" borderId="23" xfId="0" applyNumberFormat="1" applyFont="1" applyFill="1" applyBorder="1" applyAlignment="1">
      <alignment horizontal="right"/>
    </xf>
    <xf numFmtId="3" fontId="15" fillId="10" borderId="9" xfId="0" applyNumberFormat="1" applyFont="1" applyFill="1" applyBorder="1" applyAlignment="1">
      <alignment horizontal="right"/>
    </xf>
    <xf numFmtId="3" fontId="15" fillId="10" borderId="20" xfId="0" applyNumberFormat="1" applyFont="1" applyFill="1" applyBorder="1" applyAlignment="1">
      <alignment horizontal="right"/>
    </xf>
    <xf numFmtId="3" fontId="15" fillId="10" borderId="10" xfId="0" applyNumberFormat="1" applyFont="1" applyFill="1" applyBorder="1" applyAlignment="1">
      <alignment horizontal="right"/>
    </xf>
    <xf numFmtId="3" fontId="15" fillId="10" borderId="14" xfId="0" applyNumberFormat="1" applyFont="1" applyFill="1" applyBorder="1" applyAlignment="1">
      <alignment horizontal="right"/>
    </xf>
    <xf numFmtId="3" fontId="15" fillId="2" borderId="54" xfId="0" applyNumberFormat="1" applyFont="1" applyFill="1" applyBorder="1" applyAlignment="1" applyProtection="1">
      <alignment horizontal="right"/>
      <protection locked="0"/>
    </xf>
    <xf numFmtId="3" fontId="15" fillId="2" borderId="53" xfId="0" applyNumberFormat="1" applyFont="1" applyFill="1" applyBorder="1" applyAlignment="1" applyProtection="1">
      <alignment horizontal="right"/>
      <protection locked="0"/>
    </xf>
    <xf numFmtId="3" fontId="15" fillId="2" borderId="64" xfId="0" applyNumberFormat="1" applyFont="1" applyFill="1" applyBorder="1" applyAlignment="1" applyProtection="1">
      <alignment horizontal="right"/>
      <protection locked="0"/>
    </xf>
    <xf numFmtId="3" fontId="15" fillId="10" borderId="96" xfId="0" applyNumberFormat="1" applyFont="1" applyFill="1" applyBorder="1" applyAlignment="1">
      <alignment horizontal="right"/>
    </xf>
    <xf numFmtId="3" fontId="15" fillId="10" borderId="112" xfId="0" applyNumberFormat="1" applyFont="1" applyFill="1" applyBorder="1" applyAlignment="1">
      <alignment horizontal="right"/>
    </xf>
    <xf numFmtId="3" fontId="15" fillId="10" borderId="113" xfId="0" applyNumberFormat="1" applyFont="1" applyFill="1" applyBorder="1" applyAlignment="1">
      <alignment horizontal="right"/>
    </xf>
    <xf numFmtId="3" fontId="15" fillId="10" borderId="83" xfId="0" applyNumberFormat="1" applyFont="1" applyFill="1" applyBorder="1" applyAlignment="1">
      <alignment horizontal="right"/>
    </xf>
    <xf numFmtId="3" fontId="15" fillId="10" borderId="4" xfId="0" applyNumberFormat="1" applyFont="1" applyFill="1" applyBorder="1" applyAlignment="1">
      <alignment horizontal="right"/>
    </xf>
    <xf numFmtId="3" fontId="15" fillId="10" borderId="3" xfId="0" applyNumberFormat="1" applyFont="1" applyFill="1" applyBorder="1" applyAlignment="1">
      <alignment horizontal="right"/>
    </xf>
    <xf numFmtId="3" fontId="15" fillId="10" borderId="2" xfId="0" applyNumberFormat="1" applyFont="1" applyFill="1" applyBorder="1" applyAlignment="1">
      <alignment horizontal="right"/>
    </xf>
    <xf numFmtId="3" fontId="15" fillId="10" borderId="18" xfId="0" applyNumberFormat="1" applyFont="1" applyFill="1" applyBorder="1" applyAlignment="1">
      <alignment horizontal="right"/>
    </xf>
    <xf numFmtId="3" fontId="15" fillId="10" borderId="93" xfId="0" applyNumberFormat="1" applyFont="1" applyFill="1" applyBorder="1" applyAlignment="1">
      <alignment horizontal="right"/>
    </xf>
    <xf numFmtId="3" fontId="15" fillId="10" borderId="21" xfId="0" applyNumberFormat="1" applyFont="1" applyFill="1" applyBorder="1" applyAlignment="1">
      <alignment horizontal="right"/>
    </xf>
    <xf numFmtId="3" fontId="15" fillId="10" borderId="46" xfId="0" applyNumberFormat="1" applyFont="1" applyFill="1" applyBorder="1" applyAlignment="1">
      <alignment horizontal="right"/>
    </xf>
    <xf numFmtId="3" fontId="15" fillId="10" borderId="114" xfId="0" applyNumberFormat="1" applyFont="1" applyFill="1" applyBorder="1" applyAlignment="1">
      <alignment horizontal="right"/>
    </xf>
    <xf numFmtId="3" fontId="15" fillId="10" borderId="28" xfId="0" applyNumberFormat="1" applyFont="1" applyFill="1" applyBorder="1" applyAlignment="1">
      <alignment horizontal="right"/>
    </xf>
    <xf numFmtId="3" fontId="15" fillId="10" borderId="98" xfId="0" applyNumberFormat="1" applyFont="1" applyFill="1" applyBorder="1" applyAlignment="1">
      <alignment horizontal="right"/>
    </xf>
    <xf numFmtId="3" fontId="15" fillId="10" borderId="29" xfId="0" applyNumberFormat="1" applyFont="1" applyFill="1" applyBorder="1" applyAlignment="1">
      <alignment horizontal="right"/>
    </xf>
    <xf numFmtId="3" fontId="15" fillId="10" borderId="32" xfId="0" applyNumberFormat="1" applyFont="1" applyFill="1" applyBorder="1" applyAlignment="1">
      <alignment horizontal="right"/>
    </xf>
    <xf numFmtId="3" fontId="15" fillId="10" borderId="22" xfId="0" applyNumberFormat="1" applyFont="1" applyFill="1" applyBorder="1" applyAlignment="1">
      <alignment horizontal="right"/>
    </xf>
    <xf numFmtId="3" fontId="15" fillId="10" borderId="5" xfId="0" applyNumberFormat="1" applyFont="1" applyFill="1" applyBorder="1" applyAlignment="1">
      <alignment horizontal="right"/>
    </xf>
    <xf numFmtId="3" fontId="15" fillId="10" borderId="19" xfId="0" applyNumberFormat="1" applyFont="1" applyFill="1" applyBorder="1" applyAlignment="1">
      <alignment horizontal="right"/>
    </xf>
    <xf numFmtId="3" fontId="15" fillId="10" borderId="6" xfId="0" applyNumberFormat="1" applyFont="1" applyFill="1" applyBorder="1" applyAlignment="1">
      <alignment horizontal="right"/>
    </xf>
    <xf numFmtId="3" fontId="15" fillId="10" borderId="7" xfId="0" applyNumberFormat="1" applyFont="1" applyFill="1" applyBorder="1" applyAlignment="1">
      <alignment horizontal="right"/>
    </xf>
    <xf numFmtId="0" fontId="27" fillId="10" borderId="91" xfId="0" applyFont="1" applyFill="1" applyBorder="1"/>
    <xf numFmtId="0" fontId="27" fillId="10" borderId="115" xfId="0" applyFont="1" applyFill="1" applyBorder="1"/>
    <xf numFmtId="0" fontId="27" fillId="10" borderId="116" xfId="0" applyFont="1" applyFill="1" applyBorder="1"/>
    <xf numFmtId="0" fontId="27" fillId="10" borderId="64" xfId="0" applyFont="1" applyFill="1" applyBorder="1"/>
    <xf numFmtId="0" fontId="27" fillId="10" borderId="78" xfId="0" applyFont="1" applyFill="1" applyBorder="1"/>
    <xf numFmtId="0" fontId="27" fillId="10" borderId="52" xfId="0" applyFont="1" applyFill="1" applyBorder="1"/>
    <xf numFmtId="0" fontId="27" fillId="10" borderId="93" xfId="0" applyFont="1" applyFill="1" applyBorder="1"/>
    <xf numFmtId="0" fontId="27" fillId="10" borderId="113" xfId="0" applyFont="1" applyFill="1" applyBorder="1"/>
    <xf numFmtId="0" fontId="27" fillId="10" borderId="21" xfId="0" applyFont="1" applyFill="1" applyBorder="1"/>
    <xf numFmtId="0" fontId="27" fillId="10" borderId="2" xfId="0" applyFont="1" applyFill="1" applyBorder="1"/>
    <xf numFmtId="0" fontId="27" fillId="10" borderId="46" xfId="0" applyFont="1" applyFill="1" applyBorder="1"/>
    <xf numFmtId="0" fontId="27" fillId="10" borderId="114" xfId="0" applyFont="1" applyFill="1" applyBorder="1"/>
    <xf numFmtId="0" fontId="27" fillId="10" borderId="28" xfId="0" applyFont="1" applyFill="1" applyBorder="1"/>
    <xf numFmtId="0" fontId="27" fillId="10" borderId="98" xfId="0" applyFont="1" applyFill="1" applyBorder="1"/>
    <xf numFmtId="3" fontId="15" fillId="10" borderId="104" xfId="0" applyNumberFormat="1" applyFont="1" applyFill="1" applyBorder="1" applyAlignment="1">
      <alignment horizontal="right"/>
    </xf>
    <xf numFmtId="3" fontId="15" fillId="2" borderId="78" xfId="0" applyNumberFormat="1" applyFont="1" applyFill="1" applyBorder="1" applyAlignment="1" applyProtection="1">
      <alignment horizontal="right"/>
      <protection locked="0"/>
    </xf>
    <xf numFmtId="0" fontId="27" fillId="10" borderId="7" xfId="0" applyFont="1" applyFill="1" applyBorder="1"/>
    <xf numFmtId="0" fontId="27" fillId="10" borderId="6" xfId="0" applyFont="1" applyFill="1" applyBorder="1"/>
    <xf numFmtId="0" fontId="27" fillId="10" borderId="5" xfId="0" applyFont="1" applyFill="1" applyBorder="1"/>
    <xf numFmtId="3" fontId="15" fillId="15" borderId="5" xfId="0" applyNumberFormat="1" applyFont="1" applyFill="1" applyBorder="1" applyAlignment="1">
      <alignment horizontal="right"/>
    </xf>
    <xf numFmtId="3" fontId="15" fillId="15" borderId="6" xfId="0" applyNumberFormat="1" applyFont="1" applyFill="1" applyBorder="1" applyAlignment="1">
      <alignment horizontal="right"/>
    </xf>
    <xf numFmtId="0" fontId="27" fillId="10" borderId="19" xfId="0" applyFont="1" applyFill="1" applyBorder="1"/>
    <xf numFmtId="0" fontId="27" fillId="10" borderId="22" xfId="0" applyFont="1" applyFill="1" applyBorder="1"/>
    <xf numFmtId="0" fontId="27" fillId="10" borderId="29" xfId="0" applyFont="1" applyFill="1" applyBorder="1"/>
    <xf numFmtId="0" fontId="27" fillId="10" borderId="32" xfId="0" applyFont="1" applyFill="1" applyBorder="1"/>
    <xf numFmtId="3" fontId="15" fillId="2" borderId="117" xfId="0" applyNumberFormat="1" applyFont="1" applyFill="1" applyBorder="1" applyAlignment="1">
      <alignment horizontal="right"/>
    </xf>
    <xf numFmtId="3" fontId="15" fillId="10" borderId="14" xfId="0" applyNumberFormat="1" applyFont="1" applyFill="1" applyBorder="1" applyAlignment="1">
      <alignment horizontal="left"/>
    </xf>
    <xf numFmtId="3" fontId="15" fillId="10" borderId="10" xfId="0" applyNumberFormat="1" applyFont="1" applyFill="1" applyBorder="1" applyAlignment="1">
      <alignment horizontal="left"/>
    </xf>
    <xf numFmtId="3" fontId="15" fillId="10" borderId="9" xfId="0" applyNumberFormat="1" applyFont="1" applyFill="1" applyBorder="1" applyAlignment="1">
      <alignment horizontal="left"/>
    </xf>
    <xf numFmtId="3" fontId="15" fillId="10" borderId="20" xfId="0" applyNumberFormat="1" applyFont="1" applyFill="1" applyBorder="1" applyAlignment="1">
      <alignment horizontal="left"/>
    </xf>
    <xf numFmtId="3" fontId="15" fillId="10" borderId="23" xfId="0" applyNumberFormat="1" applyFont="1" applyFill="1" applyBorder="1" applyAlignment="1">
      <alignment horizontal="left"/>
    </xf>
    <xf numFmtId="3" fontId="15" fillId="16" borderId="20" xfId="0" applyNumberFormat="1" applyFont="1" applyFill="1" applyBorder="1" applyAlignment="1">
      <alignment horizontal="left"/>
    </xf>
    <xf numFmtId="3" fontId="15" fillId="10" borderId="30" xfId="0" applyNumberFormat="1" applyFont="1" applyFill="1" applyBorder="1" applyAlignment="1">
      <alignment horizontal="left"/>
    </xf>
    <xf numFmtId="3" fontId="15" fillId="10" borderId="31" xfId="0" applyNumberFormat="1" applyFont="1" applyFill="1" applyBorder="1" applyAlignment="1">
      <alignment horizontal="left"/>
    </xf>
    <xf numFmtId="49" fontId="96" fillId="7" borderId="0" xfId="0" applyNumberFormat="1" applyFont="1" applyFill="1"/>
    <xf numFmtId="0" fontId="96" fillId="7" borderId="0" xfId="0" applyFont="1" applyFill="1"/>
    <xf numFmtId="49" fontId="98" fillId="7" borderId="0" xfId="0" applyNumberFormat="1" applyFont="1" applyFill="1"/>
    <xf numFmtId="0" fontId="98" fillId="7" borderId="0" xfId="0" applyFont="1" applyFill="1"/>
    <xf numFmtId="0" fontId="0" fillId="7" borderId="0" xfId="0" applyFill="1" applyAlignment="1">
      <alignment horizontal="right"/>
    </xf>
    <xf numFmtId="0" fontId="99" fillId="7" borderId="0" xfId="0" applyFont="1" applyFill="1"/>
    <xf numFmtId="49" fontId="98" fillId="7" borderId="0" xfId="0" applyNumberFormat="1" applyFont="1" applyFill="1" applyAlignment="1">
      <alignment horizontal="right"/>
    </xf>
    <xf numFmtId="49" fontId="97" fillId="7" borderId="0" xfId="0" applyNumberFormat="1" applyFont="1" applyFill="1" applyAlignment="1">
      <alignment horizontal="right"/>
    </xf>
    <xf numFmtId="0" fontId="97" fillId="7" borderId="0" xfId="0" applyFont="1" applyFill="1" applyAlignment="1">
      <alignment horizontal="left"/>
    </xf>
    <xf numFmtId="49" fontId="98" fillId="7" borderId="0" xfId="5" applyNumberFormat="1" applyFont="1" applyFill="1" applyAlignment="1">
      <alignment horizontal="left"/>
    </xf>
    <xf numFmtId="0" fontId="98" fillId="7" borderId="0" xfId="5" applyFont="1" applyFill="1"/>
    <xf numFmtId="3" fontId="4" fillId="0" borderId="18" xfId="0" applyNumberFormat="1" applyFont="1" applyBorder="1" applyAlignment="1" applyProtection="1">
      <alignment horizontal="right"/>
      <protection locked="0"/>
    </xf>
    <xf numFmtId="3" fontId="52" fillId="0" borderId="38" xfId="0" applyNumberFormat="1" applyFont="1" applyBorder="1"/>
    <xf numFmtId="3" fontId="9" fillId="0" borderId="38" xfId="0" applyNumberFormat="1" applyFont="1" applyBorder="1"/>
    <xf numFmtId="3" fontId="38" fillId="0" borderId="38" xfId="0" applyNumberFormat="1" applyFont="1" applyBorder="1" applyAlignment="1">
      <alignment horizontal="right"/>
    </xf>
    <xf numFmtId="0" fontId="9" fillId="0" borderId="38" xfId="0" applyFont="1" applyBorder="1"/>
    <xf numFmtId="3" fontId="15" fillId="3" borderId="8" xfId="0" applyNumberFormat="1" applyFont="1" applyFill="1" applyBorder="1" applyAlignment="1">
      <alignment horizontal="right"/>
    </xf>
    <xf numFmtId="3" fontId="38" fillId="2" borderId="38" xfId="0" applyNumberFormat="1" applyFont="1" applyFill="1" applyBorder="1" applyAlignment="1">
      <alignment horizontal="left"/>
    </xf>
    <xf numFmtId="0" fontId="0" fillId="0" borderId="0" xfId="0" applyAlignment="1">
      <alignment vertical="top"/>
    </xf>
    <xf numFmtId="3" fontId="104" fillId="2" borderId="0" xfId="0" applyNumberFormat="1" applyFont="1" applyFill="1" applyAlignment="1">
      <alignment horizontal="right"/>
    </xf>
    <xf numFmtId="3" fontId="104" fillId="5" borderId="0" xfId="0" applyNumberFormat="1" applyFont="1" applyFill="1" applyAlignment="1">
      <alignment horizontal="right"/>
    </xf>
    <xf numFmtId="3" fontId="104" fillId="4" borderId="0" xfId="0" applyNumberFormat="1" applyFont="1" applyFill="1" applyAlignment="1">
      <alignment horizontal="right"/>
    </xf>
    <xf numFmtId="3" fontId="104" fillId="6" borderId="0" xfId="0" applyNumberFormat="1" applyFont="1" applyFill="1" applyAlignment="1">
      <alignment horizontal="right"/>
    </xf>
    <xf numFmtId="0" fontId="105" fillId="0" borderId="0" xfId="0" applyFont="1"/>
    <xf numFmtId="49" fontId="5" fillId="20" borderId="122" xfId="0" applyNumberFormat="1" applyFont="1" applyFill="1" applyBorder="1" applyAlignment="1">
      <alignment horizontal="center"/>
    </xf>
    <xf numFmtId="0" fontId="7" fillId="20" borderId="13" xfId="0" applyFont="1" applyFill="1" applyBorder="1"/>
    <xf numFmtId="49" fontId="5" fillId="20" borderId="5" xfId="0" applyNumberFormat="1" applyFont="1" applyFill="1" applyBorder="1" applyAlignment="1">
      <alignment horizontal="center" wrapText="1"/>
    </xf>
    <xf numFmtId="49" fontId="5" fillId="20" borderId="79" xfId="0" applyNumberFormat="1" applyFont="1" applyFill="1" applyBorder="1" applyAlignment="1">
      <alignment horizontal="center" wrapText="1"/>
    </xf>
    <xf numFmtId="49" fontId="5" fillId="20" borderId="2" xfId="0" applyNumberFormat="1" applyFont="1" applyFill="1" applyBorder="1" applyAlignment="1">
      <alignment horizontal="center" wrapText="1"/>
    </xf>
    <xf numFmtId="0" fontId="10" fillId="20" borderId="5" xfId="0" applyFont="1" applyFill="1" applyBorder="1" applyAlignment="1">
      <alignment horizontal="center"/>
    </xf>
    <xf numFmtId="0" fontId="5" fillId="20" borderId="67" xfId="0" applyFont="1" applyFill="1" applyBorder="1" applyAlignment="1">
      <alignment horizontal="center"/>
    </xf>
    <xf numFmtId="3" fontId="5" fillId="20" borderId="123" xfId="0" applyNumberFormat="1" applyFont="1" applyFill="1" applyBorder="1"/>
    <xf numFmtId="0" fontId="5" fillId="20" borderId="23" xfId="0" applyFont="1" applyFill="1" applyBorder="1" applyAlignment="1">
      <alignment horizontal="center"/>
    </xf>
    <xf numFmtId="0" fontId="5" fillId="20" borderId="9" xfId="0" applyFont="1" applyFill="1" applyBorder="1" applyAlignment="1">
      <alignment horizontal="center"/>
    </xf>
    <xf numFmtId="0" fontId="5" fillId="20" borderId="124" xfId="0" applyFont="1" applyFill="1" applyBorder="1" applyAlignment="1">
      <alignment horizontal="center"/>
    </xf>
    <xf numFmtId="0" fontId="10" fillId="20" borderId="13" xfId="0" applyFont="1" applyFill="1" applyBorder="1" applyAlignment="1">
      <alignment horizontal="center"/>
    </xf>
    <xf numFmtId="0" fontId="5" fillId="20" borderId="22" xfId="0" applyFont="1" applyFill="1" applyBorder="1" applyAlignment="1">
      <alignment horizontal="center"/>
    </xf>
    <xf numFmtId="0" fontId="10" fillId="20" borderId="5" xfId="0" applyFont="1" applyFill="1" applyBorder="1" applyAlignment="1">
      <alignment wrapText="1"/>
    </xf>
    <xf numFmtId="0" fontId="5" fillId="20" borderId="21" xfId="0" applyFont="1" applyFill="1" applyBorder="1" applyAlignment="1">
      <alignment horizontal="center"/>
    </xf>
    <xf numFmtId="0" fontId="5" fillId="20" borderId="2" xfId="0" applyFont="1" applyFill="1" applyBorder="1"/>
    <xf numFmtId="0" fontId="5" fillId="20" borderId="125" xfId="0" applyFont="1" applyFill="1" applyBorder="1" applyAlignment="1">
      <alignment horizontal="center"/>
    </xf>
    <xf numFmtId="1" fontId="5" fillId="20" borderId="15" xfId="0" applyNumberFormat="1" applyFont="1" applyFill="1" applyBorder="1" applyAlignment="1">
      <alignment horizontal="center"/>
    </xf>
    <xf numFmtId="0" fontId="5" fillId="20" borderId="15" xfId="0" applyFont="1" applyFill="1" applyBorder="1"/>
    <xf numFmtId="1" fontId="5" fillId="20" borderId="5" xfId="0" applyNumberFormat="1" applyFont="1" applyFill="1" applyBorder="1" applyAlignment="1">
      <alignment horizontal="center"/>
    </xf>
    <xf numFmtId="0" fontId="5" fillId="20" borderId="5" xfId="0" applyFont="1" applyFill="1" applyBorder="1"/>
    <xf numFmtId="0" fontId="5" fillId="20" borderId="49" xfId="0" applyFont="1" applyFill="1" applyBorder="1" applyAlignment="1">
      <alignment horizontal="center"/>
    </xf>
    <xf numFmtId="1" fontId="5" fillId="20" borderId="2" xfId="0" applyNumberFormat="1" applyFont="1" applyFill="1" applyBorder="1" applyAlignment="1">
      <alignment horizontal="center"/>
    </xf>
    <xf numFmtId="0" fontId="5" fillId="20" borderId="24" xfId="0" applyFont="1" applyFill="1" applyBorder="1" applyAlignment="1">
      <alignment horizontal="center"/>
    </xf>
    <xf numFmtId="1" fontId="7" fillId="20" borderId="13" xfId="0" applyNumberFormat="1" applyFont="1" applyFill="1" applyBorder="1" applyAlignment="1">
      <alignment horizontal="center"/>
    </xf>
    <xf numFmtId="0" fontId="10" fillId="20" borderId="126" xfId="0" applyFont="1" applyFill="1" applyBorder="1" applyAlignment="1">
      <alignment horizontal="center"/>
    </xf>
    <xf numFmtId="1" fontId="10" fillId="20" borderId="2" xfId="0" applyNumberFormat="1" applyFont="1" applyFill="1" applyBorder="1" applyAlignment="1">
      <alignment horizontal="center"/>
    </xf>
    <xf numFmtId="0" fontId="10" fillId="20" borderId="2" xfId="0" applyFont="1" applyFill="1" applyBorder="1"/>
    <xf numFmtId="1" fontId="18" fillId="20" borderId="13" xfId="0" applyNumberFormat="1" applyFont="1" applyFill="1" applyBorder="1" applyAlignment="1">
      <alignment horizontal="center"/>
    </xf>
    <xf numFmtId="0" fontId="18" fillId="20" borderId="13" xfId="0" applyFont="1" applyFill="1" applyBorder="1"/>
    <xf numFmtId="0" fontId="5" fillId="20" borderId="50" xfId="0" applyFont="1" applyFill="1" applyBorder="1" applyAlignment="1">
      <alignment horizontal="center"/>
    </xf>
    <xf numFmtId="1" fontId="7" fillId="20" borderId="25" xfId="0" applyNumberFormat="1" applyFont="1" applyFill="1" applyBorder="1" applyAlignment="1">
      <alignment horizontal="center"/>
    </xf>
    <xf numFmtId="0" fontId="7" fillId="20" borderId="25" xfId="0" applyFont="1" applyFill="1" applyBorder="1"/>
    <xf numFmtId="0" fontId="5" fillId="20" borderId="126" xfId="0" applyFont="1" applyFill="1" applyBorder="1" applyAlignment="1">
      <alignment horizontal="center"/>
    </xf>
    <xf numFmtId="0" fontId="5" fillId="20" borderId="25" xfId="0" applyFont="1" applyFill="1" applyBorder="1" applyAlignment="1">
      <alignment horizontal="center"/>
    </xf>
    <xf numFmtId="0" fontId="5" fillId="20" borderId="25" xfId="0" applyFont="1" applyFill="1" applyBorder="1"/>
    <xf numFmtId="0" fontId="7" fillId="20" borderId="2" xfId="0" applyFont="1" applyFill="1" applyBorder="1"/>
    <xf numFmtId="49" fontId="5" fillId="20" borderId="124" xfId="0" applyNumberFormat="1" applyFont="1" applyFill="1" applyBorder="1" applyAlignment="1">
      <alignment horizontal="center"/>
    </xf>
    <xf numFmtId="0" fontId="5" fillId="20" borderId="101" xfId="0" applyFont="1" applyFill="1" applyBorder="1" applyAlignment="1">
      <alignment horizontal="center"/>
    </xf>
    <xf numFmtId="0" fontId="5" fillId="20" borderId="127" xfId="0" applyFont="1" applyFill="1" applyBorder="1" applyAlignment="1">
      <alignment horizontal="center"/>
    </xf>
    <xf numFmtId="1" fontId="5" fillId="20" borderId="128" xfId="0" applyNumberFormat="1" applyFont="1" applyFill="1" applyBorder="1" applyAlignment="1">
      <alignment horizontal="left"/>
    </xf>
    <xf numFmtId="49" fontId="5" fillId="20" borderId="129" xfId="0" applyNumberFormat="1" applyFont="1" applyFill="1" applyBorder="1" applyAlignment="1">
      <alignment horizontal="center"/>
    </xf>
    <xf numFmtId="0" fontId="67" fillId="20" borderId="77" xfId="0" applyFont="1" applyFill="1" applyBorder="1" applyAlignment="1">
      <alignment horizontal="center"/>
    </xf>
    <xf numFmtId="49" fontId="5" fillId="20" borderId="21" xfId="0" applyNumberFormat="1" applyFont="1" applyFill="1" applyBorder="1" applyAlignment="1">
      <alignment horizontal="center"/>
    </xf>
    <xf numFmtId="49" fontId="20" fillId="20" borderId="8" xfId="0" applyNumberFormat="1" applyFont="1" applyFill="1" applyBorder="1" applyAlignment="1">
      <alignment horizontal="left"/>
    </xf>
    <xf numFmtId="49" fontId="5" fillId="20" borderId="22" xfId="0" applyNumberFormat="1" applyFont="1" applyFill="1" applyBorder="1" applyAlignment="1">
      <alignment horizontal="center"/>
    </xf>
    <xf numFmtId="49" fontId="5" fillId="20" borderId="125" xfId="0" applyNumberFormat="1" applyFont="1" applyFill="1" applyBorder="1" applyAlignment="1">
      <alignment horizontal="center"/>
    </xf>
    <xf numFmtId="49" fontId="5" fillId="20" borderId="24" xfId="0" applyNumberFormat="1" applyFont="1" applyFill="1" applyBorder="1" applyAlignment="1">
      <alignment horizontal="center"/>
    </xf>
    <xf numFmtId="49" fontId="67" fillId="20" borderId="65" xfId="0" applyNumberFormat="1" applyFont="1" applyFill="1" applyBorder="1" applyAlignment="1">
      <alignment horizontal="center"/>
    </xf>
    <xf numFmtId="49" fontId="10" fillId="20" borderId="130" xfId="0" applyNumberFormat="1" applyFont="1" applyFill="1" applyBorder="1" applyAlignment="1">
      <alignment horizontal="center"/>
    </xf>
    <xf numFmtId="0" fontId="18" fillId="20" borderId="131" xfId="0" applyFont="1" applyFill="1" applyBorder="1" applyAlignment="1">
      <alignment wrapText="1"/>
    </xf>
    <xf numFmtId="0" fontId="5" fillId="20" borderId="2" xfId="0" applyFont="1" applyFill="1" applyBorder="1" applyAlignment="1">
      <alignment wrapText="1"/>
    </xf>
    <xf numFmtId="49" fontId="5" fillId="20" borderId="126" xfId="0" applyNumberFormat="1" applyFont="1" applyFill="1" applyBorder="1" applyAlignment="1">
      <alignment horizontal="center"/>
    </xf>
    <xf numFmtId="0" fontId="7" fillId="20" borderId="41" xfId="0" applyFont="1" applyFill="1" applyBorder="1"/>
    <xf numFmtId="49" fontId="10" fillId="20" borderId="120" xfId="0" applyNumberFormat="1" applyFont="1" applyFill="1" applyBorder="1" applyAlignment="1">
      <alignment horizontal="center"/>
    </xf>
    <xf numFmtId="0" fontId="18" fillId="20" borderId="41" xfId="0" applyFont="1" applyFill="1" applyBorder="1"/>
    <xf numFmtId="0" fontId="7" fillId="20" borderId="2" xfId="0" applyFont="1" applyFill="1" applyBorder="1" applyAlignment="1">
      <alignment wrapText="1"/>
    </xf>
    <xf numFmtId="49" fontId="10" fillId="20" borderId="22" xfId="0" applyNumberFormat="1" applyFont="1" applyFill="1" applyBorder="1" applyAlignment="1">
      <alignment horizontal="center"/>
    </xf>
    <xf numFmtId="0" fontId="5" fillId="20" borderId="5" xfId="0" applyFont="1" applyFill="1" applyBorder="1" applyAlignment="1">
      <alignment wrapText="1"/>
    </xf>
    <xf numFmtId="0" fontId="7" fillId="20" borderId="115" xfId="0" applyFont="1" applyFill="1" applyBorder="1" applyAlignment="1">
      <alignment horizontal="right"/>
    </xf>
    <xf numFmtId="0" fontId="5" fillId="20" borderId="93" xfId="0" applyFont="1" applyFill="1" applyBorder="1" applyAlignment="1">
      <alignment horizontal="left"/>
    </xf>
    <xf numFmtId="0" fontId="7" fillId="20" borderId="113" xfId="0" applyFont="1" applyFill="1" applyBorder="1" applyAlignment="1">
      <alignment horizontal="right"/>
    </xf>
    <xf numFmtId="0" fontId="5" fillId="20" borderId="122" xfId="0" applyFont="1" applyFill="1" applyBorder="1" applyAlignment="1">
      <alignment horizontal="left"/>
    </xf>
    <xf numFmtId="0" fontId="7" fillId="20" borderId="15" xfId="0" applyFont="1" applyFill="1" applyBorder="1" applyAlignment="1">
      <alignment horizontal="right"/>
    </xf>
    <xf numFmtId="0" fontId="7" fillId="20" borderId="2" xfId="0" applyFont="1" applyFill="1" applyBorder="1" applyAlignment="1">
      <alignment horizontal="left"/>
    </xf>
    <xf numFmtId="0" fontId="5" fillId="20" borderId="2" xfId="0" applyFont="1" applyFill="1" applyBorder="1" applyAlignment="1">
      <alignment horizontal="left"/>
    </xf>
    <xf numFmtId="0" fontId="7" fillId="20" borderId="13" xfId="0" applyFont="1" applyFill="1" applyBorder="1" applyAlignment="1">
      <alignment horizontal="left"/>
    </xf>
    <xf numFmtId="49" fontId="5" fillId="20" borderId="23" xfId="0" applyNumberFormat="1" applyFont="1" applyFill="1" applyBorder="1" applyAlignment="1">
      <alignment horizontal="center"/>
    </xf>
    <xf numFmtId="0" fontId="5" fillId="20" borderId="9" xfId="0" applyFont="1" applyFill="1" applyBorder="1" applyAlignment="1">
      <alignment horizontal="left"/>
    </xf>
    <xf numFmtId="0" fontId="5" fillId="20" borderId="5" xfId="0" applyFont="1" applyFill="1" applyBorder="1" applyAlignment="1">
      <alignment horizontal="left"/>
    </xf>
    <xf numFmtId="0" fontId="7" fillId="20" borderId="15" xfId="0" applyFont="1" applyFill="1" applyBorder="1" applyAlignment="1">
      <alignment horizontal="left"/>
    </xf>
    <xf numFmtId="0" fontId="7" fillId="20" borderId="113" xfId="0" applyFont="1" applyFill="1" applyBorder="1" applyAlignment="1">
      <alignment horizontal="left"/>
    </xf>
    <xf numFmtId="0" fontId="7" fillId="20" borderId="116" xfId="0" applyFont="1" applyFill="1" applyBorder="1" applyAlignment="1">
      <alignment horizontal="left"/>
    </xf>
    <xf numFmtId="0" fontId="5" fillId="20" borderId="15" xfId="0" applyFont="1" applyFill="1" applyBorder="1" applyAlignment="1">
      <alignment horizontal="left"/>
    </xf>
    <xf numFmtId="0" fontId="5" fillId="20" borderId="56" xfId="0" applyFont="1" applyFill="1" applyBorder="1" applyAlignment="1">
      <alignment horizontal="left"/>
    </xf>
    <xf numFmtId="0" fontId="7" fillId="20" borderId="56" xfId="0" applyFont="1" applyFill="1" applyBorder="1" applyAlignment="1">
      <alignment horizontal="right"/>
    </xf>
    <xf numFmtId="0" fontId="5" fillId="20" borderId="53" xfId="0" applyFont="1" applyFill="1" applyBorder="1" applyAlignment="1">
      <alignment horizontal="left"/>
    </xf>
    <xf numFmtId="0" fontId="7" fillId="20" borderId="122" xfId="0" applyFont="1" applyFill="1" applyBorder="1" applyAlignment="1">
      <alignment horizontal="left" vertical="top"/>
    </xf>
    <xf numFmtId="0" fontId="7" fillId="20" borderId="56" xfId="0" applyFont="1" applyFill="1" applyBorder="1" applyAlignment="1">
      <alignment horizontal="left" vertical="top"/>
    </xf>
    <xf numFmtId="0" fontId="7" fillId="20" borderId="21" xfId="0" applyFont="1" applyFill="1" applyBorder="1" applyAlignment="1">
      <alignment horizontal="right"/>
    </xf>
    <xf numFmtId="0" fontId="7" fillId="20" borderId="52" xfId="0" applyFont="1" applyFill="1" applyBorder="1" applyAlignment="1">
      <alignment horizontal="right"/>
    </xf>
    <xf numFmtId="3" fontId="47" fillId="21" borderId="22" xfId="0" applyNumberFormat="1" applyFont="1" applyFill="1" applyBorder="1"/>
    <xf numFmtId="3" fontId="47" fillId="21" borderId="19" xfId="0" applyNumberFormat="1" applyFont="1" applyFill="1" applyBorder="1"/>
    <xf numFmtId="3" fontId="47" fillId="21" borderId="22" xfId="0" applyNumberFormat="1" applyFont="1" applyFill="1" applyBorder="1" applyAlignment="1">
      <alignment horizontal="right"/>
    </xf>
    <xf numFmtId="3" fontId="47" fillId="21" borderId="24" xfId="0" applyNumberFormat="1" applyFont="1" applyFill="1" applyBorder="1"/>
    <xf numFmtId="3" fontId="47" fillId="21" borderId="23" xfId="0" applyNumberFormat="1" applyFont="1" applyFill="1" applyBorder="1"/>
    <xf numFmtId="3" fontId="47" fillId="21" borderId="40" xfId="0" applyNumberFormat="1" applyFont="1" applyFill="1" applyBorder="1"/>
    <xf numFmtId="3" fontId="47" fillId="21" borderId="52" xfId="0" applyNumberFormat="1" applyFont="1" applyFill="1" applyBorder="1"/>
    <xf numFmtId="3" fontId="47" fillId="21" borderId="51" xfId="0" applyNumberFormat="1" applyFont="1" applyFill="1" applyBorder="1"/>
    <xf numFmtId="3" fontId="47" fillId="22" borderId="22" xfId="0" applyNumberFormat="1" applyFont="1" applyFill="1" applyBorder="1"/>
    <xf numFmtId="3" fontId="47" fillId="22" borderId="51" xfId="0" applyNumberFormat="1" applyFont="1" applyFill="1" applyBorder="1"/>
    <xf numFmtId="3" fontId="47" fillId="21" borderId="76" xfId="0" applyNumberFormat="1" applyFont="1" applyFill="1" applyBorder="1"/>
    <xf numFmtId="0" fontId="7" fillId="20" borderId="132" xfId="0" applyFont="1" applyFill="1" applyBorder="1" applyAlignment="1">
      <alignment horizontal="center" vertical="center" wrapText="1"/>
    </xf>
    <xf numFmtId="3" fontId="47" fillId="21" borderId="133" xfId="0" applyNumberFormat="1" applyFont="1" applyFill="1" applyBorder="1"/>
    <xf numFmtId="3" fontId="47" fillId="22" borderId="134" xfId="0" applyNumberFormat="1" applyFont="1" applyFill="1" applyBorder="1"/>
    <xf numFmtId="3" fontId="47" fillId="22" borderId="135" xfId="0" applyNumberFormat="1" applyFont="1" applyFill="1" applyBorder="1"/>
    <xf numFmtId="3" fontId="47" fillId="22" borderId="117" xfId="0" applyNumberFormat="1" applyFont="1" applyFill="1" applyBorder="1"/>
    <xf numFmtId="3" fontId="47" fillId="21" borderId="136" xfId="0" applyNumberFormat="1" applyFont="1" applyFill="1" applyBorder="1"/>
    <xf numFmtId="0" fontId="7" fillId="20" borderId="36" xfId="0" applyFont="1" applyFill="1" applyBorder="1"/>
    <xf numFmtId="3" fontId="47" fillId="21" borderId="19" xfId="0" applyNumberFormat="1" applyFont="1" applyFill="1" applyBorder="1" applyAlignment="1">
      <alignment horizontal="right"/>
    </xf>
    <xf numFmtId="0" fontId="5" fillId="20" borderId="126" xfId="0" applyFont="1" applyFill="1" applyBorder="1"/>
    <xf numFmtId="0" fontId="5" fillId="20" borderId="49" xfId="0" applyFont="1" applyFill="1" applyBorder="1"/>
    <xf numFmtId="3" fontId="47" fillId="22" borderId="68" xfId="0" applyNumberFormat="1" applyFont="1" applyFill="1" applyBorder="1"/>
    <xf numFmtId="3" fontId="47" fillId="22" borderId="59" xfId="0" applyNumberFormat="1" applyFont="1" applyFill="1" applyBorder="1"/>
    <xf numFmtId="0" fontId="5" fillId="20" borderId="139" xfId="0" applyFont="1" applyFill="1" applyBorder="1"/>
    <xf numFmtId="3" fontId="47" fillId="22" borderId="80" xfId="0" applyNumberFormat="1" applyFont="1" applyFill="1" applyBorder="1"/>
    <xf numFmtId="49" fontId="5" fillId="20" borderId="36" xfId="0" applyNumberFormat="1" applyFont="1" applyFill="1" applyBorder="1" applyAlignment="1">
      <alignment horizontal="left"/>
    </xf>
    <xf numFmtId="0" fontId="7" fillId="20" borderId="113" xfId="0" applyFont="1" applyFill="1" applyBorder="1"/>
    <xf numFmtId="49" fontId="5" fillId="20" borderId="57" xfId="0" applyNumberFormat="1" applyFont="1" applyFill="1" applyBorder="1" applyAlignment="1">
      <alignment horizontal="left"/>
    </xf>
    <xf numFmtId="0" fontId="29" fillId="20" borderId="15" xfId="0" applyFont="1" applyFill="1" applyBorder="1"/>
    <xf numFmtId="49" fontId="5" fillId="20" borderId="137" xfId="0" applyNumberFormat="1" applyFont="1" applyFill="1" applyBorder="1" applyAlignment="1">
      <alignment horizontal="left"/>
    </xf>
    <xf numFmtId="0" fontId="29" fillId="20" borderId="41" xfId="0" applyFont="1" applyFill="1" applyBorder="1"/>
    <xf numFmtId="49" fontId="5" fillId="20" borderId="122" xfId="0" applyNumberFormat="1" applyFont="1" applyFill="1" applyBorder="1"/>
    <xf numFmtId="166" fontId="5" fillId="20" borderId="15" xfId="0" applyNumberFormat="1" applyFont="1" applyFill="1" applyBorder="1"/>
    <xf numFmtId="0" fontId="28" fillId="20" borderId="140" xfId="0" applyFont="1" applyFill="1" applyBorder="1"/>
    <xf numFmtId="0" fontId="28" fillId="20" borderId="15" xfId="0" applyFont="1" applyFill="1" applyBorder="1"/>
    <xf numFmtId="0" fontId="7" fillId="20" borderId="2" xfId="0" applyFont="1" applyFill="1" applyBorder="1" applyAlignment="1">
      <alignment horizontal="center"/>
    </xf>
    <xf numFmtId="0" fontId="18" fillId="20" borderId="2" xfId="0" applyFont="1" applyFill="1" applyBorder="1"/>
    <xf numFmtId="49" fontId="5" fillId="20" borderId="2" xfId="0" applyNumberFormat="1" applyFont="1" applyFill="1" applyBorder="1" applyAlignment="1">
      <alignment horizontal="center"/>
    </xf>
    <xf numFmtId="0" fontId="5" fillId="20" borderId="5" xfId="0" applyFont="1" applyFill="1" applyBorder="1" applyAlignment="1">
      <alignment horizontal="center"/>
    </xf>
    <xf numFmtId="49" fontId="10" fillId="20" borderId="2" xfId="0" applyNumberFormat="1" applyFont="1" applyFill="1" applyBorder="1" applyAlignment="1">
      <alignment horizontal="center"/>
    </xf>
    <xf numFmtId="0" fontId="28" fillId="20" borderId="113" xfId="0" applyFont="1" applyFill="1" applyBorder="1"/>
    <xf numFmtId="49" fontId="7" fillId="20" borderId="13" xfId="0" applyNumberFormat="1" applyFont="1" applyFill="1" applyBorder="1" applyAlignment="1">
      <alignment horizontal="center"/>
    </xf>
    <xf numFmtId="49" fontId="7" fillId="20" borderId="79" xfId="0" applyNumberFormat="1" applyFont="1" applyFill="1" applyBorder="1" applyAlignment="1">
      <alignment horizontal="center"/>
    </xf>
    <xf numFmtId="0" fontId="18" fillId="20" borderId="79" xfId="0" applyFont="1" applyFill="1" applyBorder="1"/>
    <xf numFmtId="3" fontId="7" fillId="20" borderId="90" xfId="0" applyNumberFormat="1" applyFont="1" applyFill="1" applyBorder="1"/>
    <xf numFmtId="3" fontId="7" fillId="20" borderId="83" xfId="0" applyNumberFormat="1" applyFont="1" applyFill="1" applyBorder="1"/>
    <xf numFmtId="167" fontId="30" fillId="20" borderId="55" xfId="0" applyNumberFormat="1" applyFont="1" applyFill="1" applyBorder="1" applyAlignment="1">
      <alignment horizontal="center"/>
    </xf>
    <xf numFmtId="167" fontId="30" fillId="20" borderId="59" xfId="0" applyNumberFormat="1" applyFont="1" applyFill="1" applyBorder="1" applyAlignment="1">
      <alignment horizontal="center"/>
    </xf>
    <xf numFmtId="167" fontId="31" fillId="20" borderId="142" xfId="0" applyNumberFormat="1" applyFont="1" applyFill="1" applyBorder="1"/>
    <xf numFmtId="167" fontId="31" fillId="20" borderId="85" xfId="0" applyNumberFormat="1" applyFont="1" applyFill="1" applyBorder="1"/>
    <xf numFmtId="167" fontId="8" fillId="20" borderId="143" xfId="0" applyNumberFormat="1" applyFont="1" applyFill="1" applyBorder="1"/>
    <xf numFmtId="167" fontId="8" fillId="20" borderId="144" xfId="0" applyNumberFormat="1" applyFont="1" applyFill="1" applyBorder="1"/>
    <xf numFmtId="167" fontId="8" fillId="20" borderId="53" xfId="0" applyNumberFormat="1" applyFont="1" applyFill="1" applyBorder="1"/>
    <xf numFmtId="167" fontId="8" fillId="20" borderId="18" xfId="0" applyNumberFormat="1" applyFont="1" applyFill="1" applyBorder="1"/>
    <xf numFmtId="0" fontId="9" fillId="20" borderId="19" xfId="0" applyFont="1" applyFill="1" applyBorder="1"/>
    <xf numFmtId="0" fontId="7" fillId="20" borderId="57" xfId="0" applyFont="1" applyFill="1" applyBorder="1" applyAlignment="1">
      <alignment horizontal="center"/>
    </xf>
    <xf numFmtId="0" fontId="7" fillId="20" borderId="56" xfId="0" applyFont="1" applyFill="1" applyBorder="1"/>
    <xf numFmtId="0" fontId="7" fillId="20" borderId="137" xfId="0" applyFont="1" applyFill="1" applyBorder="1" applyAlignment="1">
      <alignment horizontal="right"/>
    </xf>
    <xf numFmtId="0" fontId="7" fillId="20" borderId="138" xfId="0" applyFont="1" applyFill="1" applyBorder="1" applyAlignment="1">
      <alignment horizontal="right"/>
    </xf>
    <xf numFmtId="3" fontId="4" fillId="22" borderId="57" xfId="0" applyNumberFormat="1" applyFont="1" applyFill="1" applyBorder="1" applyAlignment="1">
      <alignment horizontal="right"/>
    </xf>
    <xf numFmtId="3" fontId="4" fillId="22" borderId="56" xfId="0" applyNumberFormat="1" applyFont="1" applyFill="1" applyBorder="1" applyAlignment="1">
      <alignment horizontal="right"/>
    </xf>
    <xf numFmtId="3" fontId="4" fillId="22" borderId="57" xfId="0" applyNumberFormat="1" applyFont="1" applyFill="1" applyBorder="1"/>
    <xf numFmtId="3" fontId="4" fillId="22" borderId="56" xfId="0" applyNumberFormat="1" applyFont="1" applyFill="1" applyBorder="1"/>
    <xf numFmtId="3" fontId="4" fillId="21" borderId="57" xfId="0" applyNumberFormat="1" applyFont="1" applyFill="1" applyBorder="1"/>
    <xf numFmtId="3" fontId="4" fillId="21" borderId="56" xfId="0" applyNumberFormat="1" applyFont="1" applyFill="1" applyBorder="1"/>
    <xf numFmtId="3" fontId="47" fillId="22" borderId="57" xfId="0" applyNumberFormat="1" applyFont="1" applyFill="1" applyBorder="1"/>
    <xf numFmtId="3" fontId="47" fillId="22" borderId="56" xfId="0" applyNumberFormat="1" applyFont="1" applyFill="1" applyBorder="1"/>
    <xf numFmtId="3" fontId="47" fillId="21" borderId="57" xfId="0" applyNumberFormat="1" applyFont="1" applyFill="1" applyBorder="1"/>
    <xf numFmtId="3" fontId="47" fillId="21" borderId="56" xfId="0" applyNumberFormat="1" applyFont="1" applyFill="1" applyBorder="1"/>
    <xf numFmtId="0" fontId="100" fillId="20" borderId="57" xfId="0" applyFont="1" applyFill="1" applyBorder="1"/>
    <xf numFmtId="0" fontId="100" fillId="20" borderId="56" xfId="0" applyFont="1" applyFill="1" applyBorder="1"/>
    <xf numFmtId="49" fontId="10" fillId="20" borderId="127" xfId="0" applyNumberFormat="1" applyFont="1" applyFill="1" applyBorder="1" applyAlignment="1">
      <alignment horizontal="center"/>
    </xf>
    <xf numFmtId="49" fontId="10" fillId="20" borderId="128" xfId="0" applyNumberFormat="1" applyFont="1" applyFill="1" applyBorder="1" applyAlignment="1">
      <alignment horizontal="center"/>
    </xf>
    <xf numFmtId="49" fontId="10" fillId="20" borderId="128" xfId="0" applyNumberFormat="1" applyFont="1" applyFill="1" applyBorder="1" applyAlignment="1">
      <alignment horizontal="left"/>
    </xf>
    <xf numFmtId="49" fontId="10" fillId="20" borderId="34" xfId="0" applyNumberFormat="1" applyFont="1" applyFill="1" applyBorder="1" applyAlignment="1">
      <alignment horizontal="center"/>
    </xf>
    <xf numFmtId="49" fontId="10" fillId="20" borderId="35" xfId="0" applyNumberFormat="1" applyFont="1" applyFill="1" applyBorder="1" applyAlignment="1">
      <alignment horizontal="center"/>
    </xf>
    <xf numFmtId="49" fontId="10" fillId="20" borderId="35" xfId="0" applyNumberFormat="1" applyFont="1" applyFill="1" applyBorder="1" applyAlignment="1">
      <alignment horizontal="left"/>
    </xf>
    <xf numFmtId="49" fontId="10" fillId="20" borderId="7" xfId="0" applyNumberFormat="1" applyFont="1" applyFill="1" applyBorder="1" applyAlignment="1">
      <alignment horizontal="center"/>
    </xf>
    <xf numFmtId="49" fontId="10" fillId="20" borderId="5" xfId="0" applyNumberFormat="1" applyFont="1" applyFill="1" applyBorder="1" applyAlignment="1">
      <alignment horizontal="center"/>
    </xf>
    <xf numFmtId="49" fontId="10" fillId="20" borderId="145" xfId="0" applyNumberFormat="1" applyFont="1" applyFill="1" applyBorder="1" applyAlignment="1">
      <alignment horizontal="center"/>
    </xf>
    <xf numFmtId="49" fontId="10" fillId="20" borderId="41" xfId="0" applyNumberFormat="1" applyFont="1" applyFill="1" applyBorder="1" applyAlignment="1">
      <alignment horizontal="left"/>
    </xf>
    <xf numFmtId="167" fontId="8" fillId="20" borderId="9" xfId="0" applyNumberFormat="1" applyFont="1" applyFill="1" applyBorder="1"/>
    <xf numFmtId="3" fontId="11" fillId="23" borderId="20" xfId="0" applyNumberFormat="1" applyFont="1" applyFill="1" applyBorder="1"/>
    <xf numFmtId="3" fontId="4" fillId="20" borderId="18" xfId="0" applyNumberFormat="1" applyFont="1" applyFill="1" applyBorder="1"/>
    <xf numFmtId="49" fontId="5" fillId="20" borderId="5" xfId="0" applyNumberFormat="1" applyFont="1" applyFill="1" applyBorder="1" applyAlignment="1">
      <alignment horizontal="center"/>
    </xf>
    <xf numFmtId="167" fontId="5" fillId="20" borderId="2" xfId="0" applyNumberFormat="1" applyFont="1" applyFill="1" applyBorder="1" applyAlignment="1">
      <alignment horizontal="left"/>
    </xf>
    <xf numFmtId="49" fontId="7" fillId="20" borderId="25" xfId="0" applyNumberFormat="1" applyFont="1" applyFill="1" applyBorder="1" applyAlignment="1">
      <alignment horizontal="center"/>
    </xf>
    <xf numFmtId="0" fontId="5" fillId="20" borderId="2" xfId="0" applyFont="1" applyFill="1" applyBorder="1" applyAlignment="1">
      <alignment horizontal="center"/>
    </xf>
    <xf numFmtId="49" fontId="7" fillId="20" borderId="5" xfId="0" applyNumberFormat="1" applyFont="1" applyFill="1" applyBorder="1" applyAlignment="1">
      <alignment horizontal="center"/>
    </xf>
    <xf numFmtId="0" fontId="7" fillId="20" borderId="5" xfId="0" applyFont="1" applyFill="1" applyBorder="1"/>
    <xf numFmtId="3" fontId="10" fillId="20" borderId="141" xfId="0" applyNumberFormat="1" applyFont="1" applyFill="1" applyBorder="1" applyAlignment="1">
      <alignment horizontal="center"/>
    </xf>
    <xf numFmtId="3" fontId="7" fillId="20" borderId="146" xfId="0" applyNumberFormat="1" applyFont="1" applyFill="1" applyBorder="1" applyAlignment="1">
      <alignment horizontal="center"/>
    </xf>
    <xf numFmtId="3" fontId="7" fillId="20" borderId="146" xfId="0" applyNumberFormat="1" applyFont="1" applyFill="1" applyBorder="1"/>
    <xf numFmtId="3" fontId="4" fillId="21" borderId="18" xfId="0" applyNumberFormat="1" applyFont="1" applyFill="1" applyBorder="1"/>
    <xf numFmtId="3" fontId="4" fillId="21" borderId="59" xfId="0" applyNumberFormat="1" applyFont="1" applyFill="1" applyBorder="1"/>
    <xf numFmtId="3" fontId="4" fillId="21" borderId="19" xfId="0" applyNumberFormat="1" applyFont="1" applyFill="1" applyBorder="1"/>
    <xf numFmtId="3" fontId="7" fillId="20" borderId="137" xfId="0" applyNumberFormat="1" applyFont="1" applyFill="1" applyBorder="1"/>
    <xf numFmtId="3" fontId="7" fillId="20" borderId="138" xfId="0" applyNumberFormat="1" applyFont="1" applyFill="1" applyBorder="1"/>
    <xf numFmtId="3" fontId="4" fillId="20" borderId="57" xfId="0" applyNumberFormat="1" applyFont="1" applyFill="1" applyBorder="1"/>
    <xf numFmtId="3" fontId="4" fillId="20" borderId="56" xfId="0" applyNumberFormat="1" applyFont="1" applyFill="1" applyBorder="1"/>
    <xf numFmtId="3" fontId="47" fillId="21" borderId="49" xfId="0" applyNumberFormat="1" applyFont="1" applyFill="1" applyBorder="1"/>
    <xf numFmtId="3" fontId="47" fillId="20" borderId="57" xfId="0" applyNumberFormat="1" applyFont="1" applyFill="1" applyBorder="1"/>
    <xf numFmtId="3" fontId="47" fillId="20" borderId="56" xfId="0" applyNumberFormat="1" applyFont="1" applyFill="1" applyBorder="1"/>
    <xf numFmtId="3" fontId="47" fillId="20" borderId="59" xfId="0" applyNumberFormat="1" applyFont="1" applyFill="1" applyBorder="1"/>
    <xf numFmtId="3" fontId="47" fillId="20" borderId="126" xfId="0" applyNumberFormat="1" applyFont="1" applyFill="1" applyBorder="1"/>
    <xf numFmtId="3" fontId="47" fillId="21" borderId="50" xfId="0" applyNumberFormat="1" applyFont="1" applyFill="1" applyBorder="1"/>
    <xf numFmtId="3" fontId="47" fillId="21" borderId="26" xfId="0" applyNumberFormat="1" applyFont="1" applyFill="1" applyBorder="1"/>
    <xf numFmtId="3" fontId="4" fillId="21" borderId="83" xfId="0" applyNumberFormat="1" applyFont="1" applyFill="1" applyBorder="1"/>
    <xf numFmtId="3" fontId="7" fillId="20" borderId="132" xfId="0" applyNumberFormat="1" applyFont="1" applyFill="1" applyBorder="1" applyAlignment="1">
      <alignment horizontal="center" vertical="center" wrapText="1"/>
    </xf>
    <xf numFmtId="9" fontId="47" fillId="20" borderId="135" xfId="0" applyNumberFormat="1" applyFont="1" applyFill="1" applyBorder="1"/>
    <xf numFmtId="3" fontId="47" fillId="21" borderId="135" xfId="0" applyNumberFormat="1" applyFont="1" applyFill="1" applyBorder="1"/>
    <xf numFmtId="9" fontId="47" fillId="20" borderId="133" xfId="0" applyNumberFormat="1" applyFont="1" applyFill="1" applyBorder="1"/>
    <xf numFmtId="9" fontId="47" fillId="20" borderId="147" xfId="0" applyNumberFormat="1" applyFont="1" applyFill="1" applyBorder="1"/>
    <xf numFmtId="49" fontId="5" fillId="20" borderId="35" xfId="0" applyNumberFormat="1" applyFont="1" applyFill="1" applyBorder="1" applyAlignment="1">
      <alignment horizontal="left"/>
    </xf>
    <xf numFmtId="3" fontId="4" fillId="20" borderId="35" xfId="0" applyNumberFormat="1" applyFont="1" applyFill="1" applyBorder="1"/>
    <xf numFmtId="49" fontId="5" fillId="20" borderId="2" xfId="0" applyNumberFormat="1" applyFont="1" applyFill="1" applyBorder="1" applyAlignment="1">
      <alignment horizontal="left"/>
    </xf>
    <xf numFmtId="3" fontId="4" fillId="20" borderId="5" xfId="0" applyNumberFormat="1" applyFont="1" applyFill="1" applyBorder="1"/>
    <xf numFmtId="49" fontId="7" fillId="20" borderId="25" xfId="0" applyNumberFormat="1" applyFont="1" applyFill="1" applyBorder="1" applyAlignment="1">
      <alignment horizontal="left"/>
    </xf>
    <xf numFmtId="0" fontId="10" fillId="20" borderId="25" xfId="0" applyFont="1" applyFill="1" applyBorder="1"/>
    <xf numFmtId="3" fontId="4" fillId="20" borderId="25" xfId="0" applyNumberFormat="1" applyFont="1" applyFill="1" applyBorder="1"/>
    <xf numFmtId="0" fontId="5" fillId="20" borderId="122" xfId="0" applyFont="1" applyFill="1" applyBorder="1" applyAlignment="1">
      <alignment horizontal="left" vertical="top"/>
    </xf>
    <xf numFmtId="0" fontId="5" fillId="20" borderId="15" xfId="0" applyFont="1" applyFill="1" applyBorder="1" applyAlignment="1">
      <alignment horizontal="right"/>
    </xf>
    <xf numFmtId="0" fontId="7" fillId="20" borderId="148" xfId="0" applyFont="1" applyFill="1" applyBorder="1" applyAlignment="1">
      <alignment horizontal="right"/>
    </xf>
    <xf numFmtId="0" fontId="7" fillId="20" borderId="111" xfId="0" applyFont="1" applyFill="1" applyBorder="1" applyAlignment="1">
      <alignment horizontal="left"/>
    </xf>
    <xf numFmtId="0" fontId="7" fillId="20" borderId="84" xfId="0" applyFont="1" applyFill="1" applyBorder="1" applyAlignment="1">
      <alignment horizontal="right"/>
    </xf>
    <xf numFmtId="0" fontId="5" fillId="20" borderId="13" xfId="0" applyFont="1" applyFill="1" applyBorder="1" applyAlignment="1">
      <alignment horizontal="center"/>
    </xf>
    <xf numFmtId="0" fontId="10" fillId="20" borderId="21" xfId="0" applyFont="1" applyFill="1" applyBorder="1" applyAlignment="1">
      <alignment horizontal="center"/>
    </xf>
    <xf numFmtId="0" fontId="10" fillId="20" borderId="9" xfId="0" applyFont="1" applyFill="1" applyBorder="1" applyAlignment="1">
      <alignment horizontal="center"/>
    </xf>
    <xf numFmtId="0" fontId="10" fillId="20" borderId="78" xfId="0" applyFont="1" applyFill="1" applyBorder="1" applyAlignment="1">
      <alignment horizontal="left"/>
    </xf>
    <xf numFmtId="0" fontId="10" fillId="20" borderId="22" xfId="0" applyFont="1" applyFill="1" applyBorder="1" applyAlignment="1">
      <alignment horizontal="center"/>
    </xf>
    <xf numFmtId="0" fontId="10" fillId="20" borderId="24" xfId="0" applyFont="1" applyFill="1" applyBorder="1" applyAlignment="1">
      <alignment horizontal="center"/>
    </xf>
    <xf numFmtId="0" fontId="18" fillId="20" borderId="65" xfId="0" applyFont="1" applyFill="1" applyBorder="1" applyAlignment="1">
      <alignment horizontal="left"/>
    </xf>
    <xf numFmtId="0" fontId="5" fillId="20" borderId="78" xfId="0" applyFont="1" applyFill="1" applyBorder="1" applyAlignment="1">
      <alignment horizontal="left"/>
    </xf>
    <xf numFmtId="0" fontId="7" fillId="20" borderId="149" xfId="0" applyFont="1" applyFill="1" applyBorder="1" applyAlignment="1">
      <alignment horizontal="left"/>
    </xf>
    <xf numFmtId="0" fontId="7" fillId="20" borderId="116" xfId="0" applyFont="1" applyFill="1" applyBorder="1" applyAlignment="1">
      <alignment horizontal="center"/>
    </xf>
    <xf numFmtId="0" fontId="7" fillId="20" borderId="56" xfId="0" applyFont="1" applyFill="1" applyBorder="1" applyAlignment="1">
      <alignment horizontal="center"/>
    </xf>
    <xf numFmtId="0" fontId="7" fillId="20" borderId="15" xfId="0" applyFont="1" applyFill="1" applyBorder="1" applyAlignment="1">
      <alignment horizontal="center"/>
    </xf>
    <xf numFmtId="0" fontId="5" fillId="20" borderId="2" xfId="0" applyFont="1" applyFill="1" applyBorder="1" applyAlignment="1">
      <alignment horizontal="right"/>
    </xf>
    <xf numFmtId="0" fontId="5" fillId="20" borderId="141" xfId="0" applyFont="1" applyFill="1" applyBorder="1" applyAlignment="1">
      <alignment horizontal="center"/>
    </xf>
    <xf numFmtId="0" fontId="5" fillId="20" borderId="122" xfId="0" applyFont="1" applyFill="1" applyBorder="1" applyAlignment="1">
      <alignment vertical="top"/>
    </xf>
    <xf numFmtId="1" fontId="5" fillId="20" borderId="15" xfId="0" applyNumberFormat="1" applyFont="1" applyFill="1" applyBorder="1" applyAlignment="1">
      <alignment horizontal="left"/>
    </xf>
    <xf numFmtId="0" fontId="7" fillId="20" borderId="15" xfId="0" applyFont="1" applyFill="1" applyBorder="1"/>
    <xf numFmtId="0" fontId="10" fillId="20" borderId="1" xfId="0" applyFont="1" applyFill="1" applyBorder="1"/>
    <xf numFmtId="0" fontId="5" fillId="20" borderId="122" xfId="0" applyFont="1" applyFill="1" applyBorder="1" applyAlignment="1">
      <alignment horizontal="center"/>
    </xf>
    <xf numFmtId="0" fontId="5" fillId="20" borderId="152" xfId="0" applyFont="1" applyFill="1" applyBorder="1" applyAlignment="1">
      <alignment horizontal="left" vertical="top"/>
    </xf>
    <xf numFmtId="0" fontId="7" fillId="20" borderId="153" xfId="0" applyFont="1" applyFill="1" applyBorder="1" applyAlignment="1">
      <alignment horizontal="center"/>
    </xf>
    <xf numFmtId="49" fontId="10" fillId="20" borderId="14" xfId="0" applyNumberFormat="1" applyFont="1" applyFill="1" applyBorder="1" applyAlignment="1">
      <alignment horizontal="center"/>
    </xf>
    <xf numFmtId="49" fontId="10" fillId="20" borderId="9" xfId="0" applyNumberFormat="1" applyFont="1" applyFill="1" applyBorder="1" applyAlignment="1">
      <alignment horizontal="center"/>
    </xf>
    <xf numFmtId="1" fontId="10" fillId="20" borderId="128" xfId="0" applyNumberFormat="1" applyFont="1" applyFill="1" applyBorder="1" applyAlignment="1">
      <alignment horizontal="center"/>
    </xf>
    <xf numFmtId="1" fontId="10" fillId="20" borderId="128" xfId="0" applyNumberFormat="1" applyFont="1" applyFill="1" applyBorder="1" applyAlignment="1">
      <alignment horizontal="left"/>
    </xf>
    <xf numFmtId="49" fontId="10" fillId="20" borderId="155" xfId="0" applyNumberFormat="1" applyFont="1" applyFill="1" applyBorder="1" applyAlignment="1">
      <alignment horizontal="center"/>
    </xf>
    <xf numFmtId="0" fontId="18" fillId="20" borderId="113" xfId="0" applyFont="1" applyFill="1" applyBorder="1" applyAlignment="1">
      <alignment horizontal="left"/>
    </xf>
    <xf numFmtId="0" fontId="18" fillId="20" borderId="15" xfId="0" applyFont="1" applyFill="1" applyBorder="1" applyAlignment="1">
      <alignment horizontal="left"/>
    </xf>
    <xf numFmtId="0" fontId="7" fillId="20" borderId="41" xfId="0" applyFont="1" applyFill="1" applyBorder="1" applyAlignment="1">
      <alignment horizontal="left"/>
    </xf>
    <xf numFmtId="1" fontId="10" fillId="20" borderId="5" xfId="0" applyNumberFormat="1" applyFont="1" applyFill="1" applyBorder="1" applyAlignment="1">
      <alignment horizontal="center"/>
    </xf>
    <xf numFmtId="0" fontId="10" fillId="20" borderId="5" xfId="0" applyFont="1" applyFill="1" applyBorder="1"/>
    <xf numFmtId="167" fontId="18" fillId="20" borderId="59" xfId="0" applyNumberFormat="1" applyFont="1" applyFill="1" applyBorder="1" applyAlignment="1">
      <alignment horizontal="left"/>
    </xf>
    <xf numFmtId="167" fontId="18" fillId="20" borderId="83" xfId="0" applyNumberFormat="1" applyFont="1" applyFill="1" applyBorder="1" applyAlignment="1">
      <alignment horizontal="left"/>
    </xf>
    <xf numFmtId="167" fontId="24" fillId="20" borderId="85" xfId="0" applyNumberFormat="1" applyFont="1" applyFill="1" applyBorder="1" applyAlignment="1">
      <alignment horizontal="left"/>
    </xf>
    <xf numFmtId="0" fontId="18" fillId="20" borderId="111" xfId="0" applyFont="1" applyFill="1" applyBorder="1"/>
    <xf numFmtId="0" fontId="18" fillId="20" borderId="85" xfId="0" applyFont="1" applyFill="1" applyBorder="1"/>
    <xf numFmtId="167" fontId="6" fillId="20" borderId="59" xfId="0" applyNumberFormat="1" applyFont="1" applyFill="1" applyBorder="1" applyAlignment="1">
      <alignment horizontal="left"/>
    </xf>
    <xf numFmtId="167" fontId="24" fillId="20" borderId="85" xfId="0" applyNumberFormat="1" applyFont="1" applyFill="1" applyBorder="1"/>
    <xf numFmtId="1" fontId="5" fillId="20" borderId="148" xfId="0" applyNumberFormat="1" applyFont="1" applyFill="1" applyBorder="1" applyAlignment="1">
      <alignment horizontal="left"/>
    </xf>
    <xf numFmtId="0" fontId="14" fillId="20" borderId="111" xfId="0" applyFont="1" applyFill="1" applyBorder="1" applyAlignment="1">
      <alignment horizontal="left"/>
    </xf>
    <xf numFmtId="0" fontId="7" fillId="20" borderId="1" xfId="0" applyFont="1" applyFill="1" applyBorder="1" applyAlignment="1">
      <alignment horizontal="left"/>
    </xf>
    <xf numFmtId="167" fontId="7" fillId="20" borderId="85" xfId="0" applyNumberFormat="1" applyFont="1" applyFill="1" applyBorder="1" applyAlignment="1">
      <alignment horizontal="left"/>
    </xf>
    <xf numFmtId="1" fontId="18" fillId="20" borderId="25" xfId="0" applyNumberFormat="1" applyFont="1" applyFill="1" applyBorder="1" applyAlignment="1">
      <alignment horizontal="center"/>
    </xf>
    <xf numFmtId="1" fontId="5" fillId="20" borderId="79" xfId="0" applyNumberFormat="1" applyFont="1" applyFill="1" applyBorder="1" applyAlignment="1">
      <alignment horizontal="center"/>
    </xf>
    <xf numFmtId="0" fontId="5" fillId="20" borderId="93" xfId="0" applyFont="1" applyFill="1" applyBorder="1" applyAlignment="1">
      <alignment horizontal="left" vertical="top" wrapText="1"/>
    </xf>
    <xf numFmtId="0" fontId="62" fillId="20" borderId="115" xfId="0" applyFont="1" applyFill="1" applyBorder="1"/>
    <xf numFmtId="0" fontId="6" fillId="20" borderId="84" xfId="0" applyFont="1" applyFill="1" applyBorder="1"/>
    <xf numFmtId="0" fontId="91" fillId="20" borderId="84" xfId="0" applyFont="1" applyFill="1" applyBorder="1"/>
    <xf numFmtId="1" fontId="5" fillId="20" borderId="93" xfId="0" applyNumberFormat="1" applyFont="1" applyFill="1" applyBorder="1" applyAlignment="1">
      <alignment horizontal="left"/>
    </xf>
    <xf numFmtId="0" fontId="5" fillId="20" borderId="113" xfId="0" applyFont="1" applyFill="1" applyBorder="1" applyAlignment="1">
      <alignment horizontal="left"/>
    </xf>
    <xf numFmtId="3" fontId="5" fillId="20" borderId="157" xfId="0" applyNumberFormat="1" applyFont="1" applyFill="1" applyBorder="1" applyAlignment="1">
      <alignment horizontal="left"/>
    </xf>
    <xf numFmtId="3" fontId="5" fillId="20" borderId="158" xfId="0" applyNumberFormat="1" applyFont="1" applyFill="1" applyBorder="1"/>
    <xf numFmtId="1" fontId="5" fillId="20" borderId="122" xfId="0" applyNumberFormat="1" applyFont="1" applyFill="1" applyBorder="1" applyAlignment="1">
      <alignment horizontal="left"/>
    </xf>
    <xf numFmtId="3" fontId="5" fillId="20" borderId="15" xfId="0" applyNumberFormat="1" applyFont="1" applyFill="1" applyBorder="1" applyAlignment="1">
      <alignment horizontal="left"/>
    </xf>
    <xf numFmtId="0" fontId="5" fillId="20" borderId="0" xfId="0" applyFont="1" applyFill="1"/>
    <xf numFmtId="3" fontId="5" fillId="20" borderId="15" xfId="0" applyNumberFormat="1" applyFont="1" applyFill="1" applyBorder="1"/>
    <xf numFmtId="0" fontId="9" fillId="20" borderId="111" xfId="0" applyFont="1" applyFill="1" applyBorder="1"/>
    <xf numFmtId="0" fontId="5" fillId="20" borderId="1" xfId="0" applyFont="1" applyFill="1" applyBorder="1"/>
    <xf numFmtId="0" fontId="5" fillId="20" borderId="41" xfId="0" applyFont="1" applyFill="1" applyBorder="1"/>
    <xf numFmtId="49" fontId="5" fillId="20" borderId="130" xfId="0" applyNumberFormat="1" applyFont="1" applyFill="1" applyBorder="1" applyAlignment="1">
      <alignment horizontal="left"/>
    </xf>
    <xf numFmtId="170" fontId="5" fillId="20" borderId="35" xfId="0" applyNumberFormat="1" applyFont="1" applyFill="1" applyBorder="1" applyAlignment="1">
      <alignment horizontal="left"/>
    </xf>
    <xf numFmtId="49" fontId="10" fillId="20" borderId="129" xfId="0" applyNumberFormat="1" applyFont="1" applyFill="1" applyBorder="1" applyAlignment="1">
      <alignment horizontal="center"/>
    </xf>
    <xf numFmtId="49" fontId="5" fillId="20" borderId="120" xfId="0" applyNumberFormat="1" applyFont="1" applyFill="1" applyBorder="1" applyAlignment="1">
      <alignment horizontal="center"/>
    </xf>
    <xf numFmtId="3" fontId="4" fillId="20" borderId="35" xfId="0" applyNumberFormat="1" applyFont="1" applyFill="1" applyBorder="1" applyAlignment="1">
      <alignment horizontal="right"/>
    </xf>
    <xf numFmtId="0" fontId="7" fillId="20" borderId="69" xfId="0" applyFont="1" applyFill="1" applyBorder="1"/>
    <xf numFmtId="49" fontId="10" fillId="20" borderId="126" xfId="0" applyNumberFormat="1" applyFont="1" applyFill="1" applyBorder="1" applyAlignment="1">
      <alignment horizontal="center"/>
    </xf>
    <xf numFmtId="0" fontId="18" fillId="20" borderId="41" xfId="0" applyFont="1" applyFill="1" applyBorder="1" applyAlignment="1">
      <alignment horizontal="left"/>
    </xf>
    <xf numFmtId="0" fontId="7" fillId="20" borderId="2" xfId="0" applyFont="1" applyFill="1" applyBorder="1" applyAlignment="1">
      <alignment horizontal="left" wrapText="1"/>
    </xf>
    <xf numFmtId="0" fontId="10" fillId="20" borderId="2" xfId="0" applyFont="1" applyFill="1" applyBorder="1" applyAlignment="1">
      <alignment horizontal="left"/>
    </xf>
    <xf numFmtId="49" fontId="10" fillId="20" borderId="139" xfId="0" applyNumberFormat="1" applyFont="1" applyFill="1" applyBorder="1" applyAlignment="1">
      <alignment horizontal="center"/>
    </xf>
    <xf numFmtId="0" fontId="10" fillId="20" borderId="13" xfId="0" applyFont="1" applyFill="1" applyBorder="1"/>
    <xf numFmtId="49" fontId="10" fillId="20" borderId="95" xfId="0" applyNumberFormat="1" applyFont="1" applyFill="1" applyBorder="1" applyAlignment="1">
      <alignment horizontal="center"/>
    </xf>
    <xf numFmtId="1" fontId="5" fillId="20" borderId="23" xfId="0" applyNumberFormat="1" applyFont="1" applyFill="1" applyBorder="1" applyAlignment="1">
      <alignment horizontal="left" vertical="top" wrapText="1"/>
    </xf>
    <xf numFmtId="0" fontId="5" fillId="20" borderId="159" xfId="0" applyFont="1" applyFill="1" applyBorder="1" applyAlignment="1">
      <alignment vertical="top"/>
    </xf>
    <xf numFmtId="0" fontId="10" fillId="20" borderId="160" xfId="0" applyFont="1" applyFill="1" applyBorder="1"/>
    <xf numFmtId="0" fontId="13" fillId="20" borderId="122" xfId="0" applyFont="1" applyFill="1" applyBorder="1"/>
    <xf numFmtId="0" fontId="10" fillId="20" borderId="43" xfId="0" applyFont="1" applyFill="1" applyBorder="1"/>
    <xf numFmtId="0" fontId="0" fillId="20" borderId="122" xfId="0" applyFill="1" applyBorder="1"/>
    <xf numFmtId="0" fontId="14" fillId="24" borderId="111" xfId="0" applyFont="1" applyFill="1" applyBorder="1"/>
    <xf numFmtId="49" fontId="13" fillId="24" borderId="57" xfId="0" applyNumberFormat="1" applyFont="1" applyFill="1" applyBorder="1"/>
    <xf numFmtId="0" fontId="23" fillId="20" borderId="161" xfId="0" applyFont="1" applyFill="1" applyBorder="1"/>
    <xf numFmtId="49" fontId="15" fillId="20" borderId="122" xfId="0" applyNumberFormat="1" applyFont="1" applyFill="1" applyBorder="1" applyAlignment="1">
      <alignment horizontal="left"/>
    </xf>
    <xf numFmtId="0" fontId="18" fillId="20" borderId="162" xfId="0" applyFont="1" applyFill="1" applyBorder="1" applyAlignment="1">
      <alignment wrapText="1"/>
    </xf>
    <xf numFmtId="0" fontId="10" fillId="20" borderId="3" xfId="0" applyFont="1" applyFill="1" applyBorder="1"/>
    <xf numFmtId="0" fontId="10" fillId="20" borderId="6" xfId="0" applyFont="1" applyFill="1" applyBorder="1"/>
    <xf numFmtId="0" fontId="18" fillId="20" borderId="112" xfId="0" applyFont="1" applyFill="1" applyBorder="1"/>
    <xf numFmtId="0" fontId="18" fillId="20" borderId="91" xfId="0" applyFont="1" applyFill="1" applyBorder="1"/>
    <xf numFmtId="0" fontId="18" fillId="20" borderId="43" xfId="0" applyFont="1" applyFill="1" applyBorder="1"/>
    <xf numFmtId="0" fontId="10" fillId="20" borderId="71" xfId="0" applyFont="1" applyFill="1" applyBorder="1"/>
    <xf numFmtId="0" fontId="18" fillId="20" borderId="162" xfId="0" applyFont="1" applyFill="1" applyBorder="1"/>
    <xf numFmtId="0" fontId="7" fillId="20" borderId="162" xfId="0" applyFont="1" applyFill="1" applyBorder="1" applyAlignment="1">
      <alignment wrapText="1"/>
    </xf>
    <xf numFmtId="0" fontId="5" fillId="20" borderId="6" xfId="0" applyFont="1" applyFill="1" applyBorder="1"/>
    <xf numFmtId="0" fontId="18" fillId="20" borderId="89" xfId="0" applyFont="1" applyFill="1" applyBorder="1"/>
    <xf numFmtId="49" fontId="5" fillId="20" borderId="3" xfId="0" applyNumberFormat="1" applyFont="1" applyFill="1" applyBorder="1" applyAlignment="1">
      <alignment horizontal="left"/>
    </xf>
    <xf numFmtId="49" fontId="5" fillId="20" borderId="87" xfId="0" applyNumberFormat="1" applyFont="1" applyFill="1" applyBorder="1" applyAlignment="1">
      <alignment horizontal="left"/>
    </xf>
    <xf numFmtId="0" fontId="5" fillId="20" borderId="3" xfId="0" applyFont="1" applyFill="1" applyBorder="1" applyAlignment="1">
      <alignment wrapText="1"/>
    </xf>
    <xf numFmtId="0" fontId="5" fillId="20" borderId="3" xfId="0" applyFont="1" applyFill="1" applyBorder="1"/>
    <xf numFmtId="0" fontId="106" fillId="20" borderId="3" xfId="0" applyFont="1" applyFill="1" applyBorder="1"/>
    <xf numFmtId="0" fontId="10" fillId="20" borderId="10" xfId="0" applyFont="1" applyFill="1" applyBorder="1"/>
    <xf numFmtId="0" fontId="10" fillId="20" borderId="94" xfId="0" applyFont="1" applyFill="1" applyBorder="1"/>
    <xf numFmtId="3" fontId="5" fillId="20" borderId="123" xfId="0" applyNumberFormat="1" applyFont="1" applyFill="1" applyBorder="1" applyAlignment="1">
      <alignment horizontal="left" vertical="top" wrapText="1"/>
    </xf>
    <xf numFmtId="3" fontId="5" fillId="20" borderId="15" xfId="0" applyNumberFormat="1" applyFont="1" applyFill="1" applyBorder="1" applyAlignment="1">
      <alignment horizontal="left" vertical="top"/>
    </xf>
    <xf numFmtId="3" fontId="5" fillId="20" borderId="67" xfId="0" applyNumberFormat="1" applyFont="1" applyFill="1" applyBorder="1" applyAlignment="1">
      <alignment horizontal="left" vertical="top" wrapText="1"/>
    </xf>
    <xf numFmtId="3" fontId="5" fillId="20" borderId="16" xfId="0" applyNumberFormat="1" applyFont="1" applyFill="1" applyBorder="1" applyAlignment="1">
      <alignment horizontal="left" vertical="top" wrapText="1"/>
    </xf>
    <xf numFmtId="3" fontId="5" fillId="20" borderId="148" xfId="0" applyNumberFormat="1" applyFont="1" applyFill="1" applyBorder="1"/>
    <xf numFmtId="0" fontId="5" fillId="20" borderId="148" xfId="0" applyFont="1" applyFill="1" applyBorder="1" applyAlignment="1">
      <alignment horizontal="left" vertical="top" wrapText="1"/>
    </xf>
    <xf numFmtId="0" fontId="5" fillId="20" borderId="148" xfId="0" applyFont="1" applyFill="1" applyBorder="1"/>
    <xf numFmtId="3" fontId="10" fillId="20" borderId="16" xfId="0" applyNumberFormat="1" applyFont="1" applyFill="1" applyBorder="1"/>
    <xf numFmtId="0" fontId="10" fillId="20" borderId="145" xfId="0" applyFont="1" applyFill="1" applyBorder="1"/>
    <xf numFmtId="49" fontId="13" fillId="20" borderId="163" xfId="0" applyNumberFormat="1" applyFont="1" applyFill="1" applyBorder="1"/>
    <xf numFmtId="49" fontId="13" fillId="20" borderId="161" xfId="0" applyNumberFormat="1" applyFont="1" applyFill="1" applyBorder="1"/>
    <xf numFmtId="49" fontId="13" fillId="20" borderId="131" xfId="0" applyNumberFormat="1" applyFont="1" applyFill="1" applyBorder="1"/>
    <xf numFmtId="49" fontId="13" fillId="20" borderId="108" xfId="0" applyNumberFormat="1" applyFont="1" applyFill="1" applyBorder="1"/>
    <xf numFmtId="49" fontId="13" fillId="20" borderId="121" xfId="0" applyNumberFormat="1" applyFont="1" applyFill="1" applyBorder="1"/>
    <xf numFmtId="49" fontId="13" fillId="20" borderId="164" xfId="0" applyNumberFormat="1" applyFont="1" applyFill="1" applyBorder="1"/>
    <xf numFmtId="49" fontId="13" fillId="20" borderId="4" xfId="0" applyNumberFormat="1" applyFont="1" applyFill="1" applyBorder="1"/>
    <xf numFmtId="49" fontId="13" fillId="20" borderId="3" xfId="0" applyNumberFormat="1" applyFont="1" applyFill="1" applyBorder="1"/>
    <xf numFmtId="49" fontId="13" fillId="20" borderId="2" xfId="0" applyNumberFormat="1" applyFont="1" applyFill="1" applyBorder="1"/>
    <xf numFmtId="49" fontId="13" fillId="20" borderId="78" xfId="0" applyNumberFormat="1" applyFont="1" applyFill="1" applyBorder="1"/>
    <xf numFmtId="49" fontId="13" fillId="20" borderId="64" xfId="0" applyNumberFormat="1" applyFont="1" applyFill="1" applyBorder="1"/>
    <xf numFmtId="49" fontId="13" fillId="20" borderId="52" xfId="0" applyNumberFormat="1" applyFont="1" applyFill="1" applyBorder="1"/>
    <xf numFmtId="3" fontId="15" fillId="20" borderId="14" xfId="0" applyNumberFormat="1" applyFont="1" applyFill="1" applyBorder="1" applyAlignment="1">
      <alignment horizontal="right"/>
    </xf>
    <xf numFmtId="3" fontId="15" fillId="20" borderId="10" xfId="0" applyNumberFormat="1" applyFont="1" applyFill="1" applyBorder="1" applyAlignment="1">
      <alignment horizontal="right"/>
    </xf>
    <xf numFmtId="3" fontId="15" fillId="20" borderId="9" xfId="0" applyNumberFormat="1" applyFont="1" applyFill="1" applyBorder="1" applyAlignment="1">
      <alignment horizontal="right"/>
    </xf>
    <xf numFmtId="3" fontId="15" fillId="20" borderId="20" xfId="0" applyNumberFormat="1" applyFont="1" applyFill="1" applyBorder="1" applyAlignment="1">
      <alignment horizontal="right"/>
    </xf>
    <xf numFmtId="3" fontId="15" fillId="20" borderId="96" xfId="0" applyNumberFormat="1" applyFont="1" applyFill="1" applyBorder="1" applyAlignment="1">
      <alignment horizontal="right"/>
    </xf>
    <xf numFmtId="3" fontId="15" fillId="20" borderId="112" xfId="0" applyNumberFormat="1" applyFont="1" applyFill="1" applyBorder="1" applyAlignment="1">
      <alignment horizontal="right"/>
    </xf>
    <xf numFmtId="3" fontId="15" fillId="20" borderId="119" xfId="0" applyNumberFormat="1" applyFont="1" applyFill="1" applyBorder="1" applyAlignment="1">
      <alignment horizontal="right"/>
    </xf>
    <xf numFmtId="3" fontId="15" fillId="20" borderId="90" xfId="0" applyNumberFormat="1" applyFont="1" applyFill="1" applyBorder="1" applyAlignment="1">
      <alignment horizontal="right"/>
    </xf>
    <xf numFmtId="3" fontId="15" fillId="20" borderId="113" xfId="0" applyNumberFormat="1" applyFont="1" applyFill="1" applyBorder="1" applyAlignment="1">
      <alignment horizontal="right"/>
    </xf>
    <xf numFmtId="3" fontId="15" fillId="20" borderId="91" xfId="0" applyNumberFormat="1" applyFont="1" applyFill="1" applyBorder="1" applyAlignment="1">
      <alignment horizontal="right"/>
    </xf>
    <xf numFmtId="3" fontId="15" fillId="20" borderId="83" xfId="0" applyNumberFormat="1" applyFont="1" applyFill="1" applyBorder="1" applyAlignment="1">
      <alignment horizontal="right"/>
    </xf>
    <xf numFmtId="3" fontId="15" fillId="20" borderId="4" xfId="0" applyNumberFormat="1" applyFont="1" applyFill="1" applyBorder="1" applyAlignment="1">
      <alignment horizontal="right"/>
    </xf>
    <xf numFmtId="3" fontId="15" fillId="20" borderId="3" xfId="0" applyNumberFormat="1" applyFont="1" applyFill="1" applyBorder="1" applyAlignment="1">
      <alignment horizontal="right"/>
    </xf>
    <xf numFmtId="3" fontId="15" fillId="20" borderId="54" xfId="0" applyNumberFormat="1" applyFont="1" applyFill="1" applyBorder="1" applyAlignment="1">
      <alignment horizontal="right"/>
    </xf>
    <xf numFmtId="3" fontId="15" fillId="20" borderId="53" xfId="0" applyNumberFormat="1" applyFont="1" applyFill="1" applyBorder="1" applyAlignment="1">
      <alignment horizontal="right"/>
    </xf>
    <xf numFmtId="3" fontId="15" fillId="20" borderId="2" xfId="0" applyNumberFormat="1" applyFont="1" applyFill="1" applyBorder="1" applyAlignment="1">
      <alignment horizontal="right"/>
    </xf>
    <xf numFmtId="3" fontId="15" fillId="20" borderId="64" xfId="0" applyNumberFormat="1" applyFont="1" applyFill="1" applyBorder="1" applyAlignment="1">
      <alignment horizontal="right"/>
    </xf>
    <xf numFmtId="3" fontId="15" fillId="20" borderId="18" xfId="0" applyNumberFormat="1" applyFont="1" applyFill="1" applyBorder="1" applyAlignment="1">
      <alignment horizontal="right"/>
    </xf>
    <xf numFmtId="3" fontId="15" fillId="20" borderId="7" xfId="0" applyNumberFormat="1" applyFont="1" applyFill="1" applyBorder="1" applyAlignment="1">
      <alignment horizontal="right"/>
    </xf>
    <xf numFmtId="3" fontId="15" fillId="20" borderId="6" xfId="0" applyNumberFormat="1" applyFont="1" applyFill="1" applyBorder="1" applyAlignment="1">
      <alignment horizontal="right"/>
    </xf>
    <xf numFmtId="3" fontId="15" fillId="20" borderId="5" xfId="0" applyNumberFormat="1" applyFont="1" applyFill="1" applyBorder="1" applyAlignment="1">
      <alignment horizontal="right"/>
    </xf>
    <xf numFmtId="3" fontId="15" fillId="20" borderId="19" xfId="0" applyNumberFormat="1" applyFont="1" applyFill="1" applyBorder="1" applyAlignment="1">
      <alignment horizontal="right"/>
    </xf>
    <xf numFmtId="3" fontId="7" fillId="20" borderId="114" xfId="0" applyNumberFormat="1" applyFont="1" applyFill="1" applyBorder="1" applyAlignment="1">
      <alignment horizontal="left" vertical="top" wrapText="1"/>
    </xf>
    <xf numFmtId="3" fontId="7" fillId="20" borderId="154" xfId="0" applyNumberFormat="1" applyFont="1" applyFill="1" applyBorder="1" applyAlignment="1">
      <alignment vertical="top" wrapText="1"/>
    </xf>
    <xf numFmtId="3" fontId="10" fillId="20" borderId="122" xfId="0" applyNumberFormat="1" applyFont="1" applyFill="1" applyBorder="1"/>
    <xf numFmtId="3" fontId="10" fillId="20" borderId="154" xfId="0" applyNumberFormat="1" applyFont="1" applyFill="1" applyBorder="1"/>
    <xf numFmtId="0" fontId="10" fillId="20" borderId="122" xfId="0" applyFont="1" applyFill="1" applyBorder="1"/>
    <xf numFmtId="0" fontId="10" fillId="20" borderId="111" xfId="0" applyFont="1" applyFill="1" applyBorder="1"/>
    <xf numFmtId="0" fontId="13" fillId="20" borderId="166" xfId="0" applyFont="1" applyFill="1" applyBorder="1"/>
    <xf numFmtId="49" fontId="13" fillId="20" borderId="130" xfId="0" applyNumberFormat="1" applyFont="1" applyFill="1" applyBorder="1"/>
    <xf numFmtId="49" fontId="13" fillId="20" borderId="167" xfId="0" applyNumberFormat="1" applyFont="1" applyFill="1" applyBorder="1"/>
    <xf numFmtId="49" fontId="13" fillId="20" borderId="21" xfId="0" applyNumberFormat="1" applyFont="1" applyFill="1" applyBorder="1"/>
    <xf numFmtId="49" fontId="13" fillId="20" borderId="103" xfId="0" applyNumberFormat="1" applyFont="1" applyFill="1" applyBorder="1"/>
    <xf numFmtId="3" fontId="15" fillId="20" borderId="23" xfId="0" applyNumberFormat="1" applyFont="1" applyFill="1" applyBorder="1" applyAlignment="1">
      <alignment horizontal="right"/>
    </xf>
    <xf numFmtId="3" fontId="15" fillId="20" borderId="93" xfId="0" applyNumberFormat="1" applyFont="1" applyFill="1" applyBorder="1" applyAlignment="1">
      <alignment horizontal="right"/>
    </xf>
    <xf numFmtId="3" fontId="15" fillId="20" borderId="21" xfId="0" applyNumberFormat="1" applyFont="1" applyFill="1" applyBorder="1" applyAlignment="1">
      <alignment horizontal="right"/>
    </xf>
    <xf numFmtId="3" fontId="15" fillId="20" borderId="22" xfId="0" applyNumberFormat="1" applyFont="1" applyFill="1" applyBorder="1" applyAlignment="1">
      <alignment horizontal="right"/>
    </xf>
    <xf numFmtId="3" fontId="5" fillId="20" borderId="125" xfId="0" applyNumberFormat="1" applyFont="1" applyFill="1" applyBorder="1" applyAlignment="1">
      <alignment horizontal="left" vertical="top" wrapText="1"/>
    </xf>
    <xf numFmtId="3" fontId="5" fillId="20" borderId="68" xfId="0" applyNumberFormat="1" applyFont="1" applyFill="1" applyBorder="1" applyAlignment="1">
      <alignment horizontal="left" vertical="top" wrapText="1"/>
    </xf>
    <xf numFmtId="3" fontId="7" fillId="20" borderId="114" xfId="0" applyNumberFormat="1" applyFont="1" applyFill="1" applyBorder="1" applyAlignment="1">
      <alignment horizontal="left" vertical="top"/>
    </xf>
    <xf numFmtId="3" fontId="7" fillId="20" borderId="154" xfId="0" applyNumberFormat="1" applyFont="1" applyFill="1" applyBorder="1" applyAlignment="1">
      <alignment horizontal="left" vertical="top" wrapText="1"/>
    </xf>
    <xf numFmtId="0" fontId="10" fillId="20" borderId="154" xfId="0" applyFont="1" applyFill="1" applyBorder="1"/>
    <xf numFmtId="0" fontId="10" fillId="20" borderId="166" xfId="0" applyFont="1" applyFill="1" applyBorder="1"/>
    <xf numFmtId="49" fontId="13" fillId="20" borderId="168" xfId="0" applyNumberFormat="1" applyFont="1" applyFill="1" applyBorder="1"/>
    <xf numFmtId="49" fontId="13" fillId="20" borderId="169" xfId="0" applyNumberFormat="1" applyFont="1" applyFill="1" applyBorder="1"/>
    <xf numFmtId="49" fontId="13" fillId="20" borderId="28" xfId="0" applyNumberFormat="1" applyFont="1" applyFill="1" applyBorder="1"/>
    <xf numFmtId="49" fontId="13" fillId="20" borderId="98" xfId="0" applyNumberFormat="1" applyFont="1" applyFill="1" applyBorder="1"/>
    <xf numFmtId="3" fontId="15" fillId="20" borderId="30" xfId="0" applyNumberFormat="1" applyFont="1" applyFill="1" applyBorder="1" applyAlignment="1">
      <alignment horizontal="right"/>
    </xf>
    <xf numFmtId="3" fontId="15" fillId="20" borderId="31" xfId="0" applyNumberFormat="1" applyFont="1" applyFill="1" applyBorder="1" applyAlignment="1">
      <alignment horizontal="right"/>
    </xf>
    <xf numFmtId="3" fontId="15" fillId="20" borderId="46" xfId="0" applyNumberFormat="1" applyFont="1" applyFill="1" applyBorder="1" applyAlignment="1">
      <alignment horizontal="right"/>
    </xf>
    <xf numFmtId="3" fontId="15" fillId="20" borderId="114" xfId="0" applyNumberFormat="1" applyFont="1" applyFill="1" applyBorder="1" applyAlignment="1">
      <alignment horizontal="right"/>
    </xf>
    <xf numFmtId="3" fontId="15" fillId="20" borderId="28" xfId="0" applyNumberFormat="1" applyFont="1" applyFill="1" applyBorder="1" applyAlignment="1">
      <alignment horizontal="right"/>
    </xf>
    <xf numFmtId="3" fontId="15" fillId="20" borderId="98" xfId="0" applyNumberFormat="1" applyFont="1" applyFill="1" applyBorder="1" applyAlignment="1">
      <alignment horizontal="right"/>
    </xf>
    <xf numFmtId="3" fontId="15" fillId="20" borderId="29" xfId="0" applyNumberFormat="1" applyFont="1" applyFill="1" applyBorder="1" applyAlignment="1">
      <alignment horizontal="right"/>
    </xf>
    <xf numFmtId="3" fontId="15" fillId="20" borderId="32" xfId="0" applyNumberFormat="1" applyFont="1" applyFill="1" applyBorder="1" applyAlignment="1">
      <alignment horizontal="right"/>
    </xf>
    <xf numFmtId="0" fontId="10" fillId="20" borderId="148" xfId="0" applyFont="1" applyFill="1" applyBorder="1" applyAlignment="1">
      <alignment horizontal="left"/>
    </xf>
    <xf numFmtId="0" fontId="5" fillId="20" borderId="148" xfId="0" applyFont="1" applyFill="1" applyBorder="1" applyAlignment="1">
      <alignment horizontal="left"/>
    </xf>
    <xf numFmtId="0" fontId="10" fillId="20" borderId="15" xfId="0" applyFont="1" applyFill="1" applyBorder="1" applyAlignment="1">
      <alignment horizontal="left"/>
    </xf>
    <xf numFmtId="0" fontId="10" fillId="20" borderId="148" xfId="0" applyFont="1" applyFill="1" applyBorder="1"/>
    <xf numFmtId="0" fontId="10" fillId="20" borderId="148" xfId="0" applyFont="1" applyFill="1" applyBorder="1" applyAlignment="1">
      <alignment horizontal="center"/>
    </xf>
    <xf numFmtId="0" fontId="26" fillId="20" borderId="148" xfId="0" applyFont="1" applyFill="1" applyBorder="1"/>
    <xf numFmtId="0" fontId="37" fillId="20" borderId="148" xfId="0" applyFont="1" applyFill="1" applyBorder="1"/>
    <xf numFmtId="3" fontId="20" fillId="20" borderId="148" xfId="0" applyNumberFormat="1" applyFont="1" applyFill="1" applyBorder="1"/>
    <xf numFmtId="3" fontId="46" fillId="20" borderId="148" xfId="0" applyNumberFormat="1" applyFont="1" applyFill="1" applyBorder="1"/>
    <xf numFmtId="3" fontId="92" fillId="20" borderId="148" xfId="0" applyNumberFormat="1" applyFont="1" applyFill="1" applyBorder="1"/>
    <xf numFmtId="0" fontId="38" fillId="20" borderId="0" xfId="0" applyFont="1" applyFill="1"/>
    <xf numFmtId="3" fontId="44" fillId="20" borderId="152" xfId="0" applyNumberFormat="1" applyFont="1" applyFill="1" applyBorder="1"/>
    <xf numFmtId="3" fontId="44" fillId="20" borderId="28" xfId="0" applyNumberFormat="1" applyFont="1" applyFill="1" applyBorder="1" applyAlignment="1">
      <alignment horizontal="right"/>
    </xf>
    <xf numFmtId="3" fontId="4" fillId="20" borderId="29" xfId="0" applyNumberFormat="1" applyFont="1" applyFill="1" applyBorder="1" applyAlignment="1">
      <alignment horizontal="right"/>
    </xf>
    <xf numFmtId="3" fontId="47" fillId="20" borderId="65" xfId="0" applyNumberFormat="1" applyFont="1" applyFill="1" applyBorder="1"/>
    <xf numFmtId="3" fontId="47" fillId="20" borderId="5" xfId="0" applyNumberFormat="1" applyFont="1" applyFill="1" applyBorder="1"/>
    <xf numFmtId="3" fontId="47" fillId="20" borderId="4" xfId="0" applyNumberFormat="1" applyFont="1" applyFill="1" applyBorder="1"/>
    <xf numFmtId="3" fontId="47" fillId="20" borderId="78" xfId="0" applyNumberFormat="1" applyFont="1" applyFill="1" applyBorder="1"/>
    <xf numFmtId="3" fontId="45" fillId="20" borderId="86" xfId="0" applyNumberFormat="1" applyFont="1" applyFill="1" applyBorder="1"/>
    <xf numFmtId="3" fontId="46" fillId="20" borderId="149" xfId="0" applyNumberFormat="1" applyFont="1" applyFill="1" applyBorder="1"/>
    <xf numFmtId="3" fontId="92" fillId="20" borderId="149" xfId="0" applyNumberFormat="1" applyFont="1" applyFill="1" applyBorder="1"/>
    <xf numFmtId="3" fontId="15" fillId="25" borderId="98" xfId="0" applyNumberFormat="1" applyFont="1" applyFill="1" applyBorder="1" applyAlignment="1">
      <alignment horizontal="right"/>
    </xf>
    <xf numFmtId="0" fontId="27" fillId="20" borderId="96" xfId="0" applyFont="1" applyFill="1" applyBorder="1"/>
    <xf numFmtId="0" fontId="27" fillId="20" borderId="91" xfId="0" applyFont="1" applyFill="1" applyBorder="1"/>
    <xf numFmtId="0" fontId="27" fillId="20" borderId="115" xfId="0" applyFont="1" applyFill="1" applyBorder="1"/>
    <xf numFmtId="0" fontId="27" fillId="20" borderId="116" xfId="0" applyFont="1" applyFill="1" applyBorder="1"/>
    <xf numFmtId="0" fontId="27" fillId="20" borderId="4" xfId="0" applyFont="1" applyFill="1" applyBorder="1"/>
    <xf numFmtId="0" fontId="27" fillId="20" borderId="64" xfId="0" applyFont="1" applyFill="1" applyBorder="1"/>
    <xf numFmtId="0" fontId="27" fillId="20" borderId="78" xfId="0" applyFont="1" applyFill="1" applyBorder="1"/>
    <xf numFmtId="0" fontId="27" fillId="20" borderId="52" xfId="0" applyFont="1" applyFill="1" applyBorder="1"/>
    <xf numFmtId="3" fontId="4" fillId="20" borderId="15" xfId="0" applyNumberFormat="1" applyFont="1" applyFill="1" applyBorder="1"/>
    <xf numFmtId="3" fontId="47" fillId="20" borderId="2" xfId="0" applyNumberFormat="1" applyFont="1" applyFill="1" applyBorder="1"/>
    <xf numFmtId="3" fontId="38" fillId="20" borderId="0" xfId="0" applyNumberFormat="1" applyFont="1" applyFill="1"/>
    <xf numFmtId="3" fontId="4" fillId="20" borderId="28" xfId="0" applyNumberFormat="1" applyFont="1" applyFill="1" applyBorder="1" applyAlignment="1">
      <alignment horizontal="right"/>
    </xf>
    <xf numFmtId="3" fontId="47" fillId="20" borderId="148" xfId="0" applyNumberFormat="1" applyFont="1" applyFill="1" applyBorder="1"/>
    <xf numFmtId="3" fontId="4" fillId="21" borderId="28" xfId="0" applyNumberFormat="1" applyFont="1" applyFill="1" applyBorder="1" applyAlignment="1">
      <alignment horizontal="right"/>
    </xf>
    <xf numFmtId="3" fontId="46" fillId="20" borderId="4" xfId="0" applyNumberFormat="1" applyFont="1" applyFill="1" applyBorder="1"/>
    <xf numFmtId="3" fontId="46" fillId="20" borderId="78" xfId="0" applyNumberFormat="1" applyFont="1" applyFill="1" applyBorder="1"/>
    <xf numFmtId="3" fontId="92" fillId="20" borderId="78" xfId="0" applyNumberFormat="1" applyFont="1" applyFill="1" applyBorder="1"/>
    <xf numFmtId="3" fontId="50" fillId="20" borderId="2" xfId="0" applyNumberFormat="1" applyFont="1" applyFill="1" applyBorder="1" applyAlignment="1">
      <alignment horizontal="right"/>
    </xf>
    <xf numFmtId="3" fontId="4" fillId="20" borderId="44" xfId="0" applyNumberFormat="1" applyFont="1" applyFill="1" applyBorder="1" applyAlignment="1">
      <alignment horizontal="right"/>
    </xf>
    <xf numFmtId="3" fontId="47" fillId="20" borderId="86" xfId="0" applyNumberFormat="1" applyFont="1" applyFill="1" applyBorder="1"/>
    <xf numFmtId="3" fontId="47" fillId="20" borderId="149" xfId="0" applyNumberFormat="1" applyFont="1" applyFill="1" applyBorder="1"/>
    <xf numFmtId="3" fontId="105" fillId="20" borderId="4" xfId="0" applyNumberFormat="1" applyFont="1" applyFill="1" applyBorder="1"/>
    <xf numFmtId="3" fontId="105" fillId="20" borderId="78" xfId="0" applyNumberFormat="1" applyFont="1" applyFill="1" applyBorder="1"/>
    <xf numFmtId="3" fontId="51" fillId="20" borderId="4" xfId="0" applyNumberFormat="1" applyFont="1" applyFill="1" applyBorder="1"/>
    <xf numFmtId="3" fontId="44" fillId="20" borderId="30" xfId="0" applyNumberFormat="1" applyFont="1" applyFill="1" applyBorder="1" applyAlignment="1">
      <alignment horizontal="right"/>
    </xf>
    <xf numFmtId="3" fontId="46" fillId="20" borderId="86" xfId="0" applyNumberFormat="1" applyFont="1" applyFill="1" applyBorder="1"/>
    <xf numFmtId="3" fontId="44" fillId="20" borderId="100" xfId="0" applyNumberFormat="1" applyFont="1" applyFill="1" applyBorder="1" applyAlignment="1">
      <alignment horizontal="right"/>
    </xf>
    <xf numFmtId="3" fontId="46" fillId="20" borderId="173" xfId="0" applyNumberFormat="1" applyFont="1" applyFill="1" applyBorder="1"/>
    <xf numFmtId="3" fontId="46" fillId="20" borderId="38" xfId="0" applyNumberFormat="1" applyFont="1" applyFill="1" applyBorder="1"/>
    <xf numFmtId="3" fontId="92" fillId="20" borderId="38" xfId="0" applyNumberFormat="1" applyFont="1" applyFill="1" applyBorder="1"/>
    <xf numFmtId="3" fontId="5" fillId="20" borderId="30" xfId="0" applyNumberFormat="1" applyFont="1" applyFill="1" applyBorder="1" applyAlignment="1">
      <alignment horizontal="center"/>
    </xf>
    <xf numFmtId="3" fontId="5" fillId="20" borderId="48" xfId="0" applyNumberFormat="1" applyFont="1" applyFill="1" applyBorder="1"/>
    <xf numFmtId="3" fontId="10" fillId="20" borderId="47" xfId="0" applyNumberFormat="1" applyFont="1" applyFill="1" applyBorder="1" applyAlignment="1">
      <alignment horizontal="left" vertical="top" wrapText="1"/>
    </xf>
    <xf numFmtId="3" fontId="10" fillId="20" borderId="159" xfId="0" applyNumberFormat="1" applyFont="1" applyFill="1" applyBorder="1" applyAlignment="1">
      <alignment horizontal="left" vertical="top" wrapText="1"/>
    </xf>
    <xf numFmtId="3" fontId="5" fillId="20" borderId="175" xfId="0" applyNumberFormat="1" applyFont="1" applyFill="1" applyBorder="1" applyAlignment="1">
      <alignment horizontal="center"/>
    </xf>
    <xf numFmtId="3" fontId="5" fillId="20" borderId="29" xfId="0" applyNumberFormat="1" applyFont="1" applyFill="1" applyBorder="1" applyAlignment="1">
      <alignment horizontal="center"/>
    </xf>
    <xf numFmtId="3" fontId="5" fillId="20" borderId="176" xfId="0" applyNumberFormat="1" applyFont="1" applyFill="1" applyBorder="1"/>
    <xf numFmtId="3" fontId="10" fillId="20" borderId="177" xfId="0" applyNumberFormat="1" applyFont="1" applyFill="1" applyBorder="1"/>
    <xf numFmtId="3" fontId="10" fillId="20" borderId="178" xfId="0" applyNumberFormat="1" applyFont="1" applyFill="1" applyBorder="1"/>
    <xf numFmtId="3" fontId="5" fillId="20" borderId="44" xfId="0" applyNumberFormat="1" applyFont="1" applyFill="1" applyBorder="1" applyAlignment="1">
      <alignment horizontal="center"/>
    </xf>
    <xf numFmtId="3" fontId="7" fillId="20" borderId="74" xfId="0" applyNumberFormat="1" applyFont="1" applyFill="1" applyBorder="1"/>
    <xf numFmtId="3" fontId="10" fillId="20" borderId="75" xfId="0" applyNumberFormat="1" applyFont="1" applyFill="1" applyBorder="1"/>
    <xf numFmtId="3" fontId="10" fillId="20" borderId="172" xfId="0" applyNumberFormat="1" applyFont="1" applyFill="1" applyBorder="1"/>
    <xf numFmtId="3" fontId="5" fillId="20" borderId="179" xfId="0" applyNumberFormat="1" applyFont="1" applyFill="1" applyBorder="1" applyAlignment="1">
      <alignment vertical="center"/>
    </xf>
    <xf numFmtId="3" fontId="10" fillId="20" borderId="179" xfId="0" applyNumberFormat="1" applyFont="1" applyFill="1" applyBorder="1"/>
    <xf numFmtId="3" fontId="5" fillId="20" borderId="104" xfId="0" applyNumberFormat="1" applyFont="1" applyFill="1" applyBorder="1" applyAlignment="1">
      <alignment vertical="center"/>
    </xf>
    <xf numFmtId="3" fontId="10" fillId="20" borderId="72" xfId="0" applyNumberFormat="1" applyFont="1" applyFill="1" applyBorder="1"/>
    <xf numFmtId="3" fontId="10" fillId="20" borderId="87" xfId="0" applyNumberFormat="1" applyFont="1" applyFill="1" applyBorder="1"/>
    <xf numFmtId="3" fontId="5" fillId="20" borderId="180" xfId="0" applyNumberFormat="1" applyFont="1" applyFill="1" applyBorder="1"/>
    <xf numFmtId="3" fontId="5" fillId="20" borderId="104" xfId="0" applyNumberFormat="1" applyFont="1" applyFill="1" applyBorder="1"/>
    <xf numFmtId="3" fontId="10" fillId="20" borderId="104" xfId="0" applyNumberFormat="1" applyFont="1" applyFill="1" applyBorder="1"/>
    <xf numFmtId="0" fontId="5" fillId="20" borderId="59" xfId="0" applyFont="1" applyFill="1" applyBorder="1" applyAlignment="1">
      <alignment horizontal="left"/>
    </xf>
    <xf numFmtId="0" fontId="5" fillId="20" borderId="119" xfId="0" applyFont="1" applyFill="1" applyBorder="1"/>
    <xf numFmtId="0" fontId="5" fillId="20" borderId="181" xfId="0" applyFont="1" applyFill="1" applyBorder="1" applyAlignment="1">
      <alignment vertical="top" wrapText="1"/>
    </xf>
    <xf numFmtId="0" fontId="5" fillId="20" borderId="108" xfId="0" applyFont="1" applyFill="1" applyBorder="1" applyAlignment="1">
      <alignment horizontal="left" vertical="top" wrapText="1"/>
    </xf>
    <xf numFmtId="0" fontId="5" fillId="20" borderId="131" xfId="0" applyFont="1" applyFill="1" applyBorder="1" applyAlignment="1">
      <alignment horizontal="left" vertical="top" wrapText="1"/>
    </xf>
    <xf numFmtId="0" fontId="5" fillId="20" borderId="181" xfId="0" applyFont="1" applyFill="1" applyBorder="1" applyAlignment="1">
      <alignment horizontal="left" vertical="top" wrapText="1"/>
    </xf>
    <xf numFmtId="0" fontId="5" fillId="20" borderId="59" xfId="0" applyFont="1" applyFill="1" applyBorder="1"/>
    <xf numFmtId="0" fontId="9" fillId="20" borderId="85" xfId="0" applyFont="1" applyFill="1" applyBorder="1"/>
    <xf numFmtId="0" fontId="5" fillId="20" borderId="43" xfId="0" applyFont="1" applyFill="1" applyBorder="1"/>
    <xf numFmtId="0" fontId="5" fillId="20" borderId="163" xfId="0" applyFont="1" applyFill="1" applyBorder="1" applyAlignment="1">
      <alignment horizontal="left" vertical="top" wrapText="1"/>
    </xf>
    <xf numFmtId="0" fontId="5" fillId="20" borderId="122" xfId="0" applyFont="1" applyFill="1" applyBorder="1"/>
    <xf numFmtId="0" fontId="7" fillId="20" borderId="122" xfId="0" applyFont="1" applyFill="1" applyBorder="1"/>
    <xf numFmtId="0" fontId="5" fillId="20" borderId="16" xfId="0" applyFont="1" applyFill="1" applyBorder="1"/>
    <xf numFmtId="0" fontId="5" fillId="20" borderId="63" xfId="0" applyFont="1" applyFill="1" applyBorder="1"/>
    <xf numFmtId="0" fontId="5" fillId="20" borderId="67" xfId="0" applyFont="1" applyFill="1" applyBorder="1"/>
    <xf numFmtId="0" fontId="5" fillId="20" borderId="142" xfId="0" applyFont="1" applyFill="1" applyBorder="1"/>
    <xf numFmtId="0" fontId="48" fillId="20" borderId="171" xfId="0" applyFont="1" applyFill="1" applyBorder="1"/>
    <xf numFmtId="0" fontId="7" fillId="20" borderId="96" xfId="0" applyFont="1" applyFill="1" applyBorder="1"/>
    <xf numFmtId="0" fontId="7" fillId="20" borderId="16" xfId="0" applyFont="1" applyFill="1" applyBorder="1"/>
    <xf numFmtId="49" fontId="9" fillId="20" borderId="122" xfId="0" applyNumberFormat="1" applyFont="1" applyFill="1" applyBorder="1" applyAlignment="1">
      <alignment horizontal="left"/>
    </xf>
    <xf numFmtId="3" fontId="39" fillId="20" borderId="15" xfId="0" applyNumberFormat="1" applyFont="1" applyFill="1" applyBorder="1"/>
    <xf numFmtId="3" fontId="39" fillId="20" borderId="55" xfId="0" applyNumberFormat="1" applyFont="1" applyFill="1" applyBorder="1"/>
    <xf numFmtId="49" fontId="7" fillId="20" borderId="148" xfId="0" applyNumberFormat="1" applyFont="1" applyFill="1" applyBorder="1"/>
    <xf numFmtId="49" fontId="7" fillId="20" borderId="0" xfId="0" applyNumberFormat="1" applyFont="1" applyFill="1"/>
    <xf numFmtId="49" fontId="7" fillId="20" borderId="118" xfId="0" applyNumberFormat="1" applyFont="1" applyFill="1" applyBorder="1"/>
    <xf numFmtId="49" fontId="7" fillId="20" borderId="27" xfId="0" applyNumberFormat="1" applyFont="1" applyFill="1" applyBorder="1"/>
    <xf numFmtId="3" fontId="4" fillId="20" borderId="15" xfId="0" applyNumberFormat="1" applyFont="1" applyFill="1" applyBorder="1" applyAlignment="1">
      <alignment horizontal="right"/>
    </xf>
    <xf numFmtId="3" fontId="12" fillId="20" borderId="15" xfId="0" applyNumberFormat="1" applyFont="1" applyFill="1" applyBorder="1"/>
    <xf numFmtId="3" fontId="12" fillId="20" borderId="55" xfId="0" applyNumberFormat="1" applyFont="1" applyFill="1" applyBorder="1"/>
    <xf numFmtId="3" fontId="12" fillId="20" borderId="0" xfId="0" applyNumberFormat="1" applyFont="1" applyFill="1"/>
    <xf numFmtId="49" fontId="5" fillId="20" borderId="38" xfId="0" applyNumberFormat="1" applyFont="1" applyFill="1" applyBorder="1"/>
    <xf numFmtId="49" fontId="7" fillId="20" borderId="11" xfId="0" applyNumberFormat="1" applyFont="1" applyFill="1" applyBorder="1"/>
    <xf numFmtId="3" fontId="39" fillId="20" borderId="59" xfId="0" applyNumberFormat="1" applyFont="1" applyFill="1" applyBorder="1"/>
    <xf numFmtId="49" fontId="7" fillId="20" borderId="56" xfId="0" applyNumberFormat="1" applyFont="1" applyFill="1" applyBorder="1"/>
    <xf numFmtId="3" fontId="39" fillId="20" borderId="0" xfId="0" applyNumberFormat="1" applyFont="1" applyFill="1"/>
    <xf numFmtId="3" fontId="4" fillId="20" borderId="67" xfId="0" applyNumberFormat="1" applyFont="1" applyFill="1" applyBorder="1" applyAlignment="1">
      <alignment horizontal="right"/>
    </xf>
    <xf numFmtId="3" fontId="39" fillId="20" borderId="56" xfId="0" applyNumberFormat="1" applyFont="1" applyFill="1" applyBorder="1"/>
    <xf numFmtId="49" fontId="7" fillId="20" borderId="15" xfId="0" applyNumberFormat="1" applyFont="1" applyFill="1" applyBorder="1"/>
    <xf numFmtId="3" fontId="4" fillId="26" borderId="17" xfId="0" applyNumberFormat="1" applyFont="1" applyFill="1" applyBorder="1" applyAlignment="1">
      <alignment horizontal="right"/>
    </xf>
    <xf numFmtId="49" fontId="5" fillId="20" borderId="129" xfId="0" applyNumberFormat="1" applyFont="1" applyFill="1" applyBorder="1" applyAlignment="1">
      <alignment horizontal="left"/>
    </xf>
    <xf numFmtId="0" fontId="7" fillId="20" borderId="63" xfId="0" applyFont="1" applyFill="1" applyBorder="1"/>
    <xf numFmtId="49" fontId="5" fillId="20" borderId="22" xfId="0" applyNumberFormat="1" applyFont="1" applyFill="1" applyBorder="1" applyAlignment="1">
      <alignment horizontal="left"/>
    </xf>
    <xf numFmtId="49" fontId="5" fillId="20" borderId="87" xfId="0" applyNumberFormat="1" applyFont="1" applyFill="1" applyBorder="1"/>
    <xf numFmtId="49" fontId="5" fillId="20" borderId="87" xfId="0" applyNumberFormat="1" applyFont="1" applyFill="1" applyBorder="1" applyAlignment="1">
      <alignment wrapText="1"/>
    </xf>
    <xf numFmtId="49" fontId="5" fillId="20" borderId="21" xfId="0" applyNumberFormat="1" applyFont="1" applyFill="1" applyBorder="1" applyAlignment="1">
      <alignment horizontal="left"/>
    </xf>
    <xf numFmtId="49" fontId="5" fillId="20" borderId="54" xfId="0" applyNumberFormat="1" applyFont="1" applyFill="1" applyBorder="1" applyAlignment="1">
      <alignment wrapText="1"/>
    </xf>
    <xf numFmtId="49" fontId="5" fillId="20" borderId="23" xfId="0" applyNumberFormat="1" applyFont="1" applyFill="1" applyBorder="1" applyAlignment="1">
      <alignment horizontal="left"/>
    </xf>
    <xf numFmtId="0" fontId="7" fillId="20" borderId="47" xfId="0" applyFont="1" applyFill="1" applyBorder="1"/>
    <xf numFmtId="49" fontId="5" fillId="20" borderId="73" xfId="0" applyNumberFormat="1" applyFont="1" applyFill="1" applyBorder="1"/>
    <xf numFmtId="49" fontId="5" fillId="20" borderId="64" xfId="0" applyNumberFormat="1" applyFont="1" applyFill="1" applyBorder="1" applyAlignment="1">
      <alignment wrapText="1"/>
    </xf>
    <xf numFmtId="0" fontId="7" fillId="20" borderId="159" xfId="0" applyFont="1" applyFill="1" applyBorder="1"/>
    <xf numFmtId="49" fontId="5" fillId="20" borderId="54" xfId="0" applyNumberFormat="1" applyFont="1" applyFill="1" applyBorder="1"/>
    <xf numFmtId="49" fontId="5" fillId="20" borderId="6" xfId="0" applyNumberFormat="1" applyFont="1" applyFill="1" applyBorder="1" applyAlignment="1">
      <alignment wrapText="1"/>
    </xf>
    <xf numFmtId="49" fontId="5" fillId="20" borderId="3" xfId="0" applyNumberFormat="1" applyFont="1" applyFill="1" applyBorder="1" applyAlignment="1">
      <alignment wrapText="1"/>
    </xf>
    <xf numFmtId="49" fontId="5" fillId="20" borderId="171" xfId="0" applyNumberFormat="1" applyFont="1" applyFill="1" applyBorder="1" applyAlignment="1">
      <alignment wrapText="1"/>
    </xf>
    <xf numFmtId="0" fontId="7" fillId="20" borderId="182" xfId="0" applyFont="1" applyFill="1" applyBorder="1"/>
    <xf numFmtId="49" fontId="5" fillId="20" borderId="12" xfId="0" applyNumberFormat="1" applyFont="1" applyFill="1" applyBorder="1"/>
    <xf numFmtId="49" fontId="5" fillId="20" borderId="53" xfId="0" applyNumberFormat="1" applyFont="1" applyFill="1" applyBorder="1"/>
    <xf numFmtId="49" fontId="5" fillId="20" borderId="53" xfId="0" applyNumberFormat="1" applyFont="1" applyFill="1" applyBorder="1" applyAlignment="1">
      <alignment wrapText="1"/>
    </xf>
    <xf numFmtId="49" fontId="5" fillId="20" borderId="6" xfId="11" applyNumberFormat="1" applyFont="1" applyFill="1" applyBorder="1"/>
    <xf numFmtId="49" fontId="5" fillId="20" borderId="125" xfId="0" applyNumberFormat="1" applyFont="1" applyFill="1" applyBorder="1" applyAlignment="1">
      <alignment horizontal="left"/>
    </xf>
    <xf numFmtId="49" fontId="5" fillId="20" borderId="165" xfId="11" applyNumberFormat="1" applyFont="1" applyFill="1" applyBorder="1"/>
    <xf numFmtId="49" fontId="5" fillId="20" borderId="122" xfId="0" applyNumberFormat="1" applyFont="1" applyFill="1" applyBorder="1" applyAlignment="1">
      <alignment horizontal="left"/>
    </xf>
    <xf numFmtId="49" fontId="5" fillId="20" borderId="55" xfId="11" applyNumberFormat="1" applyFont="1" applyFill="1" applyBorder="1"/>
    <xf numFmtId="49" fontId="5" fillId="20" borderId="162" xfId="11" applyNumberFormat="1" applyFont="1" applyFill="1" applyBorder="1"/>
    <xf numFmtId="49" fontId="5" fillId="20" borderId="171" xfId="11" applyNumberFormat="1" applyFont="1" applyFill="1" applyBorder="1"/>
    <xf numFmtId="49" fontId="5" fillId="20" borderId="6" xfId="0" applyNumberFormat="1" applyFont="1" applyFill="1" applyBorder="1"/>
    <xf numFmtId="49" fontId="5" fillId="20" borderId="87" xfId="11" applyNumberFormat="1" applyFont="1" applyFill="1" applyBorder="1"/>
    <xf numFmtId="49" fontId="5" fillId="20" borderId="24" xfId="0" applyNumberFormat="1" applyFont="1" applyFill="1" applyBorder="1" applyAlignment="1">
      <alignment horizontal="left"/>
    </xf>
    <xf numFmtId="49" fontId="5" fillId="20" borderId="71" xfId="11" applyNumberFormat="1" applyFont="1" applyFill="1" applyBorder="1"/>
    <xf numFmtId="49" fontId="5" fillId="20" borderId="12" xfId="11" applyNumberFormat="1" applyFont="1" applyFill="1" applyBorder="1"/>
    <xf numFmtId="0" fontId="5" fillId="20" borderId="0" xfId="0" applyFont="1" applyFill="1" applyAlignment="1">
      <alignment horizontal="center"/>
    </xf>
    <xf numFmtId="0" fontId="4" fillId="20" borderId="38" xfId="0" applyFont="1" applyFill="1" applyBorder="1"/>
    <xf numFmtId="0" fontId="5" fillId="20" borderId="57" xfId="0" applyFont="1" applyFill="1" applyBorder="1"/>
    <xf numFmtId="0" fontId="11" fillId="20" borderId="38" xfId="0" applyFont="1" applyFill="1" applyBorder="1"/>
    <xf numFmtId="0" fontId="4" fillId="20" borderId="0" xfId="0" applyFont="1" applyFill="1"/>
    <xf numFmtId="0" fontId="11" fillId="20" borderId="139" xfId="0" applyFont="1" applyFill="1" applyBorder="1"/>
    <xf numFmtId="0" fontId="9" fillId="20" borderId="119" xfId="0" applyFont="1" applyFill="1" applyBorder="1"/>
    <xf numFmtId="0" fontId="4" fillId="20" borderId="119" xfId="0" applyFont="1" applyFill="1" applyBorder="1"/>
    <xf numFmtId="0" fontId="9" fillId="20" borderId="0" xfId="0" applyFont="1" applyFill="1"/>
    <xf numFmtId="0" fontId="9" fillId="20" borderId="0" xfId="0" applyFont="1" applyFill="1" applyAlignment="1">
      <alignment horizontal="left" vertical="top" wrapText="1"/>
    </xf>
    <xf numFmtId="0" fontId="4" fillId="20" borderId="0" xfId="0" applyFont="1" applyFill="1" applyAlignment="1">
      <alignment horizontal="left" vertical="top" wrapText="1"/>
    </xf>
    <xf numFmtId="49" fontId="5" fillId="20" borderId="36" xfId="5" applyNumberFormat="1" applyFont="1" applyFill="1" applyBorder="1" applyAlignment="1">
      <alignment horizontal="left"/>
    </xf>
    <xf numFmtId="0" fontId="5" fillId="20" borderId="113" xfId="5" applyFont="1" applyFill="1" applyBorder="1"/>
    <xf numFmtId="0" fontId="5" fillId="20" borderId="115" xfId="5" applyFont="1" applyFill="1" applyBorder="1"/>
    <xf numFmtId="0" fontId="5" fillId="20" borderId="119" xfId="5" applyFont="1" applyFill="1" applyBorder="1"/>
    <xf numFmtId="49" fontId="5" fillId="20" borderId="57" xfId="5" applyNumberFormat="1" applyFont="1" applyFill="1" applyBorder="1" applyAlignment="1">
      <alignment horizontal="left" vertical="top"/>
    </xf>
    <xf numFmtId="0" fontId="5" fillId="20" borderId="15" xfId="5" applyFont="1" applyFill="1" applyBorder="1"/>
    <xf numFmtId="0" fontId="26" fillId="20" borderId="155" xfId="5" applyFill="1" applyBorder="1"/>
    <xf numFmtId="0" fontId="26" fillId="20" borderId="67" xfId="5" applyFill="1" applyBorder="1"/>
    <xf numFmtId="3" fontId="5" fillId="20" borderId="160" xfId="5" applyNumberFormat="1" applyFont="1" applyFill="1" applyBorder="1" applyAlignment="1">
      <alignment wrapText="1"/>
    </xf>
    <xf numFmtId="3" fontId="5" fillId="20" borderId="153" xfId="5" applyNumberFormat="1" applyFont="1" applyFill="1" applyBorder="1"/>
    <xf numFmtId="0" fontId="5" fillId="20" borderId="153" xfId="5" applyFont="1" applyFill="1" applyBorder="1"/>
    <xf numFmtId="49" fontId="5" fillId="20" borderId="57" xfId="5" applyNumberFormat="1" applyFont="1" applyFill="1" applyBorder="1" applyAlignment="1">
      <alignment horizontal="left"/>
    </xf>
    <xf numFmtId="0" fontId="5" fillId="20" borderId="55" xfId="5" applyFont="1" applyFill="1" applyBorder="1"/>
    <xf numFmtId="3" fontId="5" fillId="20" borderId="16" xfId="5" applyNumberFormat="1" applyFont="1" applyFill="1" applyBorder="1"/>
    <xf numFmtId="49" fontId="9" fillId="20" borderId="57" xfId="5" applyNumberFormat="1" applyFont="1" applyFill="1" applyBorder="1" applyAlignment="1">
      <alignment horizontal="left"/>
    </xf>
    <xf numFmtId="0" fontId="5" fillId="20" borderId="162" xfId="5" applyFont="1" applyFill="1" applyBorder="1"/>
    <xf numFmtId="0" fontId="5" fillId="20" borderId="153" xfId="5" applyFont="1" applyFill="1" applyBorder="1" applyAlignment="1">
      <alignment horizontal="left"/>
    </xf>
    <xf numFmtId="0" fontId="7" fillId="20" borderId="162" xfId="5" applyFont="1" applyFill="1" applyBorder="1"/>
    <xf numFmtId="49" fontId="7" fillId="20" borderId="57" xfId="5" applyNumberFormat="1" applyFont="1" applyFill="1" applyBorder="1" applyAlignment="1">
      <alignment horizontal="left"/>
    </xf>
    <xf numFmtId="0" fontId="9" fillId="20" borderId="170" xfId="5" applyFont="1" applyFill="1" applyBorder="1"/>
    <xf numFmtId="0" fontId="5" fillId="20" borderId="170" xfId="5" applyFont="1" applyFill="1" applyBorder="1"/>
    <xf numFmtId="0" fontId="7" fillId="20" borderId="35" xfId="5" applyFont="1" applyFill="1" applyBorder="1" applyAlignment="1">
      <alignment horizontal="left"/>
    </xf>
    <xf numFmtId="0" fontId="7" fillId="20" borderId="35" xfId="5" applyFont="1" applyFill="1" applyBorder="1"/>
    <xf numFmtId="0" fontId="5" fillId="20" borderId="2" xfId="5" applyFont="1" applyFill="1" applyBorder="1" applyAlignment="1">
      <alignment horizontal="left"/>
    </xf>
    <xf numFmtId="0" fontId="5" fillId="20" borderId="2" xfId="5" applyFont="1" applyFill="1" applyBorder="1"/>
    <xf numFmtId="0" fontId="5" fillId="20" borderId="5" xfId="5" applyFont="1" applyFill="1" applyBorder="1"/>
    <xf numFmtId="1" fontId="7" fillId="20" borderId="49" xfId="5" applyNumberFormat="1" applyFont="1" applyFill="1" applyBorder="1" applyAlignment="1">
      <alignment horizontal="left"/>
    </xf>
    <xf numFmtId="0" fontId="7" fillId="20" borderId="5" xfId="5" applyFont="1" applyFill="1" applyBorder="1"/>
    <xf numFmtId="1" fontId="5" fillId="20" borderId="50" xfId="5" applyNumberFormat="1" applyFont="1" applyFill="1" applyBorder="1" applyAlignment="1">
      <alignment horizontal="left"/>
    </xf>
    <xf numFmtId="0" fontId="7" fillId="20" borderId="2" xfId="5" applyFont="1" applyFill="1" applyBorder="1" applyAlignment="1">
      <alignment horizontal="left"/>
    </xf>
    <xf numFmtId="0" fontId="7" fillId="20" borderId="2" xfId="5" applyFont="1" applyFill="1" applyBorder="1" applyAlignment="1">
      <alignment wrapText="1"/>
    </xf>
    <xf numFmtId="0" fontId="7" fillId="20" borderId="5" xfId="5" applyFont="1" applyFill="1" applyBorder="1" applyAlignment="1">
      <alignment wrapText="1"/>
    </xf>
    <xf numFmtId="1" fontId="5" fillId="20" borderId="50" xfId="5" applyNumberFormat="1" applyFont="1" applyFill="1" applyBorder="1"/>
    <xf numFmtId="1" fontId="7" fillId="20" borderId="186" xfId="5" applyNumberFormat="1" applyFont="1" applyFill="1" applyBorder="1" applyAlignment="1">
      <alignment horizontal="left"/>
    </xf>
    <xf numFmtId="0" fontId="7" fillId="20" borderId="9" xfId="5" applyFont="1" applyFill="1" applyBorder="1"/>
    <xf numFmtId="1" fontId="5" fillId="20" borderId="49" xfId="5" applyNumberFormat="1" applyFont="1" applyFill="1" applyBorder="1" applyAlignment="1">
      <alignment horizontal="left"/>
    </xf>
    <xf numFmtId="49" fontId="5" fillId="20" borderId="5" xfId="5" applyNumberFormat="1" applyFont="1" applyFill="1" applyBorder="1" applyAlignment="1">
      <alignment horizontal="left"/>
    </xf>
    <xf numFmtId="0" fontId="5" fillId="20" borderId="6" xfId="5" applyFont="1" applyFill="1" applyBorder="1" applyAlignment="1">
      <alignment wrapText="1"/>
    </xf>
    <xf numFmtId="3" fontId="4" fillId="20" borderId="5" xfId="5" applyNumberFormat="1" applyFont="1" applyFill="1" applyBorder="1"/>
    <xf numFmtId="3" fontId="47" fillId="20" borderId="5" xfId="5" applyNumberFormat="1" applyFont="1" applyFill="1" applyBorder="1" applyAlignment="1">
      <alignment horizontal="right"/>
    </xf>
    <xf numFmtId="3" fontId="47" fillId="20" borderId="2" xfId="5" applyNumberFormat="1" applyFont="1" applyFill="1" applyBorder="1" applyAlignment="1">
      <alignment horizontal="right"/>
    </xf>
    <xf numFmtId="3" fontId="44" fillId="20" borderId="11" xfId="5" applyNumberFormat="1" applyFont="1" applyFill="1" applyBorder="1" applyAlignment="1">
      <alignment horizontal="right"/>
    </xf>
    <xf numFmtId="3" fontId="44" fillId="20" borderId="165" xfId="5" applyNumberFormat="1" applyFont="1" applyFill="1" applyBorder="1" applyAlignment="1">
      <alignment horizontal="right"/>
    </xf>
    <xf numFmtId="3" fontId="44" fillId="20" borderId="0" xfId="5" applyNumberFormat="1" applyFont="1" applyFill="1" applyAlignment="1">
      <alignment horizontal="right"/>
    </xf>
    <xf numFmtId="3" fontId="44" fillId="20" borderId="81" xfId="5" applyNumberFormat="1" applyFont="1" applyFill="1" applyBorder="1" applyAlignment="1">
      <alignment horizontal="right"/>
    </xf>
    <xf numFmtId="3" fontId="44" fillId="20" borderId="38" xfId="5" applyNumberFormat="1" applyFont="1" applyFill="1" applyBorder="1" applyAlignment="1">
      <alignment horizontal="right"/>
    </xf>
    <xf numFmtId="3" fontId="4" fillId="20" borderId="9" xfId="5" applyNumberFormat="1" applyFont="1" applyFill="1" applyBorder="1"/>
    <xf numFmtId="3" fontId="47" fillId="20" borderId="9" xfId="5" applyNumberFormat="1" applyFont="1" applyFill="1" applyBorder="1"/>
    <xf numFmtId="3" fontId="4" fillId="20" borderId="2" xfId="5" applyNumberFormat="1" applyFont="1" applyFill="1" applyBorder="1" applyAlignment="1">
      <alignment horizontal="right"/>
    </xf>
    <xf numFmtId="3" fontId="4" fillId="20" borderId="5" xfId="5" applyNumberFormat="1" applyFont="1" applyFill="1" applyBorder="1" applyAlignment="1">
      <alignment horizontal="right"/>
    </xf>
    <xf numFmtId="3" fontId="4" fillId="20" borderId="9" xfId="5" applyNumberFormat="1" applyFont="1" applyFill="1" applyBorder="1" applyAlignment="1">
      <alignment horizontal="right"/>
    </xf>
    <xf numFmtId="0" fontId="4" fillId="20" borderId="0" xfId="5" applyFont="1" applyFill="1"/>
    <xf numFmtId="0" fontId="26" fillId="20" borderId="0" xfId="5" applyFill="1"/>
    <xf numFmtId="3" fontId="39" fillId="20" borderId="0" xfId="5" applyNumberFormat="1" applyFont="1" applyFill="1"/>
    <xf numFmtId="0" fontId="5" fillId="20" borderId="148" xfId="5" applyFont="1" applyFill="1" applyBorder="1"/>
    <xf numFmtId="1" fontId="7" fillId="20" borderId="187" xfId="5" applyNumberFormat="1" applyFont="1" applyFill="1" applyBorder="1" applyAlignment="1">
      <alignment horizontal="left"/>
    </xf>
    <xf numFmtId="0" fontId="7" fillId="20" borderId="161" xfId="5" applyFont="1" applyFill="1" applyBorder="1"/>
    <xf numFmtId="0" fontId="5" fillId="20" borderId="3" xfId="5" applyFont="1" applyFill="1" applyBorder="1"/>
    <xf numFmtId="0" fontId="5" fillId="20" borderId="6" xfId="5" applyFont="1" applyFill="1" applyBorder="1"/>
    <xf numFmtId="1" fontId="7" fillId="20" borderId="57" xfId="5" applyNumberFormat="1" applyFont="1" applyFill="1" applyBorder="1" applyAlignment="1">
      <alignment horizontal="left"/>
    </xf>
    <xf numFmtId="1" fontId="5" fillId="20" borderId="57" xfId="5" applyNumberFormat="1" applyFont="1" applyFill="1" applyBorder="1" applyAlignment="1">
      <alignment horizontal="left"/>
    </xf>
    <xf numFmtId="1" fontId="7" fillId="20" borderId="120" xfId="5" applyNumberFormat="1" applyFont="1" applyFill="1" applyBorder="1" applyAlignment="1">
      <alignment horizontal="left"/>
    </xf>
    <xf numFmtId="0" fontId="7" fillId="20" borderId="109" xfId="5" applyFont="1" applyFill="1" applyBorder="1"/>
    <xf numFmtId="0" fontId="5" fillId="20" borderId="71" xfId="5" applyFont="1" applyFill="1" applyBorder="1"/>
    <xf numFmtId="3" fontId="5" fillId="20" borderId="55" xfId="0" applyNumberFormat="1" applyFont="1" applyFill="1" applyBorder="1"/>
    <xf numFmtId="49" fontId="9" fillId="20" borderId="57" xfId="0" applyNumberFormat="1" applyFont="1" applyFill="1" applyBorder="1" applyAlignment="1">
      <alignment horizontal="left"/>
    </xf>
    <xf numFmtId="49" fontId="14" fillId="20" borderId="57" xfId="0" applyNumberFormat="1" applyFont="1" applyFill="1" applyBorder="1" applyAlignment="1">
      <alignment horizontal="left"/>
    </xf>
    <xf numFmtId="1" fontId="7" fillId="20" borderId="129" xfId="0" applyNumberFormat="1" applyFont="1" applyFill="1" applyBorder="1" applyAlignment="1">
      <alignment horizontal="left"/>
    </xf>
    <xf numFmtId="1" fontId="5" fillId="20" borderId="22" xfId="0" applyNumberFormat="1" applyFont="1" applyFill="1" applyBorder="1" applyAlignment="1">
      <alignment horizontal="left"/>
    </xf>
    <xf numFmtId="1" fontId="7" fillId="20" borderId="22" xfId="0" applyNumberFormat="1" applyFont="1" applyFill="1" applyBorder="1" applyAlignment="1">
      <alignment horizontal="left"/>
    </xf>
    <xf numFmtId="1" fontId="7" fillId="20" borderId="125" xfId="0" applyNumberFormat="1" applyFont="1" applyFill="1" applyBorder="1" applyAlignment="1">
      <alignment horizontal="left"/>
    </xf>
    <xf numFmtId="3" fontId="5" fillId="20" borderId="184" xfId="0" applyNumberFormat="1" applyFont="1" applyFill="1" applyBorder="1" applyAlignment="1">
      <alignment wrapText="1"/>
    </xf>
    <xf numFmtId="3" fontId="5" fillId="20" borderId="43" xfId="0" applyNumberFormat="1" applyFont="1" applyFill="1" applyBorder="1"/>
    <xf numFmtId="3" fontId="5" fillId="20" borderId="0" xfId="0" applyNumberFormat="1" applyFont="1" applyFill="1"/>
    <xf numFmtId="0" fontId="11" fillId="20" borderId="170" xfId="0" applyFont="1" applyFill="1" applyBorder="1" applyAlignment="1">
      <alignment horizontal="left" wrapText="1"/>
    </xf>
    <xf numFmtId="0" fontId="11" fillId="20" borderId="170" xfId="0" applyFont="1" applyFill="1" applyBorder="1" applyAlignment="1">
      <alignment horizontal="left"/>
    </xf>
    <xf numFmtId="3" fontId="4" fillId="20" borderId="131" xfId="0" applyNumberFormat="1" applyFont="1" applyFill="1" applyBorder="1" applyAlignment="1">
      <alignment horizontal="right"/>
    </xf>
    <xf numFmtId="3" fontId="47" fillId="20" borderId="35" xfId="0" quotePrefix="1" applyNumberFormat="1" applyFont="1" applyFill="1" applyBorder="1" applyAlignment="1">
      <alignment horizontal="right"/>
    </xf>
    <xf numFmtId="3" fontId="4" fillId="20" borderId="5" xfId="0" applyNumberFormat="1" applyFont="1" applyFill="1" applyBorder="1" applyAlignment="1">
      <alignment horizontal="right"/>
    </xf>
    <xf numFmtId="3" fontId="47" fillId="20" borderId="2" xfId="0" applyNumberFormat="1" applyFont="1" applyFill="1" applyBorder="1" applyAlignment="1">
      <alignment horizontal="right"/>
    </xf>
    <xf numFmtId="3" fontId="47" fillId="20" borderId="5" xfId="0" applyNumberFormat="1" applyFont="1" applyFill="1" applyBorder="1" applyAlignment="1">
      <alignment horizontal="right"/>
    </xf>
    <xf numFmtId="3" fontId="4" fillId="20" borderId="165" xfId="0" applyNumberFormat="1" applyFont="1" applyFill="1" applyBorder="1" applyAlignment="1">
      <alignment horizontal="right"/>
    </xf>
    <xf numFmtId="3" fontId="47" fillId="20" borderId="11" xfId="0" applyNumberFormat="1" applyFont="1" applyFill="1" applyBorder="1" applyAlignment="1">
      <alignment horizontal="right"/>
    </xf>
    <xf numFmtId="3" fontId="4" fillId="20" borderId="81" xfId="0" applyNumberFormat="1" applyFont="1" applyFill="1" applyBorder="1" applyAlignment="1">
      <alignment horizontal="right"/>
    </xf>
    <xf numFmtId="3" fontId="4" fillId="20" borderId="2" xfId="0" applyNumberFormat="1" applyFont="1" applyFill="1" applyBorder="1" applyAlignment="1">
      <alignment horizontal="right"/>
    </xf>
    <xf numFmtId="3" fontId="4" fillId="20" borderId="25" xfId="0" applyNumberFormat="1" applyFont="1" applyFill="1" applyBorder="1" applyAlignment="1">
      <alignment horizontal="right"/>
    </xf>
    <xf numFmtId="3" fontId="47" fillId="20" borderId="13" xfId="0" quotePrefix="1" applyNumberFormat="1" applyFont="1" applyFill="1" applyBorder="1" applyAlignment="1">
      <alignment horizontal="right"/>
    </xf>
    <xf numFmtId="3" fontId="47" fillId="20" borderId="15" xfId="0" applyNumberFormat="1" applyFont="1" applyFill="1" applyBorder="1" applyAlignment="1">
      <alignment horizontal="right"/>
    </xf>
    <xf numFmtId="3" fontId="4" fillId="9" borderId="20" xfId="0" applyNumberFormat="1" applyFont="1" applyFill="1" applyBorder="1"/>
    <xf numFmtId="3" fontId="4" fillId="9" borderId="19" xfId="0" applyNumberFormat="1" applyFont="1" applyFill="1" applyBorder="1"/>
    <xf numFmtId="172" fontId="38" fillId="0" borderId="0" xfId="0" applyNumberFormat="1" applyFont="1" applyAlignment="1">
      <alignment horizontal="left" vertical="justify" wrapText="1"/>
    </xf>
    <xf numFmtId="0" fontId="5" fillId="20" borderId="113" xfId="0" applyFont="1" applyFill="1" applyBorder="1" applyAlignment="1">
      <alignment horizontal="right"/>
    </xf>
    <xf numFmtId="0" fontId="10" fillId="20" borderId="93" xfId="0" applyFont="1" applyFill="1" applyBorder="1" applyAlignment="1">
      <alignment horizontal="center"/>
    </xf>
    <xf numFmtId="0" fontId="10" fillId="20" borderId="122" xfId="0" applyFont="1" applyFill="1" applyBorder="1" applyAlignment="1">
      <alignment horizontal="center"/>
    </xf>
    <xf numFmtId="0" fontId="10" fillId="20" borderId="125" xfId="0" applyFont="1" applyFill="1" applyBorder="1" applyAlignment="1">
      <alignment horizontal="center"/>
    </xf>
    <xf numFmtId="0" fontId="5" fillId="20" borderId="93" xfId="0" applyFont="1" applyFill="1" applyBorder="1" applyAlignment="1">
      <alignment horizontal="center"/>
    </xf>
    <xf numFmtId="0" fontId="10" fillId="0" borderId="119" xfId="0" applyFont="1" applyBorder="1" applyAlignment="1">
      <alignment horizontal="center"/>
    </xf>
    <xf numFmtId="0" fontId="5" fillId="0" borderId="119" xfId="0" applyFont="1" applyBorder="1" applyAlignment="1">
      <alignment horizontal="right"/>
    </xf>
    <xf numFmtId="0" fontId="38" fillId="0" borderId="0" xfId="0" applyFont="1" applyAlignment="1">
      <alignment horizontal="right"/>
    </xf>
    <xf numFmtId="49" fontId="26" fillId="2" borderId="119" xfId="0" applyNumberFormat="1" applyFont="1" applyFill="1" applyBorder="1"/>
    <xf numFmtId="0" fontId="26" fillId="2" borderId="119" xfId="0" applyFont="1" applyFill="1" applyBorder="1"/>
    <xf numFmtId="0" fontId="10" fillId="2" borderId="119" xfId="0" applyFont="1" applyFill="1" applyBorder="1"/>
    <xf numFmtId="0" fontId="4" fillId="0" borderId="0" xfId="0" applyFont="1" applyAlignment="1">
      <alignment vertical="top"/>
    </xf>
    <xf numFmtId="0" fontId="26" fillId="2" borderId="0" xfId="0" applyFont="1" applyFill="1" applyAlignment="1">
      <alignment vertical="top"/>
    </xf>
    <xf numFmtId="0" fontId="4" fillId="0" borderId="66" xfId="0" applyFont="1" applyBorder="1" applyAlignment="1">
      <alignment vertical="top"/>
    </xf>
    <xf numFmtId="0" fontId="4" fillId="0" borderId="1" xfId="0" applyFont="1" applyBorder="1" applyAlignment="1">
      <alignment vertical="top"/>
    </xf>
    <xf numFmtId="0" fontId="4" fillId="0" borderId="0" xfId="0" applyFont="1" applyAlignment="1">
      <alignment vertical="top" wrapText="1"/>
    </xf>
    <xf numFmtId="0" fontId="0" fillId="0" borderId="0" xfId="0" applyAlignment="1">
      <alignment vertical="top" wrapText="1"/>
    </xf>
    <xf numFmtId="0" fontId="0" fillId="0" borderId="0" xfId="0" applyAlignment="1">
      <alignment wrapText="1"/>
    </xf>
    <xf numFmtId="0" fontId="39" fillId="0" borderId="57" xfId="0" applyFont="1" applyBorder="1"/>
    <xf numFmtId="0" fontId="39" fillId="0" borderId="0" xfId="0" applyFont="1"/>
    <xf numFmtId="0" fontId="113" fillId="0" borderId="0" xfId="0" applyFont="1"/>
    <xf numFmtId="0" fontId="7" fillId="20" borderId="41" xfId="0" applyFont="1" applyFill="1" applyBorder="1" applyAlignment="1">
      <alignment wrapText="1"/>
    </xf>
    <xf numFmtId="3" fontId="4" fillId="27" borderId="18" xfId="0" applyNumberFormat="1" applyFont="1" applyFill="1" applyBorder="1" applyAlignment="1">
      <alignment horizontal="right"/>
    </xf>
    <xf numFmtId="3" fontId="4" fillId="20" borderId="113" xfId="0" applyNumberFormat="1" applyFont="1" applyFill="1" applyBorder="1" applyAlignment="1">
      <alignment horizontal="right"/>
    </xf>
    <xf numFmtId="3" fontId="4" fillId="20" borderId="13" xfId="0" applyNumberFormat="1" applyFont="1" applyFill="1" applyBorder="1" applyAlignment="1">
      <alignment horizontal="right"/>
    </xf>
    <xf numFmtId="3" fontId="12" fillId="27" borderId="7" xfId="0" applyNumberFormat="1" applyFont="1" applyFill="1" applyBorder="1"/>
    <xf numFmtId="3" fontId="12" fillId="27" borderId="5" xfId="0" applyNumberFormat="1" applyFont="1" applyFill="1" applyBorder="1"/>
    <xf numFmtId="3" fontId="12" fillId="27" borderId="19" xfId="0" applyNumberFormat="1" applyFont="1" applyFill="1" applyBorder="1"/>
    <xf numFmtId="0" fontId="38" fillId="20" borderId="38" xfId="0" applyFont="1" applyFill="1" applyBorder="1"/>
    <xf numFmtId="49" fontId="4" fillId="10" borderId="134" xfId="0" applyNumberFormat="1" applyFont="1" applyFill="1" applyBorder="1"/>
    <xf numFmtId="0" fontId="38" fillId="20" borderId="57" xfId="0" applyFont="1" applyFill="1" applyBorder="1"/>
    <xf numFmtId="0" fontId="117" fillId="7" borderId="0" xfId="0" applyFont="1" applyFill="1"/>
    <xf numFmtId="1" fontId="5" fillId="20" borderId="188" xfId="0" applyNumberFormat="1" applyFont="1" applyFill="1" applyBorder="1" applyAlignment="1">
      <alignment horizontal="center" wrapText="1"/>
    </xf>
    <xf numFmtId="3" fontId="113" fillId="0" borderId="0" xfId="0" quotePrefix="1" applyNumberFormat="1" applyFont="1" applyAlignment="1">
      <alignment horizontal="left"/>
    </xf>
    <xf numFmtId="49" fontId="5" fillId="0" borderId="0" xfId="0" applyNumberFormat="1" applyFont="1" applyAlignment="1">
      <alignment horizontal="left"/>
    </xf>
    <xf numFmtId="1" fontId="7" fillId="0" borderId="0" xfId="0" applyNumberFormat="1" applyFont="1" applyAlignment="1">
      <alignment horizontal="left"/>
    </xf>
    <xf numFmtId="0" fontId="113" fillId="2" borderId="0" xfId="0" applyFont="1" applyFill="1"/>
    <xf numFmtId="0" fontId="7" fillId="20" borderId="69" xfId="0" applyFont="1" applyFill="1" applyBorder="1" applyAlignment="1">
      <alignment horizontal="left"/>
    </xf>
    <xf numFmtId="167" fontId="47" fillId="20" borderId="0" xfId="0" applyNumberFormat="1" applyFont="1" applyFill="1"/>
    <xf numFmtId="3" fontId="47" fillId="21" borderId="0" xfId="0" applyNumberFormat="1" applyFont="1" applyFill="1" applyAlignment="1">
      <alignment horizontal="right"/>
    </xf>
    <xf numFmtId="3" fontId="47" fillId="22" borderId="0" xfId="0" applyNumberFormat="1" applyFont="1" applyFill="1"/>
    <xf numFmtId="167" fontId="47" fillId="0" borderId="0" xfId="0" applyNumberFormat="1" applyFont="1"/>
    <xf numFmtId="3" fontId="47" fillId="0" borderId="0" xfId="0" applyNumberFormat="1" applyFont="1" applyAlignment="1">
      <alignment horizontal="right"/>
    </xf>
    <xf numFmtId="3" fontId="47" fillId="0" borderId="0" xfId="0" applyNumberFormat="1" applyFont="1"/>
    <xf numFmtId="3" fontId="47" fillId="21" borderId="117" xfId="0" applyNumberFormat="1" applyFont="1" applyFill="1" applyBorder="1"/>
    <xf numFmtId="3" fontId="12" fillId="0" borderId="10" xfId="0" applyNumberFormat="1" applyFont="1" applyBorder="1" applyAlignment="1" applyProtection="1">
      <alignment horizontal="right"/>
      <protection locked="0"/>
    </xf>
    <xf numFmtId="3" fontId="15" fillId="0" borderId="71" xfId="0" applyNumberFormat="1" applyFont="1" applyBorder="1" applyAlignment="1" applyProtection="1">
      <alignment horizontal="right"/>
      <protection locked="0"/>
    </xf>
    <xf numFmtId="49" fontId="10" fillId="20" borderId="189" xfId="0" applyNumberFormat="1" applyFont="1" applyFill="1" applyBorder="1" applyAlignment="1">
      <alignment horizontal="center"/>
    </xf>
    <xf numFmtId="1" fontId="10" fillId="20" borderId="190" xfId="0" applyNumberFormat="1" applyFont="1" applyFill="1" applyBorder="1" applyAlignment="1">
      <alignment horizontal="center"/>
    </xf>
    <xf numFmtId="1" fontId="10" fillId="20" borderId="190" xfId="0" applyNumberFormat="1" applyFont="1" applyFill="1" applyBorder="1" applyAlignment="1">
      <alignment horizontal="left"/>
    </xf>
    <xf numFmtId="3" fontId="15" fillId="2" borderId="191" xfId="0" applyNumberFormat="1" applyFont="1" applyFill="1" applyBorder="1" applyAlignment="1" applyProtection="1">
      <alignment horizontal="right"/>
      <protection locked="0"/>
    </xf>
    <xf numFmtId="0" fontId="26" fillId="20" borderId="152" xfId="0" applyFont="1" applyFill="1" applyBorder="1" applyAlignment="1">
      <alignment horizontal="left" wrapText="1"/>
    </xf>
    <xf numFmtId="0" fontId="5" fillId="20" borderId="151" xfId="0" applyFont="1" applyFill="1" applyBorder="1" applyAlignment="1">
      <alignment vertical="top" wrapText="1"/>
    </xf>
    <xf numFmtId="49" fontId="5" fillId="20" borderId="128" xfId="0" applyNumberFormat="1" applyFont="1" applyFill="1" applyBorder="1" applyAlignment="1">
      <alignment horizontal="left"/>
    </xf>
    <xf numFmtId="0" fontId="10" fillId="0" borderId="0" xfId="0" applyFont="1" applyAlignment="1">
      <alignment horizontal="center"/>
    </xf>
    <xf numFmtId="3" fontId="4" fillId="3" borderId="39" xfId="0" applyNumberFormat="1" applyFont="1" applyFill="1" applyBorder="1"/>
    <xf numFmtId="3" fontId="5" fillId="20" borderId="155" xfId="0" applyNumberFormat="1" applyFont="1" applyFill="1" applyBorder="1" applyAlignment="1">
      <alignment horizontal="left" vertical="top" wrapText="1"/>
    </xf>
    <xf numFmtId="0" fontId="5" fillId="20" borderId="55" xfId="0" applyFont="1" applyFill="1" applyBorder="1" applyAlignment="1">
      <alignment vertical="top" wrapText="1"/>
    </xf>
    <xf numFmtId="0" fontId="5" fillId="20" borderId="61" xfId="0" applyFont="1" applyFill="1" applyBorder="1"/>
    <xf numFmtId="3" fontId="5" fillId="20" borderId="152" xfId="0" applyNumberFormat="1" applyFont="1" applyFill="1" applyBorder="1" applyAlignment="1">
      <alignment vertical="top" wrapText="1"/>
    </xf>
    <xf numFmtId="3" fontId="5" fillId="20" borderId="16" xfId="0" applyNumberFormat="1" applyFont="1" applyFill="1" applyBorder="1" applyAlignment="1">
      <alignment vertical="top" wrapText="1"/>
    </xf>
    <xf numFmtId="0" fontId="5" fillId="20" borderId="93" xfId="0" applyFont="1" applyFill="1" applyBorder="1" applyAlignment="1">
      <alignment vertical="top"/>
    </xf>
    <xf numFmtId="0" fontId="5" fillId="20" borderId="119" xfId="0" applyFont="1" applyFill="1" applyBorder="1" applyAlignment="1">
      <alignment vertical="top"/>
    </xf>
    <xf numFmtId="0" fontId="5" fillId="20" borderId="97" xfId="0" applyFont="1" applyFill="1" applyBorder="1" applyAlignment="1">
      <alignment vertical="top"/>
    </xf>
    <xf numFmtId="0" fontId="5" fillId="20" borderId="91" xfId="0" applyFont="1" applyFill="1" applyBorder="1" applyAlignment="1">
      <alignment vertical="top"/>
    </xf>
    <xf numFmtId="0" fontId="7" fillId="20" borderId="158" xfId="0" applyFont="1" applyFill="1" applyBorder="1" applyAlignment="1">
      <alignment vertical="top"/>
    </xf>
    <xf numFmtId="0" fontId="5" fillId="20" borderId="158" xfId="0" applyFont="1" applyFill="1" applyBorder="1" applyAlignment="1">
      <alignment vertical="top"/>
    </xf>
    <xf numFmtId="0" fontId="5" fillId="20" borderId="192" xfId="0" applyFont="1" applyFill="1" applyBorder="1" applyAlignment="1">
      <alignment vertical="top"/>
    </xf>
    <xf numFmtId="0" fontId="9" fillId="0" borderId="0" xfId="0" applyFont="1" applyAlignment="1">
      <alignment vertical="top"/>
    </xf>
    <xf numFmtId="0" fontId="7" fillId="20" borderId="184" xfId="0" applyFont="1" applyFill="1" applyBorder="1" applyAlignment="1">
      <alignment vertical="center"/>
    </xf>
    <xf numFmtId="0" fontId="7" fillId="20" borderId="193" xfId="0" applyFont="1" applyFill="1" applyBorder="1" applyAlignment="1">
      <alignment vertical="center"/>
    </xf>
    <xf numFmtId="1" fontId="10" fillId="20" borderId="125" xfId="0" applyNumberFormat="1" applyFont="1" applyFill="1" applyBorder="1" applyAlignment="1">
      <alignment horizontal="left"/>
    </xf>
    <xf numFmtId="1" fontId="10" fillId="20" borderId="89" xfId="0" applyNumberFormat="1" applyFont="1" applyFill="1" applyBorder="1" applyAlignment="1">
      <alignment horizontal="left"/>
    </xf>
    <xf numFmtId="3" fontId="10" fillId="20" borderId="7" xfId="0" applyNumberFormat="1" applyFont="1" applyFill="1" applyBorder="1"/>
    <xf numFmtId="0" fontId="5" fillId="20" borderId="96" xfId="5" applyFont="1" applyFill="1" applyBorder="1" applyAlignment="1">
      <alignment horizontal="left" wrapText="1"/>
    </xf>
    <xf numFmtId="0" fontId="5" fillId="20" borderId="55" xfId="5" applyFont="1" applyFill="1" applyBorder="1" applyAlignment="1">
      <alignment horizontal="right"/>
    </xf>
    <xf numFmtId="3" fontId="4" fillId="0" borderId="0" xfId="0" applyNumberFormat="1" applyFont="1"/>
    <xf numFmtId="3" fontId="15" fillId="2" borderId="178" xfId="0" applyNumberFormat="1" applyFont="1" applyFill="1" applyBorder="1" applyAlignment="1" applyProtection="1">
      <alignment horizontal="right"/>
      <protection locked="0"/>
    </xf>
    <xf numFmtId="0" fontId="4" fillId="0" borderId="0" xfId="0" applyFont="1" applyAlignment="1" applyProtection="1">
      <alignment vertical="top" wrapText="1"/>
      <protection locked="0"/>
    </xf>
    <xf numFmtId="0" fontId="5" fillId="20" borderId="83" xfId="0" applyFont="1" applyFill="1" applyBorder="1" applyAlignment="1">
      <alignment vertical="top" wrapText="1"/>
    </xf>
    <xf numFmtId="0" fontId="5" fillId="20" borderId="113" xfId="0" applyFont="1" applyFill="1" applyBorder="1" applyAlignment="1">
      <alignment vertical="top" wrapText="1"/>
    </xf>
    <xf numFmtId="0" fontId="7" fillId="0" borderId="0" xfId="0" applyFont="1" applyAlignment="1">
      <alignment horizontal="right"/>
    </xf>
    <xf numFmtId="3" fontId="5" fillId="20" borderId="43" xfId="5" applyNumberFormat="1" applyFont="1" applyFill="1" applyBorder="1" applyAlignment="1">
      <alignment vertical="center"/>
    </xf>
    <xf numFmtId="3" fontId="7" fillId="20" borderId="153" xfId="5" applyNumberFormat="1" applyFont="1" applyFill="1" applyBorder="1" applyAlignment="1">
      <alignment vertical="top"/>
    </xf>
    <xf numFmtId="3" fontId="108" fillId="20" borderId="15" xfId="0" applyNumberFormat="1" applyFont="1" applyFill="1" applyBorder="1" applyAlignment="1">
      <alignment vertical="center"/>
    </xf>
    <xf numFmtId="0" fontId="7" fillId="20" borderId="119" xfId="0" applyFont="1" applyFill="1" applyBorder="1"/>
    <xf numFmtId="49" fontId="7" fillId="20" borderId="93" xfId="0" applyNumberFormat="1" applyFont="1" applyFill="1" applyBorder="1" applyAlignment="1">
      <alignment horizontal="left"/>
    </xf>
    <xf numFmtId="49" fontId="7" fillId="20" borderId="122" xfId="0" applyNumberFormat="1" applyFont="1" applyFill="1" applyBorder="1" applyAlignment="1">
      <alignment horizontal="left" vertical="top"/>
    </xf>
    <xf numFmtId="49" fontId="4" fillId="10" borderId="152" xfId="0" applyNumberFormat="1" applyFont="1" applyFill="1" applyBorder="1"/>
    <xf numFmtId="3" fontId="48" fillId="17" borderId="38" xfId="0" applyNumberFormat="1" applyFont="1" applyFill="1" applyBorder="1" applyAlignment="1">
      <alignment horizontal="right"/>
    </xf>
    <xf numFmtId="0" fontId="113" fillId="0" borderId="0" xfId="0" applyFont="1" applyAlignment="1">
      <alignment horizontal="right"/>
    </xf>
    <xf numFmtId="0" fontId="96" fillId="0" borderId="0" xfId="0" applyFont="1"/>
    <xf numFmtId="0" fontId="7" fillId="0" borderId="0" xfId="0" applyFont="1" applyAlignment="1">
      <alignment horizontal="center"/>
    </xf>
    <xf numFmtId="0" fontId="113" fillId="0" borderId="0" xfId="0" applyFont="1" applyAlignment="1">
      <alignment horizontal="left"/>
    </xf>
    <xf numFmtId="9" fontId="113" fillId="0" borderId="0" xfId="0" applyNumberFormat="1" applyFont="1" applyAlignment="1">
      <alignment horizontal="right"/>
    </xf>
    <xf numFmtId="0" fontId="5" fillId="0" borderId="0" xfId="0" applyFont="1" applyAlignment="1">
      <alignment horizontal="center"/>
    </xf>
    <xf numFmtId="1" fontId="7" fillId="0" borderId="0" xfId="0" applyNumberFormat="1" applyFont="1" applyAlignment="1">
      <alignment horizontal="center"/>
    </xf>
    <xf numFmtId="0" fontId="100" fillId="0" borderId="0" xfId="0" applyFont="1"/>
    <xf numFmtId="3" fontId="7" fillId="0" borderId="0" xfId="0" applyNumberFormat="1" applyFont="1"/>
    <xf numFmtId="3" fontId="7" fillId="0" borderId="0" xfId="0" applyNumberFormat="1" applyFont="1" applyAlignment="1">
      <alignment horizontal="center" vertical="center" wrapText="1"/>
    </xf>
    <xf numFmtId="49" fontId="5" fillId="20" borderId="9" xfId="0" applyNumberFormat="1" applyFont="1" applyFill="1" applyBorder="1" applyAlignment="1">
      <alignment horizontal="left"/>
    </xf>
    <xf numFmtId="1" fontId="5" fillId="0" borderId="0" xfId="0" applyNumberFormat="1" applyFont="1" applyAlignment="1">
      <alignment horizontal="center"/>
    </xf>
    <xf numFmtId="1" fontId="5" fillId="0" borderId="0" xfId="0" applyNumberFormat="1" applyFont="1" applyAlignment="1">
      <alignment horizontal="left"/>
    </xf>
    <xf numFmtId="49" fontId="5" fillId="0" borderId="0" xfId="0" applyNumberFormat="1" applyFont="1" applyAlignment="1">
      <alignment horizontal="center"/>
    </xf>
    <xf numFmtId="49" fontId="10" fillId="0" borderId="0" xfId="0" applyNumberFormat="1" applyFont="1" applyAlignment="1">
      <alignment horizontal="left"/>
    </xf>
    <xf numFmtId="3" fontId="5" fillId="20" borderId="72" xfId="0" applyNumberFormat="1" applyFont="1" applyFill="1" applyBorder="1"/>
    <xf numFmtId="3" fontId="10" fillId="20" borderId="73" xfId="0" applyNumberFormat="1" applyFont="1" applyFill="1" applyBorder="1"/>
    <xf numFmtId="3" fontId="4" fillId="0" borderId="194" xfId="0" applyNumberFormat="1" applyFont="1" applyBorder="1" applyAlignment="1" applyProtection="1">
      <alignment horizontal="right"/>
      <protection locked="0"/>
    </xf>
    <xf numFmtId="49" fontId="5" fillId="0" borderId="0" xfId="9" applyNumberFormat="1" applyFont="1" applyAlignment="1">
      <alignment horizontal="left"/>
    </xf>
    <xf numFmtId="1" fontId="5" fillId="20" borderId="25" xfId="0" applyNumberFormat="1" applyFont="1" applyFill="1" applyBorder="1" applyAlignment="1">
      <alignment horizontal="left"/>
    </xf>
    <xf numFmtId="0" fontId="5" fillId="20" borderId="69" xfId="0" applyFont="1" applyFill="1" applyBorder="1"/>
    <xf numFmtId="0" fontId="7" fillId="20" borderId="13" xfId="0" applyFont="1" applyFill="1" applyBorder="1" applyAlignment="1">
      <alignment vertical="top" wrapText="1"/>
    </xf>
    <xf numFmtId="0" fontId="18" fillId="20" borderId="25" xfId="0" applyFont="1" applyFill="1" applyBorder="1"/>
    <xf numFmtId="0" fontId="7" fillId="20" borderId="79" xfId="0" applyFont="1" applyFill="1" applyBorder="1" applyAlignment="1">
      <alignment wrapText="1"/>
    </xf>
    <xf numFmtId="1" fontId="5" fillId="20" borderId="13" xfId="0" applyNumberFormat="1" applyFont="1" applyFill="1" applyBorder="1" applyAlignment="1">
      <alignment horizontal="center"/>
    </xf>
    <xf numFmtId="0" fontId="5" fillId="20" borderId="13" xfId="0" applyFont="1" applyFill="1" applyBorder="1"/>
    <xf numFmtId="1" fontId="10" fillId="0" borderId="0" xfId="0" applyNumberFormat="1" applyFont="1" applyAlignment="1">
      <alignment horizontal="center"/>
    </xf>
    <xf numFmtId="1" fontId="5" fillId="0" borderId="0" xfId="0" applyNumberFormat="1" applyFont="1" applyAlignment="1">
      <alignment horizontal="center" vertical="center" wrapText="1"/>
    </xf>
    <xf numFmtId="0" fontId="5" fillId="0" borderId="57" xfId="0" applyFont="1" applyBorder="1" applyAlignment="1">
      <alignment horizontal="center"/>
    </xf>
    <xf numFmtId="0" fontId="5" fillId="0" borderId="57" xfId="0" applyFont="1" applyBorder="1" applyAlignment="1">
      <alignment horizontal="left"/>
    </xf>
    <xf numFmtId="0" fontId="18" fillId="0" borderId="57" xfId="0" applyFont="1" applyBorder="1"/>
    <xf numFmtId="0" fontId="118" fillId="2" borderId="0" xfId="0" applyFont="1" applyFill="1"/>
    <xf numFmtId="0" fontId="118" fillId="28" borderId="0" xfId="0" applyFont="1" applyFill="1"/>
    <xf numFmtId="0" fontId="7" fillId="20" borderId="184" xfId="5" applyFont="1" applyFill="1" applyBorder="1"/>
    <xf numFmtId="3" fontId="7" fillId="20" borderId="151" xfId="5" applyNumberFormat="1" applyFont="1" applyFill="1" applyBorder="1"/>
    <xf numFmtId="0" fontId="7" fillId="20" borderId="112" xfId="5" applyFont="1" applyFill="1" applyBorder="1"/>
    <xf numFmtId="0" fontId="14" fillId="20" borderId="153" xfId="5" applyFont="1" applyFill="1" applyBorder="1"/>
    <xf numFmtId="0" fontId="5" fillId="20" borderId="16" xfId="5" applyFont="1" applyFill="1" applyBorder="1" applyAlignment="1">
      <alignment vertical="top" wrapText="1"/>
    </xf>
    <xf numFmtId="3" fontId="7" fillId="20" borderId="153" xfId="0" applyNumberFormat="1" applyFont="1" applyFill="1" applyBorder="1" applyAlignment="1">
      <alignment vertical="top"/>
    </xf>
    <xf numFmtId="3" fontId="5" fillId="20" borderId="89" xfId="5" applyNumberFormat="1" applyFont="1" applyFill="1" applyBorder="1"/>
    <xf numFmtId="168" fontId="11" fillId="0" borderId="0" xfId="0" applyNumberFormat="1" applyFont="1"/>
    <xf numFmtId="0" fontId="102" fillId="0" borderId="0" xfId="0" applyFont="1"/>
    <xf numFmtId="0" fontId="102" fillId="0" borderId="0" xfId="0" applyFont="1" applyAlignment="1">
      <alignment horizontal="center"/>
    </xf>
    <xf numFmtId="0" fontId="5" fillId="20" borderId="149" xfId="0" applyFont="1" applyFill="1" applyBorder="1" applyAlignment="1">
      <alignment horizontal="left" vertical="top" wrapText="1"/>
    </xf>
    <xf numFmtId="0" fontId="5" fillId="20" borderId="86" xfId="0" applyFont="1" applyFill="1" applyBorder="1" applyAlignment="1">
      <alignment horizontal="left" vertical="top"/>
    </xf>
    <xf numFmtId="3" fontId="5" fillId="20" borderId="26" xfId="0" applyNumberFormat="1" applyFont="1" applyFill="1" applyBorder="1" applyAlignment="1">
      <alignment vertical="top" wrapText="1"/>
    </xf>
    <xf numFmtId="0" fontId="19" fillId="20" borderId="153" xfId="0" applyFont="1" applyFill="1" applyBorder="1" applyAlignment="1">
      <alignment vertical="top" wrapText="1"/>
    </xf>
    <xf numFmtId="0" fontId="5" fillId="20" borderId="168" xfId="0" applyFont="1" applyFill="1" applyBorder="1" applyAlignment="1">
      <alignment horizontal="left" wrapText="1"/>
    </xf>
    <xf numFmtId="0" fontId="19" fillId="20" borderId="152" xfId="0" applyFont="1" applyFill="1" applyBorder="1" applyAlignment="1">
      <alignment vertical="top" wrapText="1"/>
    </xf>
    <xf numFmtId="0" fontId="5" fillId="20" borderId="16" xfId="5" applyFont="1" applyFill="1" applyBorder="1" applyAlignment="1">
      <alignment horizontal="left" vertical="center" wrapText="1"/>
    </xf>
    <xf numFmtId="0" fontId="7" fillId="20" borderId="185" xfId="5" applyFont="1" applyFill="1" applyBorder="1"/>
    <xf numFmtId="0" fontId="114" fillId="2" borderId="0" xfId="0" applyFont="1" applyFill="1"/>
    <xf numFmtId="3" fontId="5" fillId="20" borderId="155" xfId="0" applyNumberFormat="1" applyFont="1" applyFill="1" applyBorder="1" applyAlignment="1">
      <alignment horizontal="left" vertical="top"/>
    </xf>
    <xf numFmtId="3" fontId="4" fillId="2" borderId="3" xfId="0" applyNumberFormat="1" applyFont="1" applyFill="1" applyBorder="1" applyAlignment="1" applyProtection="1">
      <alignment horizontal="right"/>
      <protection locked="0"/>
    </xf>
    <xf numFmtId="3" fontId="4" fillId="3" borderId="3" xfId="0" applyNumberFormat="1" applyFont="1" applyFill="1" applyBorder="1" applyAlignment="1">
      <alignment horizontal="right"/>
    </xf>
    <xf numFmtId="3" fontId="4" fillId="2" borderId="28" xfId="0" applyNumberFormat="1" applyFont="1" applyFill="1" applyBorder="1" applyAlignment="1" applyProtection="1">
      <alignment horizontal="right"/>
      <protection locked="0"/>
    </xf>
    <xf numFmtId="3" fontId="4" fillId="3" borderId="98" xfId="0" applyNumberFormat="1" applyFont="1" applyFill="1" applyBorder="1" applyAlignment="1">
      <alignment horizontal="right"/>
    </xf>
    <xf numFmtId="3" fontId="5" fillId="20" borderId="75" xfId="0" applyNumberFormat="1" applyFont="1" applyFill="1" applyBorder="1"/>
    <xf numFmtId="3" fontId="7" fillId="0" borderId="57" xfId="0" applyNumberFormat="1" applyFont="1" applyBorder="1"/>
    <xf numFmtId="3" fontId="7" fillId="0" borderId="56" xfId="0" applyNumberFormat="1" applyFont="1" applyBorder="1"/>
    <xf numFmtId="0" fontId="26" fillId="2" borderId="57" xfId="0" applyFont="1" applyFill="1" applyBorder="1"/>
    <xf numFmtId="0" fontId="5" fillId="20" borderId="107" xfId="0" applyFont="1" applyFill="1" applyBorder="1"/>
    <xf numFmtId="0" fontId="5" fillId="20" borderId="27" xfId="0" applyFont="1" applyFill="1" applyBorder="1"/>
    <xf numFmtId="3" fontId="4" fillId="21" borderId="0" xfId="0" applyNumberFormat="1" applyFont="1" applyFill="1" applyAlignment="1">
      <alignment horizontal="right"/>
    </xf>
    <xf numFmtId="0" fontId="4" fillId="21" borderId="0" xfId="0" applyFont="1" applyFill="1"/>
    <xf numFmtId="14" fontId="5" fillId="20" borderId="119" xfId="0" applyNumberFormat="1" applyFont="1" applyFill="1" applyBorder="1" applyAlignment="1">
      <alignment horizontal="center"/>
    </xf>
    <xf numFmtId="0" fontId="5" fillId="20" borderId="96" xfId="0" applyFont="1" applyFill="1" applyBorder="1"/>
    <xf numFmtId="14" fontId="5" fillId="20" borderId="90" xfId="0" applyNumberFormat="1" applyFont="1" applyFill="1" applyBorder="1" applyAlignment="1">
      <alignment horizontal="center"/>
    </xf>
    <xf numFmtId="3" fontId="4" fillId="21" borderId="38" xfId="0" applyNumberFormat="1" applyFont="1" applyFill="1" applyBorder="1" applyAlignment="1">
      <alignment horizontal="right"/>
    </xf>
    <xf numFmtId="0" fontId="4" fillId="21" borderId="38" xfId="0" applyFont="1" applyFill="1" applyBorder="1"/>
    <xf numFmtId="14" fontId="5" fillId="20" borderId="0" xfId="0" applyNumberFormat="1" applyFont="1" applyFill="1" applyAlignment="1">
      <alignment horizontal="center"/>
    </xf>
    <xf numFmtId="0" fontId="5" fillId="20" borderId="38" xfId="0" applyFont="1" applyFill="1" applyBorder="1"/>
    <xf numFmtId="0" fontId="5" fillId="20" borderId="66" xfId="0" applyFont="1" applyFill="1" applyBorder="1"/>
    <xf numFmtId="0" fontId="4" fillId="20" borderId="27" xfId="0" applyFont="1" applyFill="1" applyBorder="1"/>
    <xf numFmtId="14" fontId="5" fillId="20" borderId="38" xfId="0" applyNumberFormat="1" applyFont="1" applyFill="1" applyBorder="1" applyAlignment="1">
      <alignment horizontal="center"/>
    </xf>
    <xf numFmtId="49" fontId="4" fillId="10" borderId="37" xfId="0" applyNumberFormat="1" applyFont="1" applyFill="1" applyBorder="1"/>
    <xf numFmtId="0" fontId="5" fillId="20" borderId="108" xfId="0" applyFont="1" applyFill="1" applyBorder="1"/>
    <xf numFmtId="0" fontId="5" fillId="20" borderId="67" xfId="0" applyFont="1" applyFill="1" applyBorder="1" applyAlignment="1">
      <alignment wrapText="1"/>
    </xf>
    <xf numFmtId="0" fontId="5" fillId="20" borderId="153" xfId="0" applyFont="1" applyFill="1" applyBorder="1" applyAlignment="1">
      <alignment vertical="top" wrapText="1"/>
    </xf>
    <xf numFmtId="49" fontId="5" fillId="20" borderId="41" xfId="0" applyNumberFormat="1" applyFont="1" applyFill="1" applyBorder="1" applyAlignment="1">
      <alignment horizontal="center" wrapText="1"/>
    </xf>
    <xf numFmtId="49" fontId="5" fillId="20" borderId="127" xfId="0" applyNumberFormat="1" applyFont="1" applyFill="1" applyBorder="1" applyAlignment="1">
      <alignment horizontal="center"/>
    </xf>
    <xf numFmtId="49" fontId="5" fillId="20" borderId="128" xfId="0" applyNumberFormat="1" applyFont="1" applyFill="1" applyBorder="1" applyAlignment="1">
      <alignment horizontal="center"/>
    </xf>
    <xf numFmtId="0" fontId="5" fillId="20" borderId="5" xfId="0" applyFont="1" applyFill="1" applyBorder="1" applyAlignment="1">
      <alignment horizontal="center" wrapText="1"/>
    </xf>
    <xf numFmtId="49" fontId="5" fillId="20" borderId="34" xfId="0" applyNumberFormat="1" applyFont="1" applyFill="1" applyBorder="1" applyAlignment="1">
      <alignment horizontal="center"/>
    </xf>
    <xf numFmtId="49" fontId="5" fillId="20" borderId="35" xfId="0" applyNumberFormat="1" applyFont="1" applyFill="1" applyBorder="1" applyAlignment="1">
      <alignment horizontal="center"/>
    </xf>
    <xf numFmtId="49" fontId="5" fillId="20" borderId="101" xfId="0" applyNumberFormat="1" applyFont="1" applyFill="1" applyBorder="1" applyAlignment="1">
      <alignment horizontal="center"/>
    </xf>
    <xf numFmtId="1" fontId="5" fillId="20" borderId="2" xfId="0" applyNumberFormat="1" applyFont="1" applyFill="1" applyBorder="1" applyAlignment="1">
      <alignment horizontal="center" wrapText="1"/>
    </xf>
    <xf numFmtId="0" fontId="10" fillId="0" borderId="0" xfId="0" applyFont="1"/>
    <xf numFmtId="1" fontId="5" fillId="20" borderId="41" xfId="0" applyNumberFormat="1" applyFont="1" applyFill="1" applyBorder="1" applyAlignment="1">
      <alignment horizontal="center" vertical="top" wrapText="1"/>
    </xf>
    <xf numFmtId="49" fontId="5" fillId="20" borderId="14" xfId="0" applyNumberFormat="1" applyFont="1" applyFill="1" applyBorder="1" applyAlignment="1">
      <alignment horizontal="center"/>
    </xf>
    <xf numFmtId="49" fontId="5" fillId="20" borderId="9" xfId="0" applyNumberFormat="1" applyFont="1" applyFill="1" applyBorder="1" applyAlignment="1">
      <alignment horizontal="center"/>
    </xf>
    <xf numFmtId="0" fontId="5" fillId="20" borderId="86" xfId="0" applyFont="1" applyFill="1" applyBorder="1" applyAlignment="1">
      <alignment horizontal="center"/>
    </xf>
    <xf numFmtId="1" fontId="5" fillId="20" borderId="25" xfId="0" applyNumberFormat="1" applyFont="1" applyFill="1" applyBorder="1" applyAlignment="1">
      <alignment horizontal="center"/>
    </xf>
    <xf numFmtId="0" fontId="5" fillId="29" borderId="96" xfId="0" applyFont="1" applyFill="1" applyBorder="1" applyAlignment="1">
      <alignment horizontal="left" vertical="top" wrapText="1"/>
    </xf>
    <xf numFmtId="0" fontId="5" fillId="29" borderId="112" xfId="0" applyFont="1" applyFill="1" applyBorder="1" applyAlignment="1">
      <alignment horizontal="left" vertical="top"/>
    </xf>
    <xf numFmtId="0" fontId="0" fillId="29" borderId="43" xfId="0" applyFill="1" applyBorder="1"/>
    <xf numFmtId="0" fontId="5" fillId="29" borderId="16" xfId="0" applyFont="1" applyFill="1" applyBorder="1" applyAlignment="1">
      <alignment horizontal="left" vertical="top" wrapText="1"/>
    </xf>
    <xf numFmtId="3" fontId="5" fillId="29" borderId="162" xfId="0" applyNumberFormat="1" applyFont="1" applyFill="1" applyBorder="1"/>
    <xf numFmtId="3" fontId="5" fillId="29" borderId="96" xfId="0" applyNumberFormat="1" applyFont="1" applyFill="1" applyBorder="1" applyAlignment="1">
      <alignment horizontal="left" vertical="top" wrapText="1"/>
    </xf>
    <xf numFmtId="0" fontId="5" fillId="29" borderId="115" xfId="0" applyFont="1" applyFill="1" applyBorder="1" applyAlignment="1">
      <alignment horizontal="left" vertical="top" wrapText="1"/>
    </xf>
    <xf numFmtId="3" fontId="5" fillId="29" borderId="113" xfId="0" applyNumberFormat="1" applyFont="1" applyFill="1" applyBorder="1" applyAlignment="1">
      <alignment horizontal="left" wrapText="1"/>
    </xf>
    <xf numFmtId="49" fontId="5" fillId="29" borderId="113" xfId="0" applyNumberFormat="1" applyFont="1" applyFill="1" applyBorder="1" applyAlignment="1">
      <alignment vertical="top"/>
    </xf>
    <xf numFmtId="3" fontId="5" fillId="29" borderId="96" xfId="0" applyNumberFormat="1" applyFont="1" applyFill="1" applyBorder="1" applyAlignment="1">
      <alignment vertical="top"/>
    </xf>
    <xf numFmtId="3" fontId="5" fillId="29" borderId="83" xfId="0" applyNumberFormat="1" applyFont="1" applyFill="1" applyBorder="1" applyAlignment="1">
      <alignment vertical="top" wrapText="1"/>
    </xf>
    <xf numFmtId="3" fontId="5" fillId="29" borderId="16" xfId="0" applyNumberFormat="1" applyFont="1" applyFill="1" applyBorder="1" applyAlignment="1">
      <alignment horizontal="left" vertical="top" wrapText="1"/>
    </xf>
    <xf numFmtId="0" fontId="5" fillId="29" borderId="148" xfId="0" applyFont="1" applyFill="1" applyBorder="1" applyAlignment="1">
      <alignment horizontal="left" vertical="top" wrapText="1"/>
    </xf>
    <xf numFmtId="3" fontId="5" fillId="29" borderId="15" xfId="0" applyNumberFormat="1" applyFont="1" applyFill="1" applyBorder="1" applyAlignment="1">
      <alignment horizontal="left" vertical="top" wrapText="1"/>
    </xf>
    <xf numFmtId="0" fontId="13" fillId="29" borderId="0" xfId="0" applyFont="1" applyFill="1"/>
    <xf numFmtId="3" fontId="5" fillId="29" borderId="16" xfId="0" applyNumberFormat="1" applyFont="1" applyFill="1" applyBorder="1" applyAlignment="1">
      <alignment vertical="top"/>
    </xf>
    <xf numFmtId="3" fontId="10" fillId="29" borderId="59" xfId="0" applyNumberFormat="1" applyFont="1" applyFill="1" applyBorder="1"/>
    <xf numFmtId="0" fontId="7" fillId="29" borderId="43" xfId="0" applyFont="1" applyFill="1" applyBorder="1"/>
    <xf numFmtId="3" fontId="10" fillId="29" borderId="16" xfId="0" applyNumberFormat="1" applyFont="1" applyFill="1" applyBorder="1" applyAlignment="1">
      <alignment horizontal="left"/>
    </xf>
    <xf numFmtId="0" fontId="10" fillId="29" borderId="162" xfId="0" applyFont="1" applyFill="1" applyBorder="1"/>
    <xf numFmtId="3" fontId="10" fillId="29" borderId="148" xfId="0" applyNumberFormat="1" applyFont="1" applyFill="1" applyBorder="1" applyAlignment="1">
      <alignment horizontal="left" vertical="top"/>
    </xf>
    <xf numFmtId="0" fontId="0" fillId="29" borderId="0" xfId="0" applyFill="1" applyAlignment="1">
      <alignment vertical="top" wrapText="1"/>
    </xf>
    <xf numFmtId="0" fontId="13" fillId="29" borderId="16" xfId="0" applyFont="1" applyFill="1" applyBorder="1"/>
    <xf numFmtId="0" fontId="10" fillId="29" borderId="59" xfId="0" applyFont="1" applyFill="1" applyBorder="1"/>
    <xf numFmtId="0" fontId="13" fillId="29" borderId="61" xfId="0" applyFont="1" applyFill="1" applyBorder="1"/>
    <xf numFmtId="0" fontId="10" fillId="29" borderId="145" xfId="0" applyFont="1" applyFill="1" applyBorder="1"/>
    <xf numFmtId="0" fontId="10" fillId="29" borderId="41" xfId="0" applyFont="1" applyFill="1" applyBorder="1"/>
    <xf numFmtId="3" fontId="10" fillId="29" borderId="145" xfId="0" applyNumberFormat="1" applyFont="1" applyFill="1" applyBorder="1"/>
    <xf numFmtId="3" fontId="5" fillId="29" borderId="15" xfId="0" applyNumberFormat="1" applyFont="1" applyFill="1" applyBorder="1" applyAlignment="1">
      <alignment horizontal="left" vertical="top"/>
    </xf>
    <xf numFmtId="49" fontId="10" fillId="29" borderId="84" xfId="0" applyNumberFormat="1" applyFont="1" applyFill="1" applyBorder="1"/>
    <xf numFmtId="0" fontId="10" fillId="29" borderId="85" xfId="0" applyFont="1" applyFill="1" applyBorder="1"/>
    <xf numFmtId="0" fontId="5" fillId="29" borderId="122" xfId="0" applyFont="1" applyFill="1" applyBorder="1" applyAlignment="1">
      <alignment vertical="top" wrapText="1"/>
    </xf>
    <xf numFmtId="0" fontId="5" fillId="29" borderId="15" xfId="0" applyFont="1" applyFill="1" applyBorder="1" applyAlignment="1">
      <alignment vertical="top" wrapText="1"/>
    </xf>
    <xf numFmtId="3" fontId="5" fillId="29" borderId="59" xfId="0" applyNumberFormat="1" applyFont="1" applyFill="1" applyBorder="1" applyAlignment="1">
      <alignment vertical="top" wrapText="1"/>
    </xf>
    <xf numFmtId="0" fontId="10" fillId="29" borderId="122" xfId="0" applyFont="1" applyFill="1" applyBorder="1"/>
    <xf numFmtId="0" fontId="10" fillId="29" borderId="15" xfId="0" applyFont="1" applyFill="1" applyBorder="1"/>
    <xf numFmtId="0" fontId="10" fillId="29" borderId="111" xfId="0" applyFont="1" applyFill="1" applyBorder="1"/>
    <xf numFmtId="171" fontId="38" fillId="0" borderId="0" xfId="0" applyNumberFormat="1" applyFont="1" applyAlignment="1">
      <alignment horizontal="left" vertical="top" wrapText="1"/>
    </xf>
    <xf numFmtId="3" fontId="4" fillId="2" borderId="0" xfId="0" applyNumberFormat="1" applyFont="1" applyFill="1" applyAlignment="1" applyProtection="1">
      <alignment horizontal="right"/>
      <protection locked="0"/>
    </xf>
    <xf numFmtId="3" fontId="4" fillId="2" borderId="39" xfId="0" applyNumberFormat="1" applyFont="1" applyFill="1" applyBorder="1" applyAlignment="1" applyProtection="1">
      <alignment horizontal="right"/>
      <protection locked="0"/>
    </xf>
    <xf numFmtId="0" fontId="7" fillId="20" borderId="25" xfId="0" applyFont="1" applyFill="1" applyBorder="1" applyAlignment="1">
      <alignment horizontal="left"/>
    </xf>
    <xf numFmtId="49" fontId="10" fillId="0" borderId="197" xfId="0" applyNumberFormat="1" applyFont="1" applyBorder="1" applyAlignment="1">
      <alignment horizontal="center"/>
    </xf>
    <xf numFmtId="49" fontId="5" fillId="0" borderId="197" xfId="0" applyNumberFormat="1" applyFont="1" applyBorder="1" applyAlignment="1">
      <alignment horizontal="center" wrapText="1"/>
    </xf>
    <xf numFmtId="49" fontId="5" fillId="0" borderId="197" xfId="0" applyNumberFormat="1" applyFont="1" applyBorder="1" applyAlignment="1">
      <alignment horizontal="left"/>
    </xf>
    <xf numFmtId="3" fontId="5" fillId="20" borderId="15" xfId="0" applyNumberFormat="1" applyFont="1" applyFill="1" applyBorder="1" applyAlignment="1">
      <alignment horizontal="left" wrapText="1"/>
    </xf>
    <xf numFmtId="0" fontId="73" fillId="2" borderId="0" xfId="0" applyFont="1" applyFill="1"/>
    <xf numFmtId="3" fontId="7" fillId="20" borderId="113" xfId="0" applyNumberFormat="1" applyFont="1" applyFill="1" applyBorder="1" applyAlignment="1">
      <alignment horizontal="left"/>
    </xf>
    <xf numFmtId="3" fontId="7" fillId="20" borderId="15" xfId="0" applyNumberFormat="1" applyFont="1" applyFill="1" applyBorder="1" applyAlignment="1">
      <alignment horizontal="left" vertical="top" wrapText="1"/>
    </xf>
    <xf numFmtId="49" fontId="5" fillId="20" borderId="41" xfId="0" applyNumberFormat="1" applyFont="1" applyFill="1" applyBorder="1" applyAlignment="1">
      <alignment horizontal="left"/>
    </xf>
    <xf numFmtId="3" fontId="15" fillId="9" borderId="62" xfId="0" applyNumberFormat="1" applyFont="1" applyFill="1" applyBorder="1"/>
    <xf numFmtId="3" fontId="12" fillId="0" borderId="5" xfId="0" quotePrefix="1" applyNumberFormat="1" applyFont="1" applyBorder="1" applyAlignment="1" applyProtection="1">
      <alignment horizontal="right"/>
      <protection locked="0"/>
    </xf>
    <xf numFmtId="0" fontId="20" fillId="2" borderId="0" xfId="0" applyFont="1" applyFill="1"/>
    <xf numFmtId="3" fontId="119" fillId="20" borderId="0" xfId="0" applyNumberFormat="1" applyFont="1" applyFill="1"/>
    <xf numFmtId="3" fontId="119" fillId="20" borderId="43" xfId="0" applyNumberFormat="1" applyFont="1" applyFill="1" applyBorder="1"/>
    <xf numFmtId="0" fontId="120" fillId="2" borderId="0" xfId="0" applyFont="1" applyFill="1"/>
    <xf numFmtId="166" fontId="9" fillId="0" borderId="1" xfId="0" applyNumberFormat="1" applyFont="1" applyBorder="1" applyAlignment="1">
      <alignment horizontal="center" vertical="center"/>
    </xf>
    <xf numFmtId="0" fontId="5" fillId="2" borderId="1" xfId="0" applyFont="1" applyFill="1" applyBorder="1"/>
    <xf numFmtId="3" fontId="11" fillId="2" borderId="109" xfId="0" applyNumberFormat="1" applyFont="1" applyFill="1" applyBorder="1" applyProtection="1">
      <protection locked="0"/>
    </xf>
    <xf numFmtId="3" fontId="11" fillId="2" borderId="70" xfId="0" applyNumberFormat="1" applyFont="1" applyFill="1" applyBorder="1" applyProtection="1">
      <protection locked="0"/>
    </xf>
    <xf numFmtId="0" fontId="5" fillId="20" borderId="129" xfId="0" applyFont="1" applyFill="1" applyBorder="1" applyAlignment="1">
      <alignment horizontal="center"/>
    </xf>
    <xf numFmtId="0" fontId="96" fillId="7" borderId="0" xfId="0" quotePrefix="1" applyFont="1" applyFill="1" applyAlignment="1">
      <alignment horizontal="left"/>
    </xf>
    <xf numFmtId="0" fontId="114" fillId="0" borderId="0" xfId="0" applyFont="1" applyAlignment="1">
      <alignment wrapText="1"/>
    </xf>
    <xf numFmtId="3" fontId="5" fillId="20" borderId="9" xfId="0" applyNumberFormat="1" applyFont="1" applyFill="1" applyBorder="1"/>
    <xf numFmtId="3" fontId="11" fillId="20" borderId="0" xfId="0" applyNumberFormat="1" applyFont="1" applyFill="1"/>
    <xf numFmtId="3" fontId="11" fillId="20" borderId="38" xfId="0" applyNumberFormat="1" applyFont="1" applyFill="1" applyBorder="1"/>
    <xf numFmtId="3" fontId="9" fillId="20" borderId="0" xfId="0" applyNumberFormat="1" applyFont="1" applyFill="1"/>
    <xf numFmtId="3" fontId="9" fillId="20" borderId="0" xfId="0" applyNumberFormat="1" applyFont="1" applyFill="1" applyAlignment="1">
      <alignment horizontal="left" vertical="top" wrapText="1"/>
    </xf>
    <xf numFmtId="3" fontId="4" fillId="20" borderId="152" xfId="0" applyNumberFormat="1" applyFont="1" applyFill="1" applyBorder="1" applyAlignment="1">
      <alignment horizontal="right"/>
    </xf>
    <xf numFmtId="3" fontId="4" fillId="20" borderId="45" xfId="0" applyNumberFormat="1" applyFont="1" applyFill="1" applyBorder="1" applyAlignment="1">
      <alignment horizontal="right"/>
    </xf>
    <xf numFmtId="3" fontId="4" fillId="20" borderId="126" xfId="0" applyNumberFormat="1" applyFont="1" applyFill="1" applyBorder="1" applyAlignment="1">
      <alignment horizontal="right"/>
    </xf>
    <xf numFmtId="3" fontId="4" fillId="21" borderId="152" xfId="0" applyNumberFormat="1" applyFont="1" applyFill="1" applyBorder="1" applyAlignment="1">
      <alignment horizontal="left"/>
    </xf>
    <xf numFmtId="3" fontId="4" fillId="21" borderId="44" xfId="0" applyNumberFormat="1" applyFont="1" applyFill="1" applyBorder="1" applyAlignment="1">
      <alignment horizontal="right"/>
    </xf>
    <xf numFmtId="0" fontId="11" fillId="30" borderId="198" xfId="0" applyFont="1" applyFill="1" applyBorder="1" applyAlignment="1">
      <alignment horizontal="left" vertical="center"/>
    </xf>
    <xf numFmtId="0" fontId="93" fillId="30" borderId="198" xfId="0" applyFont="1" applyFill="1" applyBorder="1" applyAlignment="1">
      <alignment horizontal="left" vertical="center"/>
    </xf>
    <xf numFmtId="0" fontId="19" fillId="29" borderId="112" xfId="0" applyFont="1" applyFill="1" applyBorder="1" applyAlignment="1">
      <alignment horizontal="center" vertical="center"/>
    </xf>
    <xf numFmtId="0" fontId="0" fillId="0" borderId="0" xfId="0" applyAlignment="1">
      <alignment horizontal="left" wrapText="1"/>
    </xf>
    <xf numFmtId="0" fontId="26" fillId="20" borderId="57" xfId="5" applyFill="1" applyBorder="1" applyAlignment="1">
      <alignment wrapText="1"/>
    </xf>
    <xf numFmtId="0" fontId="26" fillId="20" borderId="43" xfId="5" applyFill="1" applyBorder="1" applyAlignment="1">
      <alignment wrapText="1"/>
    </xf>
    <xf numFmtId="49" fontId="5" fillId="20" borderId="145" xfId="0" applyNumberFormat="1" applyFont="1" applyFill="1" applyBorder="1" applyAlignment="1">
      <alignment horizontal="center"/>
    </xf>
    <xf numFmtId="49" fontId="5" fillId="20" borderId="155" xfId="0" applyNumberFormat="1" applyFont="1" applyFill="1" applyBorder="1" applyAlignment="1">
      <alignment horizontal="center"/>
    </xf>
    <xf numFmtId="0" fontId="5" fillId="20" borderId="35" xfId="0" applyFont="1" applyFill="1" applyBorder="1" applyAlignment="1">
      <alignment horizontal="center"/>
    </xf>
    <xf numFmtId="0" fontId="5" fillId="20" borderId="69" xfId="0" applyFont="1" applyFill="1" applyBorder="1" applyAlignment="1">
      <alignment horizontal="center"/>
    </xf>
    <xf numFmtId="3" fontId="5" fillId="20" borderId="27" xfId="0" applyNumberFormat="1" applyFont="1" applyFill="1" applyBorder="1"/>
    <xf numFmtId="49" fontId="5" fillId="20" borderId="57" xfId="0" applyNumberFormat="1" applyFont="1" applyFill="1" applyBorder="1" applyAlignment="1">
      <alignment horizontal="left" vertical="top"/>
    </xf>
    <xf numFmtId="1" fontId="19" fillId="0" borderId="0" xfId="0" applyNumberFormat="1" applyFont="1" applyAlignment="1">
      <alignment horizontal="center"/>
    </xf>
    <xf numFmtId="166" fontId="5" fillId="0" borderId="0" xfId="0" applyNumberFormat="1" applyFont="1"/>
    <xf numFmtId="49" fontId="7" fillId="0" borderId="0" xfId="0" applyNumberFormat="1" applyFont="1" applyAlignment="1">
      <alignment horizontal="center"/>
    </xf>
    <xf numFmtId="49" fontId="18" fillId="0" borderId="0" xfId="0" applyNumberFormat="1" applyFont="1" applyAlignment="1">
      <alignment horizontal="center"/>
    </xf>
    <xf numFmtId="1" fontId="7" fillId="0" borderId="0" xfId="0" applyNumberFormat="1" applyFont="1" applyAlignment="1">
      <alignment horizontal="center" wrapText="1"/>
    </xf>
    <xf numFmtId="3" fontId="10" fillId="0" borderId="0" xfId="0" applyNumberFormat="1" applyFont="1" applyAlignment="1">
      <alignment horizontal="center"/>
    </xf>
    <xf numFmtId="3" fontId="7" fillId="0" borderId="0" xfId="0" applyNumberFormat="1" applyFont="1" applyAlignment="1">
      <alignment horizontal="center"/>
    </xf>
    <xf numFmtId="0" fontId="5" fillId="0" borderId="0" xfId="0" applyFont="1" applyAlignment="1">
      <alignment horizontal="left" vertical="top"/>
    </xf>
    <xf numFmtId="0" fontId="7" fillId="0" borderId="0" xfId="0" applyFont="1" applyAlignment="1">
      <alignment horizontal="left" vertical="top"/>
    </xf>
    <xf numFmtId="1" fontId="5" fillId="0" borderId="0" xfId="0" applyNumberFormat="1" applyFont="1" applyAlignment="1">
      <alignment horizontal="center" vertical="top" wrapText="1"/>
    </xf>
    <xf numFmtId="2" fontId="5" fillId="0" borderId="0" xfId="0" applyNumberFormat="1" applyFont="1" applyAlignment="1">
      <alignment horizontal="center" wrapText="1"/>
    </xf>
    <xf numFmtId="49" fontId="5" fillId="0" borderId="0" xfId="0" applyNumberFormat="1" applyFont="1" applyAlignment="1">
      <alignment horizontal="center" wrapText="1"/>
    </xf>
    <xf numFmtId="49" fontId="119" fillId="0" borderId="0" xfId="0" applyNumberFormat="1" applyFont="1" applyAlignment="1">
      <alignment horizontal="center" wrapText="1"/>
    </xf>
    <xf numFmtId="1" fontId="119" fillId="0" borderId="0" xfId="0" applyNumberFormat="1" applyFont="1" applyAlignment="1">
      <alignment horizontal="center"/>
    </xf>
    <xf numFmtId="0" fontId="10" fillId="0" borderId="0" xfId="0" applyFont="1" applyAlignment="1">
      <alignment horizontal="center" wrapText="1"/>
    </xf>
    <xf numFmtId="0" fontId="5" fillId="0" borderId="0" xfId="0" applyFont="1" applyAlignment="1">
      <alignment horizontal="center" wrapText="1"/>
    </xf>
    <xf numFmtId="0" fontId="9" fillId="0" borderId="0" xfId="0" applyFont="1" applyAlignment="1">
      <alignment horizontal="center"/>
    </xf>
    <xf numFmtId="1" fontId="10" fillId="0" borderId="0" xfId="0" applyNumberFormat="1" applyFont="1" applyAlignment="1">
      <alignment horizontal="center" vertical="center" wrapText="1"/>
    </xf>
    <xf numFmtId="3" fontId="4" fillId="2" borderId="109" xfId="0" applyNumberFormat="1" applyFont="1" applyFill="1" applyBorder="1" applyAlignment="1" applyProtection="1">
      <alignment horizontal="right"/>
      <protection locked="0"/>
    </xf>
    <xf numFmtId="3" fontId="4" fillId="2" borderId="6" xfId="0" applyNumberFormat="1" applyFont="1" applyFill="1" applyBorder="1" applyAlignment="1" applyProtection="1">
      <alignment horizontal="right"/>
      <protection locked="0"/>
    </xf>
    <xf numFmtId="49" fontId="5" fillId="20" borderId="35" xfId="0" applyNumberFormat="1" applyFont="1" applyFill="1" applyBorder="1" applyAlignment="1">
      <alignment horizontal="left" wrapText="1"/>
    </xf>
    <xf numFmtId="3" fontId="7" fillId="20" borderId="151" xfId="5" applyNumberFormat="1" applyFont="1" applyFill="1" applyBorder="1" applyAlignment="1">
      <alignment vertical="top"/>
    </xf>
    <xf numFmtId="3" fontId="6" fillId="0" borderId="0" xfId="0" applyNumberFormat="1" applyFont="1"/>
    <xf numFmtId="49" fontId="14" fillId="0" borderId="0" xfId="0" applyNumberFormat="1" applyFont="1" applyAlignment="1">
      <alignment horizontal="center"/>
    </xf>
    <xf numFmtId="0" fontId="0" fillId="20" borderId="145" xfId="0" applyFill="1" applyBorder="1" applyAlignment="1">
      <alignment vertical="center"/>
    </xf>
    <xf numFmtId="0" fontId="0" fillId="20" borderId="41" xfId="0" applyFill="1" applyBorder="1" applyAlignment="1">
      <alignment vertical="center"/>
    </xf>
    <xf numFmtId="0" fontId="9" fillId="20" borderId="41" xfId="0" applyFont="1" applyFill="1" applyBorder="1"/>
    <xf numFmtId="0" fontId="0" fillId="20" borderId="156" xfId="0" applyFill="1" applyBorder="1" applyAlignment="1">
      <alignment wrapText="1"/>
    </xf>
    <xf numFmtId="0" fontId="0" fillId="20" borderId="41" xfId="0" applyFill="1" applyBorder="1" applyAlignment="1">
      <alignment vertical="center" wrapText="1"/>
    </xf>
    <xf numFmtId="0" fontId="0" fillId="20" borderId="137" xfId="0" applyFill="1" applyBorder="1" applyAlignment="1">
      <alignment horizontal="left" vertical="center"/>
    </xf>
    <xf numFmtId="0" fontId="0" fillId="20" borderId="1" xfId="0" applyFill="1" applyBorder="1" applyAlignment="1">
      <alignment horizontal="left" vertical="center"/>
    </xf>
    <xf numFmtId="0" fontId="0" fillId="20" borderId="84" xfId="0" applyFill="1" applyBorder="1" applyAlignment="1">
      <alignment horizontal="left" vertical="center"/>
    </xf>
    <xf numFmtId="0" fontId="0" fillId="20" borderId="85" xfId="0" applyFill="1" applyBorder="1" applyAlignment="1">
      <alignment horizontal="left" wrapText="1"/>
    </xf>
    <xf numFmtId="0" fontId="7" fillId="20" borderId="152" xfId="0" applyFont="1" applyFill="1" applyBorder="1" applyAlignment="1">
      <alignment vertical="top" wrapText="1"/>
    </xf>
    <xf numFmtId="0" fontId="5" fillId="20" borderId="16" xfId="0" applyFont="1" applyFill="1" applyBorder="1" applyAlignment="1">
      <alignment vertical="center"/>
    </xf>
    <xf numFmtId="0" fontId="5" fillId="20" borderId="15" xfId="0" applyFont="1" applyFill="1" applyBorder="1" applyAlignment="1">
      <alignment vertical="center"/>
    </xf>
    <xf numFmtId="0" fontId="5" fillId="20" borderId="15" xfId="0" applyFont="1" applyFill="1" applyBorder="1" applyAlignment="1">
      <alignment vertical="center" wrapText="1"/>
    </xf>
    <xf numFmtId="0" fontId="0" fillId="20" borderId="185" xfId="0" applyFill="1" applyBorder="1" applyAlignment="1">
      <alignment horizontal="center" vertical="center"/>
    </xf>
    <xf numFmtId="0" fontId="0" fillId="20" borderId="170" xfId="0" applyFill="1" applyBorder="1" applyAlignment="1">
      <alignment vertical="top" wrapText="1"/>
    </xf>
    <xf numFmtId="0" fontId="5" fillId="20" borderId="118" xfId="0" applyFont="1" applyFill="1" applyBorder="1" applyAlignment="1">
      <alignment vertical="top"/>
    </xf>
    <xf numFmtId="0" fontId="5" fillId="20" borderId="67" xfId="0" applyFont="1" applyFill="1" applyBorder="1" applyAlignment="1">
      <alignment horizontal="left" vertical="top" wrapText="1"/>
    </xf>
    <xf numFmtId="0" fontId="19" fillId="20" borderId="162" xfId="0" applyFont="1" applyFill="1" applyBorder="1" applyAlignment="1">
      <alignment horizontal="center" vertical="center" wrapText="1"/>
    </xf>
    <xf numFmtId="0" fontId="9" fillId="20" borderId="153" xfId="0" applyFont="1" applyFill="1" applyBorder="1"/>
    <xf numFmtId="0" fontId="5" fillId="20" borderId="123" xfId="0" applyFont="1" applyFill="1" applyBorder="1" applyAlignment="1">
      <alignment horizontal="left" vertical="top" wrapText="1"/>
    </xf>
    <xf numFmtId="0" fontId="5" fillId="20" borderId="57" xfId="0" applyFont="1" applyFill="1" applyBorder="1" applyAlignment="1">
      <alignment horizontal="left" vertical="center"/>
    </xf>
    <xf numFmtId="0" fontId="5" fillId="20" borderId="148" xfId="0" applyFont="1" applyFill="1" applyBorder="1" applyAlignment="1">
      <alignment horizontal="left" vertical="center"/>
    </xf>
    <xf numFmtId="0" fontId="5" fillId="20" borderId="59" xfId="0" applyFont="1" applyFill="1" applyBorder="1" applyAlignment="1">
      <alignment horizontal="left" wrapText="1"/>
    </xf>
    <xf numFmtId="3" fontId="7" fillId="20" borderId="153" xfId="5" applyNumberFormat="1" applyFont="1" applyFill="1" applyBorder="1" applyAlignment="1">
      <alignment vertical="top" wrapText="1"/>
    </xf>
    <xf numFmtId="49" fontId="5" fillId="20" borderId="170" xfId="5" applyNumberFormat="1" applyFont="1" applyFill="1" applyBorder="1"/>
    <xf numFmtId="3" fontId="5" fillId="20" borderId="162" xfId="5" applyNumberFormat="1" applyFont="1" applyFill="1" applyBorder="1"/>
    <xf numFmtId="0" fontId="5" fillId="20" borderId="185" xfId="5" applyFont="1" applyFill="1" applyBorder="1" applyAlignment="1">
      <alignment horizontal="left" vertical="center"/>
    </xf>
    <xf numFmtId="0" fontId="7" fillId="20" borderId="155" xfId="5" applyFont="1" applyFill="1" applyBorder="1" applyAlignment="1">
      <alignment vertical="top"/>
    </xf>
    <xf numFmtId="0" fontId="5" fillId="20" borderId="67" xfId="0" applyFont="1" applyFill="1" applyBorder="1" applyAlignment="1">
      <alignment vertical="top"/>
    </xf>
    <xf numFmtId="0" fontId="7" fillId="20" borderId="27" xfId="5" applyFont="1" applyFill="1" applyBorder="1"/>
    <xf numFmtId="0" fontId="5" fillId="20" borderId="15" xfId="5" applyFont="1" applyFill="1" applyBorder="1" applyAlignment="1">
      <alignment horizontal="right"/>
    </xf>
    <xf numFmtId="0" fontId="5" fillId="20" borderId="15" xfId="5" applyFont="1" applyFill="1" applyBorder="1" applyAlignment="1">
      <alignment horizontal="left" vertical="top" wrapText="1"/>
    </xf>
    <xf numFmtId="0" fontId="5" fillId="20" borderId="16" xfId="5" applyFont="1" applyFill="1" applyBorder="1" applyAlignment="1">
      <alignment horizontal="left" vertical="top" wrapText="1"/>
    </xf>
    <xf numFmtId="49" fontId="5" fillId="20" borderId="153" xfId="5" applyNumberFormat="1" applyFont="1" applyFill="1" applyBorder="1" applyAlignment="1">
      <alignment vertical="top"/>
    </xf>
    <xf numFmtId="0" fontId="0" fillId="20" borderId="15" xfId="0" applyFill="1" applyBorder="1" applyAlignment="1">
      <alignment vertical="top" wrapText="1"/>
    </xf>
    <xf numFmtId="0" fontId="0" fillId="20" borderId="41" xfId="0" applyFill="1" applyBorder="1" applyAlignment="1">
      <alignment vertical="top" wrapText="1"/>
    </xf>
    <xf numFmtId="0" fontId="5" fillId="20" borderId="170" xfId="0" applyFont="1" applyFill="1" applyBorder="1" applyAlignment="1">
      <alignment horizontal="left" vertical="center"/>
    </xf>
    <xf numFmtId="3" fontId="113" fillId="0" borderId="57" xfId="0" applyNumberFormat="1" applyFont="1" applyBorder="1"/>
    <xf numFmtId="3" fontId="5" fillId="31" borderId="41" xfId="0" applyNumberFormat="1" applyFont="1" applyFill="1" applyBorder="1" applyAlignment="1">
      <alignment horizontal="left" vertical="top" wrapText="1"/>
    </xf>
    <xf numFmtId="3" fontId="5" fillId="20" borderId="41" xfId="0" applyNumberFormat="1" applyFont="1" applyFill="1" applyBorder="1" applyAlignment="1">
      <alignment horizontal="left" vertical="top"/>
    </xf>
    <xf numFmtId="0" fontId="0" fillId="20" borderId="43" xfId="0" applyFill="1" applyBorder="1"/>
    <xf numFmtId="3" fontId="7" fillId="20" borderId="200" xfId="0" applyNumberFormat="1" applyFont="1" applyFill="1" applyBorder="1" applyAlignment="1">
      <alignment horizontal="left" vertical="center" wrapText="1"/>
    </xf>
    <xf numFmtId="0" fontId="5" fillId="20" borderId="128" xfId="0" applyFont="1" applyFill="1" applyBorder="1"/>
    <xf numFmtId="3" fontId="11" fillId="2" borderId="199" xfId="0" applyNumberFormat="1" applyFont="1" applyFill="1" applyBorder="1" applyProtection="1">
      <protection locked="0"/>
    </xf>
    <xf numFmtId="0" fontId="7" fillId="20" borderId="91" xfId="5" applyFont="1" applyFill="1" applyBorder="1"/>
    <xf numFmtId="0" fontId="7" fillId="20" borderId="43" xfId="5" applyFont="1" applyFill="1" applyBorder="1"/>
    <xf numFmtId="0" fontId="7" fillId="20" borderId="27" xfId="5" applyFont="1" applyFill="1" applyBorder="1" applyAlignment="1">
      <alignment horizontal="left"/>
    </xf>
    <xf numFmtId="0" fontId="7" fillId="20" borderId="184" xfId="5" applyFont="1" applyFill="1" applyBorder="1" applyAlignment="1">
      <alignment horizontal="left"/>
    </xf>
    <xf numFmtId="0" fontId="5" fillId="20" borderId="55" xfId="5" applyFont="1" applyFill="1" applyBorder="1" applyAlignment="1">
      <alignment vertical="top"/>
    </xf>
    <xf numFmtId="0" fontId="5" fillId="20" borderId="55" xfId="5" applyFont="1" applyFill="1" applyBorder="1" applyAlignment="1">
      <alignment horizontal="left" vertical="center"/>
    </xf>
    <xf numFmtId="3" fontId="5" fillId="20" borderId="43" xfId="5" applyNumberFormat="1" applyFont="1" applyFill="1" applyBorder="1" applyAlignment="1">
      <alignment wrapText="1"/>
    </xf>
    <xf numFmtId="3" fontId="5" fillId="20" borderId="43" xfId="5" applyNumberFormat="1" applyFont="1" applyFill="1" applyBorder="1" applyAlignment="1">
      <alignment vertical="center" wrapText="1"/>
    </xf>
    <xf numFmtId="0" fontId="7" fillId="20" borderId="184" xfId="0" applyFont="1" applyFill="1" applyBorder="1" applyAlignment="1">
      <alignment horizontal="left"/>
    </xf>
    <xf numFmtId="0" fontId="7" fillId="20" borderId="91" xfId="0" applyFont="1" applyFill="1" applyBorder="1" applyAlignment="1">
      <alignment horizontal="left"/>
    </xf>
    <xf numFmtId="0" fontId="7" fillId="20" borderId="27" xfId="0" applyFont="1" applyFill="1" applyBorder="1" applyAlignment="1">
      <alignment horizontal="left"/>
    </xf>
    <xf numFmtId="0" fontId="7" fillId="20" borderId="43" xfId="0" applyFont="1" applyFill="1" applyBorder="1" applyAlignment="1">
      <alignment horizontal="left"/>
    </xf>
    <xf numFmtId="0" fontId="5" fillId="20" borderId="153" xfId="0" applyFont="1" applyFill="1" applyBorder="1" applyAlignment="1">
      <alignment horizontal="center"/>
    </xf>
    <xf numFmtId="0" fontId="5" fillId="20" borderId="55" xfId="5" applyFont="1" applyFill="1" applyBorder="1" applyAlignment="1">
      <alignment vertical="top" wrapText="1"/>
    </xf>
    <xf numFmtId="0" fontId="5" fillId="20" borderId="61" xfId="5" applyFont="1" applyFill="1" applyBorder="1"/>
    <xf numFmtId="1" fontId="5" fillId="20" borderId="16" xfId="5" applyNumberFormat="1" applyFont="1" applyFill="1" applyBorder="1" applyAlignment="1">
      <alignment horizontal="center"/>
    </xf>
    <xf numFmtId="1" fontId="5" fillId="20" borderId="162" xfId="5" applyNumberFormat="1" applyFont="1" applyFill="1" applyBorder="1" applyAlignment="1">
      <alignment horizontal="center"/>
    </xf>
    <xf numFmtId="3" fontId="7" fillId="20" borderId="170" xfId="5" applyNumberFormat="1" applyFont="1" applyFill="1" applyBorder="1" applyAlignment="1">
      <alignment vertical="top"/>
    </xf>
    <xf numFmtId="3" fontId="7" fillId="20" borderId="43" xfId="5" applyNumberFormat="1" applyFont="1" applyFill="1" applyBorder="1" applyAlignment="1">
      <alignment vertical="center"/>
    </xf>
    <xf numFmtId="3" fontId="7" fillId="20" borderId="43" xfId="0" applyNumberFormat="1" applyFont="1" applyFill="1" applyBorder="1" applyAlignment="1">
      <alignment vertical="center"/>
    </xf>
    <xf numFmtId="3" fontId="7" fillId="20" borderId="170" xfId="0" applyNumberFormat="1" applyFont="1" applyFill="1" applyBorder="1" applyAlignment="1">
      <alignment vertical="top"/>
    </xf>
    <xf numFmtId="0" fontId="5" fillId="20" borderId="153" xfId="5" applyFont="1" applyFill="1" applyBorder="1" applyAlignment="1">
      <alignment vertical="top" wrapText="1"/>
    </xf>
    <xf numFmtId="0" fontId="5" fillId="20" borderId="153" xfId="5" applyFont="1" applyFill="1" applyBorder="1" applyAlignment="1">
      <alignment vertical="center" wrapText="1"/>
    </xf>
    <xf numFmtId="0" fontId="5" fillId="10" borderId="57" xfId="0" applyFont="1" applyFill="1" applyBorder="1" applyAlignment="1">
      <alignment horizontal="center"/>
    </xf>
    <xf numFmtId="3" fontId="4" fillId="20" borderId="49" xfId="0" applyNumberFormat="1" applyFont="1" applyFill="1" applyBorder="1" applyAlignment="1">
      <alignment horizontal="right"/>
    </xf>
    <xf numFmtId="3" fontId="20" fillId="20" borderId="7" xfId="0" applyNumberFormat="1" applyFont="1" applyFill="1" applyBorder="1"/>
    <xf numFmtId="3" fontId="46" fillId="20" borderId="5" xfId="0" applyNumberFormat="1" applyFont="1" applyFill="1" applyBorder="1"/>
    <xf numFmtId="3" fontId="92" fillId="20" borderId="5" xfId="0" applyNumberFormat="1" applyFont="1" applyFill="1" applyBorder="1"/>
    <xf numFmtId="0" fontId="4" fillId="20" borderId="7" xfId="0" applyFont="1" applyFill="1" applyBorder="1" applyAlignment="1">
      <alignment vertical="top"/>
    </xf>
    <xf numFmtId="0" fontId="4" fillId="20" borderId="5" xfId="0" applyFont="1" applyFill="1" applyBorder="1" applyAlignment="1">
      <alignment vertical="top"/>
    </xf>
    <xf numFmtId="0" fontId="23" fillId="20" borderId="0" xfId="0" applyFont="1" applyFill="1"/>
    <xf numFmtId="0" fontId="23" fillId="20" borderId="15" xfId="0" applyFont="1" applyFill="1" applyBorder="1"/>
    <xf numFmtId="0" fontId="6" fillId="20" borderId="15" xfId="0" applyFont="1" applyFill="1" applyBorder="1"/>
    <xf numFmtId="0" fontId="10" fillId="20" borderId="202" xfId="0" applyFont="1" applyFill="1" applyBorder="1" applyAlignment="1">
      <alignment horizontal="left"/>
    </xf>
    <xf numFmtId="0" fontId="10" fillId="20" borderId="65" xfId="0" applyFont="1" applyFill="1" applyBorder="1" applyAlignment="1">
      <alignment horizontal="left"/>
    </xf>
    <xf numFmtId="0" fontId="5" fillId="20" borderId="65" xfId="0" applyFont="1" applyFill="1" applyBorder="1" applyAlignment="1">
      <alignment horizontal="left"/>
    </xf>
    <xf numFmtId="0" fontId="4" fillId="20" borderId="101" xfId="0" applyFont="1" applyFill="1" applyBorder="1" applyAlignment="1">
      <alignment vertical="top"/>
    </xf>
    <xf numFmtId="0" fontId="4" fillId="20" borderId="69" xfId="0" applyFont="1" applyFill="1" applyBorder="1" applyAlignment="1">
      <alignment vertical="top"/>
    </xf>
    <xf numFmtId="3" fontId="49" fillId="20" borderId="7" xfId="0" applyNumberFormat="1" applyFont="1" applyFill="1" applyBorder="1"/>
    <xf numFmtId="3" fontId="46" fillId="20" borderId="8" xfId="0" applyNumberFormat="1" applyFont="1" applyFill="1" applyBorder="1"/>
    <xf numFmtId="3" fontId="92" fillId="20" borderId="8" xfId="0" applyNumberFormat="1" applyFont="1" applyFill="1" applyBorder="1"/>
    <xf numFmtId="3" fontId="46" fillId="20" borderId="7" xfId="0" applyNumberFormat="1" applyFont="1" applyFill="1" applyBorder="1"/>
    <xf numFmtId="3" fontId="4" fillId="20" borderId="7" xfId="0" applyNumberFormat="1" applyFont="1" applyFill="1" applyBorder="1" applyAlignment="1">
      <alignment vertical="top"/>
    </xf>
    <xf numFmtId="3" fontId="44" fillId="20" borderId="29" xfId="0" applyNumberFormat="1" applyFont="1" applyFill="1" applyBorder="1" applyAlignment="1">
      <alignment vertical="top" wrapText="1"/>
    </xf>
    <xf numFmtId="3" fontId="44" fillId="20" borderId="141" xfId="0" applyNumberFormat="1" applyFont="1" applyFill="1" applyBorder="1" applyAlignment="1">
      <alignment vertical="top" wrapText="1"/>
    </xf>
    <xf numFmtId="169" fontId="43" fillId="20" borderId="152" xfId="0" applyNumberFormat="1" applyFont="1" applyFill="1" applyBorder="1"/>
    <xf numFmtId="3" fontId="12" fillId="20" borderId="7" xfId="0" applyNumberFormat="1" applyFont="1" applyFill="1" applyBorder="1" applyAlignment="1" applyProtection="1">
      <alignment vertical="top"/>
      <protection locked="0"/>
    </xf>
    <xf numFmtId="3" fontId="12" fillId="20" borderId="5" xfId="0" applyNumberFormat="1" applyFont="1" applyFill="1" applyBorder="1" applyAlignment="1" applyProtection="1">
      <alignment vertical="top"/>
      <protection locked="0"/>
    </xf>
    <xf numFmtId="0" fontId="4" fillId="20" borderId="5" xfId="0" applyFont="1" applyFill="1" applyBorder="1" applyAlignment="1" applyProtection="1">
      <alignment vertical="top"/>
      <protection locked="0"/>
    </xf>
    <xf numFmtId="0" fontId="4" fillId="20" borderId="155" xfId="0" applyFont="1" applyFill="1" applyBorder="1" applyAlignment="1" applyProtection="1">
      <alignment vertical="top"/>
      <protection locked="0"/>
    </xf>
    <xf numFmtId="0" fontId="4" fillId="20" borderId="67" xfId="0" applyFont="1" applyFill="1" applyBorder="1" applyAlignment="1" applyProtection="1">
      <alignment vertical="top"/>
      <protection locked="0"/>
    </xf>
    <xf numFmtId="3" fontId="20" fillId="20" borderId="14" xfId="0" applyNumberFormat="1" applyFont="1" applyFill="1" applyBorder="1"/>
    <xf numFmtId="3" fontId="46" fillId="20" borderId="17" xfId="0" applyNumberFormat="1" applyFont="1" applyFill="1" applyBorder="1"/>
    <xf numFmtId="3" fontId="92" fillId="20" borderId="17" xfId="0" applyNumberFormat="1" applyFont="1" applyFill="1" applyBorder="1"/>
    <xf numFmtId="3" fontId="4" fillId="20" borderId="7" xfId="0" applyNumberFormat="1" applyFont="1" applyFill="1" applyBorder="1" applyAlignment="1" applyProtection="1">
      <alignment vertical="top"/>
      <protection locked="0"/>
    </xf>
    <xf numFmtId="0" fontId="18" fillId="20" borderId="89" xfId="0" applyFont="1" applyFill="1" applyBorder="1" applyAlignment="1">
      <alignment wrapText="1"/>
    </xf>
    <xf numFmtId="0" fontId="11" fillId="20" borderId="186" xfId="0" applyFont="1" applyFill="1" applyBorder="1"/>
    <xf numFmtId="3" fontId="113" fillId="20" borderId="7" xfId="0" applyNumberFormat="1" applyFont="1" applyFill="1" applyBorder="1"/>
    <xf numFmtId="3" fontId="115" fillId="20" borderId="5" xfId="0" applyNumberFormat="1" applyFont="1" applyFill="1" applyBorder="1"/>
    <xf numFmtId="3" fontId="27" fillId="20" borderId="5" xfId="0" applyNumberFormat="1" applyFont="1" applyFill="1" applyBorder="1"/>
    <xf numFmtId="3" fontId="47" fillId="20" borderId="155" xfId="0" applyNumberFormat="1" applyFont="1" applyFill="1" applyBorder="1"/>
    <xf numFmtId="3" fontId="47" fillId="20" borderId="123" xfId="0" applyNumberFormat="1" applyFont="1" applyFill="1" applyBorder="1"/>
    <xf numFmtId="3" fontId="4" fillId="20" borderId="45" xfId="0" applyNumberFormat="1" applyFont="1" applyFill="1" applyBorder="1" applyAlignment="1">
      <alignment horizontal="right" vertical="top" wrapText="1"/>
    </xf>
    <xf numFmtId="3" fontId="44" fillId="20" borderId="22" xfId="0" applyNumberFormat="1" applyFont="1" applyFill="1" applyBorder="1" applyAlignment="1">
      <alignment vertical="top"/>
    </xf>
    <xf numFmtId="0" fontId="11" fillId="20" borderId="5" xfId="0" applyFont="1" applyFill="1" applyBorder="1" applyAlignment="1">
      <alignment vertical="top"/>
    </xf>
    <xf numFmtId="3" fontId="5" fillId="20" borderId="128" xfId="0" applyNumberFormat="1" applyFont="1" applyFill="1" applyBorder="1"/>
    <xf numFmtId="3" fontId="47" fillId="20" borderId="16" xfId="0" applyNumberFormat="1" applyFont="1" applyFill="1" applyBorder="1"/>
    <xf numFmtId="3" fontId="47" fillId="20" borderId="67" xfId="0" applyNumberFormat="1" applyFont="1" applyFill="1" applyBorder="1"/>
    <xf numFmtId="0" fontId="11" fillId="20" borderId="7" xfId="0" applyFont="1" applyFill="1" applyBorder="1" applyAlignment="1">
      <alignment vertical="top"/>
    </xf>
    <xf numFmtId="3" fontId="5" fillId="0" borderId="0" xfId="0" applyNumberFormat="1" applyFont="1" applyAlignment="1">
      <alignment horizontal="center"/>
    </xf>
    <xf numFmtId="3" fontId="10" fillId="0" borderId="0" xfId="0" applyNumberFormat="1" applyFont="1"/>
    <xf numFmtId="3" fontId="10" fillId="20" borderId="12" xfId="0" applyNumberFormat="1" applyFont="1" applyFill="1" applyBorder="1"/>
    <xf numFmtId="3" fontId="15" fillId="2" borderId="63" xfId="0" applyNumberFormat="1" applyFont="1" applyFill="1" applyBorder="1" applyAlignment="1" applyProtection="1">
      <alignment horizontal="right"/>
      <protection locked="0"/>
    </xf>
    <xf numFmtId="0" fontId="114" fillId="0" borderId="0" xfId="0" applyFont="1"/>
    <xf numFmtId="3" fontId="114" fillId="2" borderId="0" xfId="0" applyNumberFormat="1" applyFont="1" applyFill="1"/>
    <xf numFmtId="0" fontId="26" fillId="20" borderId="5" xfId="0" applyFont="1" applyFill="1" applyBorder="1"/>
    <xf numFmtId="0" fontId="3" fillId="20" borderId="5" xfId="0" applyFont="1" applyFill="1" applyBorder="1"/>
    <xf numFmtId="3" fontId="121" fillId="20" borderId="5" xfId="0" applyNumberFormat="1" applyFont="1" applyFill="1" applyBorder="1"/>
    <xf numFmtId="3" fontId="47" fillId="22" borderId="133" xfId="0" applyNumberFormat="1" applyFont="1" applyFill="1" applyBorder="1"/>
    <xf numFmtId="3" fontId="38" fillId="2" borderId="0" xfId="0" applyNumberFormat="1" applyFont="1" applyFill="1" applyAlignment="1">
      <alignment vertical="top" wrapText="1"/>
    </xf>
    <xf numFmtId="0" fontId="118" fillId="0" borderId="0" xfId="0" applyFont="1"/>
    <xf numFmtId="0" fontId="5" fillId="20" borderId="25" xfId="5" applyFont="1" applyFill="1" applyBorder="1"/>
    <xf numFmtId="3" fontId="113" fillId="0" borderId="0" xfId="0" applyNumberFormat="1" applyFont="1" applyAlignment="1">
      <alignment vertical="top"/>
    </xf>
    <xf numFmtId="3" fontId="4" fillId="0" borderId="18" xfId="0" applyNumberFormat="1" applyFont="1" applyBorder="1" applyProtection="1">
      <protection locked="0"/>
    </xf>
    <xf numFmtId="3" fontId="11" fillId="0" borderId="0" xfId="0" applyNumberFormat="1" applyFont="1" applyProtection="1">
      <protection locked="0"/>
    </xf>
    <xf numFmtId="3" fontId="4" fillId="0" borderId="0" xfId="0" applyNumberFormat="1" applyFont="1" applyAlignment="1" applyProtection="1">
      <alignment horizontal="right"/>
      <protection locked="0"/>
    </xf>
    <xf numFmtId="49" fontId="5" fillId="20" borderId="203" xfId="0" applyNumberFormat="1" applyFont="1" applyFill="1" applyBorder="1" applyAlignment="1">
      <alignment horizontal="left"/>
    </xf>
    <xf numFmtId="0" fontId="53" fillId="2" borderId="163" xfId="0" applyFont="1" applyFill="1" applyBorder="1"/>
    <xf numFmtId="0" fontId="53" fillId="2" borderId="161" xfId="0" applyFont="1" applyFill="1" applyBorder="1"/>
    <xf numFmtId="3" fontId="4" fillId="2" borderId="42" xfId="0" applyNumberFormat="1" applyFont="1" applyFill="1" applyBorder="1" applyAlignment="1" applyProtection="1">
      <alignment horizontal="right"/>
      <protection locked="0"/>
    </xf>
    <xf numFmtId="0" fontId="0" fillId="2" borderId="56" xfId="0" applyFill="1" applyBorder="1"/>
    <xf numFmtId="0" fontId="4" fillId="0" borderId="0" xfId="0" applyFont="1" applyAlignment="1" applyProtection="1">
      <alignment wrapText="1"/>
      <protection locked="0"/>
    </xf>
    <xf numFmtId="0" fontId="53" fillId="2" borderId="1" xfId="0" applyFont="1" applyFill="1" applyBorder="1"/>
    <xf numFmtId="0" fontId="0" fillId="2" borderId="61" xfId="0" applyFill="1" applyBorder="1"/>
    <xf numFmtId="49" fontId="5" fillId="0" borderId="197" xfId="0" applyNumberFormat="1" applyFont="1" applyBorder="1" applyAlignment="1">
      <alignment horizontal="center"/>
    </xf>
    <xf numFmtId="0" fontId="53" fillId="2" borderId="42" xfId="0" applyFont="1" applyFill="1" applyBorder="1"/>
    <xf numFmtId="3" fontId="4" fillId="9" borderId="80" xfId="0" applyNumberFormat="1" applyFont="1" applyFill="1" applyBorder="1"/>
    <xf numFmtId="3" fontId="15" fillId="2" borderId="35" xfId="0" applyNumberFormat="1" applyFont="1" applyFill="1" applyBorder="1" applyAlignment="1" applyProtection="1">
      <alignment horizontal="right"/>
      <protection locked="0"/>
    </xf>
    <xf numFmtId="3" fontId="15" fillId="2" borderId="39" xfId="0" applyNumberFormat="1" applyFont="1" applyFill="1" applyBorder="1" applyAlignment="1" applyProtection="1">
      <alignment horizontal="right"/>
      <protection locked="0"/>
    </xf>
    <xf numFmtId="0" fontId="5" fillId="20" borderId="128" xfId="0" applyFont="1" applyFill="1" applyBorder="1" applyAlignment="1">
      <alignment horizontal="center"/>
    </xf>
    <xf numFmtId="3" fontId="4" fillId="0" borderId="36" xfId="0" applyNumberFormat="1" applyFont="1" applyBorder="1"/>
    <xf numFmtId="167" fontId="7" fillId="20" borderId="142" xfId="0" applyNumberFormat="1" applyFont="1" applyFill="1" applyBorder="1" applyAlignment="1">
      <alignment horizontal="left"/>
    </xf>
    <xf numFmtId="3" fontId="15" fillId="2" borderId="102" xfId="0" applyNumberFormat="1" applyFont="1" applyFill="1" applyBorder="1" applyAlignment="1" applyProtection="1">
      <alignment horizontal="right"/>
      <protection locked="0"/>
    </xf>
    <xf numFmtId="167" fontId="7" fillId="20" borderId="90" xfId="0" applyNumberFormat="1" applyFont="1" applyFill="1" applyBorder="1" applyAlignment="1">
      <alignment horizontal="left"/>
    </xf>
    <xf numFmtId="167" fontId="5" fillId="20" borderId="55" xfId="0" applyNumberFormat="1" applyFont="1" applyFill="1" applyBorder="1" applyAlignment="1">
      <alignment horizontal="left"/>
    </xf>
    <xf numFmtId="0" fontId="5" fillId="20" borderId="34" xfId="0" applyFont="1" applyFill="1" applyBorder="1" applyAlignment="1">
      <alignment horizontal="center"/>
    </xf>
    <xf numFmtId="49" fontId="5" fillId="20" borderId="35" xfId="0" applyNumberFormat="1" applyFont="1" applyFill="1" applyBorder="1" applyAlignment="1">
      <alignment horizontal="center" wrapText="1"/>
    </xf>
    <xf numFmtId="3" fontId="4" fillId="9" borderId="26" xfId="0" applyNumberFormat="1" applyFont="1" applyFill="1" applyBorder="1"/>
    <xf numFmtId="1" fontId="122" fillId="20" borderId="85" xfId="0" applyNumberFormat="1" applyFont="1" applyFill="1" applyBorder="1" applyAlignment="1">
      <alignment horizontal="left" vertical="top" wrapText="1"/>
    </xf>
    <xf numFmtId="0" fontId="5" fillId="20" borderId="191" xfId="0" applyFont="1" applyFill="1" applyBorder="1" applyAlignment="1">
      <alignment wrapText="1"/>
    </xf>
    <xf numFmtId="0" fontId="5" fillId="20" borderId="199" xfId="0" applyFont="1" applyFill="1" applyBorder="1" applyAlignment="1">
      <alignment horizontal="left" wrapText="1"/>
    </xf>
    <xf numFmtId="0" fontId="124" fillId="20" borderId="145" xfId="0" applyFont="1" applyFill="1" applyBorder="1"/>
    <xf numFmtId="3" fontId="4" fillId="3" borderId="109" xfId="0" applyNumberFormat="1" applyFont="1" applyFill="1" applyBorder="1"/>
    <xf numFmtId="3" fontId="4" fillId="3" borderId="7" xfId="0" applyNumberFormat="1" applyFont="1" applyFill="1" applyBorder="1"/>
    <xf numFmtId="3" fontId="12" fillId="2" borderId="6" xfId="0" quotePrefix="1" applyNumberFormat="1" applyFont="1" applyFill="1" applyBorder="1" applyAlignment="1" applyProtection="1">
      <alignment horizontal="right"/>
      <protection locked="0"/>
    </xf>
    <xf numFmtId="3" fontId="12" fillId="0" borderId="6" xfId="0" quotePrefix="1" applyNumberFormat="1" applyFont="1" applyBorder="1" applyAlignment="1" applyProtection="1">
      <alignment horizontal="right"/>
      <protection locked="0"/>
    </xf>
    <xf numFmtId="3" fontId="4" fillId="9" borderId="171" xfId="0" applyNumberFormat="1" applyFont="1" applyFill="1" applyBorder="1"/>
    <xf numFmtId="3" fontId="4" fillId="9" borderId="86" xfId="0" applyNumberFormat="1" applyFont="1" applyFill="1" applyBorder="1"/>
    <xf numFmtId="1" fontId="4" fillId="0" borderId="0" xfId="0" applyNumberFormat="1" applyFont="1" applyAlignment="1">
      <alignment horizontal="left" vertical="top"/>
    </xf>
    <xf numFmtId="3" fontId="4" fillId="0" borderId="18" xfId="5" applyNumberFormat="1" applyFont="1" applyBorder="1" applyAlignment="1" applyProtection="1">
      <alignment horizontal="right"/>
      <protection locked="0"/>
    </xf>
    <xf numFmtId="0" fontId="5" fillId="20" borderId="23" xfId="0" applyFont="1" applyFill="1" applyBorder="1" applyAlignment="1">
      <alignment horizontal="left" vertical="top" wrapText="1"/>
    </xf>
    <xf numFmtId="0" fontId="5" fillId="20" borderId="23" xfId="5" applyFont="1" applyFill="1" applyBorder="1" applyAlignment="1">
      <alignment horizontal="left" vertical="top" wrapText="1"/>
    </xf>
    <xf numFmtId="0" fontId="4" fillId="0" borderId="0" xfId="0" quotePrefix="1" applyFont="1" applyAlignment="1">
      <alignment vertical="top"/>
    </xf>
    <xf numFmtId="49" fontId="5" fillId="20" borderId="0" xfId="5" applyNumberFormat="1" applyFont="1" applyFill="1" applyAlignment="1">
      <alignment horizontal="center"/>
    </xf>
    <xf numFmtId="0" fontId="5" fillId="20" borderId="36" xfId="5" applyFont="1" applyFill="1" applyBorder="1" applyAlignment="1">
      <alignment horizontal="left" vertical="top" wrapText="1"/>
    </xf>
    <xf numFmtId="0" fontId="7" fillId="20" borderId="15" xfId="5" applyFont="1" applyFill="1" applyBorder="1"/>
    <xf numFmtId="0" fontId="5" fillId="20" borderId="41" xfId="5" applyFont="1" applyFill="1" applyBorder="1"/>
    <xf numFmtId="3" fontId="4" fillId="3" borderId="62" xfId="5" applyNumberFormat="1" applyFont="1" applyFill="1" applyBorder="1" applyAlignment="1">
      <alignment horizontal="right"/>
    </xf>
    <xf numFmtId="0" fontId="38" fillId="2" borderId="0" xfId="5" applyFont="1" applyFill="1" applyAlignment="1">
      <alignment horizontal="left" vertical="top"/>
    </xf>
    <xf numFmtId="3" fontId="4" fillId="3" borderId="79" xfId="5" applyNumberFormat="1" applyFont="1" applyFill="1" applyBorder="1" applyAlignment="1">
      <alignment horizontal="right"/>
    </xf>
    <xf numFmtId="0" fontId="7" fillId="20" borderId="113" xfId="5" applyFont="1" applyFill="1" applyBorder="1" applyAlignment="1">
      <alignment horizontal="left"/>
    </xf>
    <xf numFmtId="0" fontId="4" fillId="0" borderId="0" xfId="5" applyFont="1" applyAlignment="1">
      <alignment vertical="top"/>
    </xf>
    <xf numFmtId="3" fontId="4" fillId="0" borderId="2" xfId="5" applyNumberFormat="1" applyFont="1" applyBorder="1" applyAlignment="1" applyProtection="1">
      <alignment horizontal="right"/>
      <protection locked="0"/>
    </xf>
    <xf numFmtId="3" fontId="4" fillId="0" borderId="15" xfId="5" applyNumberFormat="1" applyFont="1" applyBorder="1" applyAlignment="1" applyProtection="1">
      <alignment horizontal="right"/>
      <protection locked="0"/>
    </xf>
    <xf numFmtId="3" fontId="4" fillId="0" borderId="59" xfId="5" applyNumberFormat="1" applyFont="1" applyBorder="1" applyAlignment="1" applyProtection="1">
      <alignment horizontal="right"/>
      <protection locked="0"/>
    </xf>
    <xf numFmtId="0" fontId="3" fillId="2" borderId="0" xfId="5" applyFont="1" applyFill="1" applyAlignment="1">
      <alignment vertical="top"/>
    </xf>
    <xf numFmtId="3" fontId="38" fillId="2" borderId="0" xfId="5" applyNumberFormat="1" applyFont="1" applyFill="1" applyAlignment="1">
      <alignment vertical="top"/>
    </xf>
    <xf numFmtId="0" fontId="70" fillId="2" borderId="0" xfId="5" applyFont="1" applyFill="1" applyAlignment="1">
      <alignment vertical="top"/>
    </xf>
    <xf numFmtId="0" fontId="26" fillId="2" borderId="0" xfId="5" applyFill="1" applyAlignment="1">
      <alignment horizontal="left" vertical="top"/>
    </xf>
    <xf numFmtId="0" fontId="26" fillId="2" borderId="0" xfId="5" applyFill="1" applyAlignment="1">
      <alignment vertical="top"/>
    </xf>
    <xf numFmtId="0" fontId="71" fillId="2" borderId="0" xfId="5" applyFont="1" applyFill="1" applyAlignment="1">
      <alignment vertical="top"/>
    </xf>
    <xf numFmtId="3" fontId="5" fillId="20" borderId="20" xfId="0" applyNumberFormat="1" applyFont="1" applyFill="1" applyBorder="1" applyAlignment="1">
      <alignment horizontal="center"/>
    </xf>
    <xf numFmtId="3" fontId="4" fillId="20" borderId="35" xfId="5" applyNumberFormat="1" applyFont="1" applyFill="1" applyBorder="1"/>
    <xf numFmtId="169" fontId="43" fillId="20" borderId="145" xfId="5" applyNumberFormat="1" applyFont="1" applyFill="1" applyBorder="1"/>
    <xf numFmtId="169" fontId="43" fillId="20" borderId="185" xfId="5" applyNumberFormat="1" applyFont="1" applyFill="1" applyBorder="1"/>
    <xf numFmtId="0" fontId="5" fillId="20" borderId="151" xfId="5" applyFont="1" applyFill="1" applyBorder="1"/>
    <xf numFmtId="3" fontId="7" fillId="20" borderId="106" xfId="5" applyNumberFormat="1" applyFont="1" applyFill="1" applyBorder="1" applyAlignment="1">
      <alignment vertical="top"/>
    </xf>
    <xf numFmtId="3" fontId="5" fillId="20" borderId="0" xfId="5" applyNumberFormat="1" applyFont="1" applyFill="1" applyAlignment="1">
      <alignment vertical="top"/>
    </xf>
    <xf numFmtId="169" fontId="5" fillId="20" borderId="1" xfId="5" applyNumberFormat="1" applyFont="1" applyFill="1" applyBorder="1"/>
    <xf numFmtId="3" fontId="4" fillId="20" borderId="67" xfId="5" applyNumberFormat="1" applyFont="1" applyFill="1" applyBorder="1"/>
    <xf numFmtId="3" fontId="47" fillId="20" borderId="35" xfId="5" applyNumberFormat="1" applyFont="1" applyFill="1" applyBorder="1"/>
    <xf numFmtId="3" fontId="5" fillId="20" borderId="167" xfId="5" applyNumberFormat="1" applyFont="1" applyFill="1" applyBorder="1" applyAlignment="1">
      <alignment vertical="top" wrapText="1"/>
    </xf>
    <xf numFmtId="0" fontId="5" fillId="20" borderId="163" xfId="5" applyFont="1" applyFill="1" applyBorder="1" applyAlignment="1">
      <alignment vertical="top" wrapText="1"/>
    </xf>
    <xf numFmtId="3" fontId="5" fillId="20" borderId="153" xfId="5" applyNumberFormat="1" applyFont="1" applyFill="1" applyBorder="1" applyAlignment="1">
      <alignment vertical="center"/>
    </xf>
    <xf numFmtId="0" fontId="5" fillId="20" borderId="16" xfId="5" applyFont="1" applyFill="1" applyBorder="1" applyAlignment="1">
      <alignment horizontal="left" vertical="center"/>
    </xf>
    <xf numFmtId="0" fontId="5" fillId="20" borderId="16" xfId="5" applyFont="1" applyFill="1" applyBorder="1" applyAlignment="1">
      <alignment vertical="top"/>
    </xf>
    <xf numFmtId="3" fontId="4" fillId="20" borderId="15" xfId="5" applyNumberFormat="1" applyFont="1" applyFill="1" applyBorder="1"/>
    <xf numFmtId="3" fontId="4" fillId="20" borderId="13" xfId="5" applyNumberFormat="1" applyFont="1" applyFill="1" applyBorder="1"/>
    <xf numFmtId="0" fontId="5" fillId="20" borderId="184" xfId="0" applyFont="1" applyFill="1" applyBorder="1"/>
    <xf numFmtId="3" fontId="5" fillId="20" borderId="151" xfId="0" applyNumberFormat="1" applyFont="1" applyFill="1" applyBorder="1"/>
    <xf numFmtId="3" fontId="5" fillId="20" borderId="153" xfId="0" applyNumberFormat="1" applyFont="1" applyFill="1" applyBorder="1"/>
    <xf numFmtId="0" fontId="5" fillId="20" borderId="113" xfId="0" applyFont="1" applyFill="1" applyBorder="1"/>
    <xf numFmtId="3" fontId="7" fillId="20" borderId="91" xfId="0" applyNumberFormat="1" applyFont="1" applyFill="1" applyBorder="1"/>
    <xf numFmtId="0" fontId="5" fillId="20" borderId="55" xfId="0" applyFont="1" applyFill="1" applyBorder="1"/>
    <xf numFmtId="0" fontId="5" fillId="20" borderId="106" xfId="5" applyFont="1" applyFill="1" applyBorder="1"/>
    <xf numFmtId="0" fontId="5" fillId="20" borderId="162" xfId="0" applyFont="1" applyFill="1" applyBorder="1"/>
    <xf numFmtId="0" fontId="5" fillId="20" borderId="153" xfId="0" applyFont="1" applyFill="1" applyBorder="1"/>
    <xf numFmtId="0" fontId="7" fillId="20" borderId="53" xfId="0" applyFont="1" applyFill="1" applyBorder="1"/>
    <xf numFmtId="3" fontId="4" fillId="9" borderId="35" xfId="0" applyNumberFormat="1" applyFont="1" applyFill="1" applyBorder="1"/>
    <xf numFmtId="3" fontId="4" fillId="9" borderId="131" xfId="0" applyNumberFormat="1" applyFont="1" applyFill="1" applyBorder="1"/>
    <xf numFmtId="0" fontId="7" fillId="20" borderId="54" xfId="0" applyFont="1" applyFill="1" applyBorder="1"/>
    <xf numFmtId="3" fontId="4" fillId="9" borderId="2" xfId="0" applyNumberFormat="1" applyFont="1" applyFill="1" applyBorder="1"/>
    <xf numFmtId="3" fontId="4" fillId="9" borderId="53" xfId="0" applyNumberFormat="1" applyFont="1" applyFill="1" applyBorder="1"/>
    <xf numFmtId="0" fontId="12" fillId="0" borderId="0" xfId="0" applyFont="1"/>
    <xf numFmtId="1" fontId="5" fillId="20" borderId="84" xfId="0" applyNumberFormat="1" applyFont="1" applyFill="1" applyBorder="1" applyAlignment="1">
      <alignment horizontal="center" vertical="top" wrapText="1"/>
    </xf>
    <xf numFmtId="3" fontId="5" fillId="20" borderId="153" xfId="0" applyNumberFormat="1" applyFont="1" applyFill="1" applyBorder="1" applyAlignment="1">
      <alignment vertical="top"/>
    </xf>
    <xf numFmtId="3" fontId="113" fillId="2" borderId="0" xfId="0" applyNumberFormat="1" applyFont="1" applyFill="1"/>
    <xf numFmtId="3" fontId="4" fillId="0" borderId="7" xfId="0" applyNumberFormat="1" applyFont="1" applyBorder="1" applyAlignment="1" applyProtection="1">
      <alignment horizontal="right"/>
      <protection locked="0"/>
    </xf>
    <xf numFmtId="0" fontId="113" fillId="2" borderId="0" xfId="0" applyFont="1" applyFill="1" applyAlignment="1">
      <alignment horizontal="left"/>
    </xf>
    <xf numFmtId="3" fontId="44" fillId="0" borderId="119" xfId="5" applyNumberFormat="1" applyFont="1" applyBorder="1" applyAlignment="1">
      <alignment horizontal="right"/>
    </xf>
    <xf numFmtId="49" fontId="5" fillId="20" borderId="165" xfId="0" applyNumberFormat="1" applyFont="1" applyFill="1" applyBorder="1"/>
    <xf numFmtId="3" fontId="12" fillId="27" borderId="155" xfId="0" applyNumberFormat="1" applyFont="1" applyFill="1" applyBorder="1"/>
    <xf numFmtId="3" fontId="12" fillId="27" borderId="67" xfId="0" applyNumberFormat="1" applyFont="1" applyFill="1" applyBorder="1"/>
    <xf numFmtId="3" fontId="12" fillId="27" borderId="68" xfId="0" applyNumberFormat="1" applyFont="1" applyFill="1" applyBorder="1"/>
    <xf numFmtId="1" fontId="5" fillId="20" borderId="205" xfId="0" applyNumberFormat="1" applyFont="1" applyFill="1" applyBorder="1" applyAlignment="1">
      <alignment horizontal="left"/>
    </xf>
    <xf numFmtId="1" fontId="5" fillId="20" borderId="205" xfId="0" applyNumberFormat="1" applyFont="1" applyFill="1" applyBorder="1"/>
    <xf numFmtId="1" fontId="4" fillId="20" borderId="206" xfId="0" applyNumberFormat="1" applyFont="1" applyFill="1" applyBorder="1"/>
    <xf numFmtId="1" fontId="125" fillId="20" borderId="208" xfId="0" applyNumberFormat="1" applyFont="1" applyFill="1" applyBorder="1"/>
    <xf numFmtId="1" fontId="126" fillId="20" borderId="207" xfId="0" applyNumberFormat="1" applyFont="1" applyFill="1" applyBorder="1"/>
    <xf numFmtId="1" fontId="125" fillId="20" borderId="209" xfId="0" applyNumberFormat="1" applyFont="1" applyFill="1" applyBorder="1"/>
    <xf numFmtId="1" fontId="125" fillId="20" borderId="210" xfId="0" applyNumberFormat="1" applyFont="1" applyFill="1" applyBorder="1"/>
    <xf numFmtId="1" fontId="126" fillId="20" borderId="173" xfId="0" applyNumberFormat="1" applyFont="1" applyFill="1" applyBorder="1"/>
    <xf numFmtId="1" fontId="126" fillId="20" borderId="38" xfId="0" applyNumberFormat="1" applyFont="1" applyFill="1" applyBorder="1"/>
    <xf numFmtId="1" fontId="126" fillId="20" borderId="58" xfId="0" applyNumberFormat="1" applyFont="1" applyFill="1" applyBorder="1"/>
    <xf numFmtId="1" fontId="126" fillId="20" borderId="0" xfId="0" applyNumberFormat="1" applyFont="1" applyFill="1"/>
    <xf numFmtId="0" fontId="119" fillId="20" borderId="38" xfId="0" applyFont="1" applyFill="1" applyBorder="1"/>
    <xf numFmtId="0" fontId="119" fillId="20" borderId="65" xfId="0" applyFont="1" applyFill="1" applyBorder="1"/>
    <xf numFmtId="0" fontId="119" fillId="20" borderId="173" xfId="0" applyFont="1" applyFill="1" applyBorder="1"/>
    <xf numFmtId="49" fontId="126" fillId="20" borderId="38" xfId="0" applyNumberFormat="1" applyFont="1" applyFill="1" applyBorder="1"/>
    <xf numFmtId="0" fontId="119" fillId="20" borderId="58" xfId="0" applyFont="1" applyFill="1" applyBorder="1"/>
    <xf numFmtId="3" fontId="4" fillId="2" borderId="86" xfId="0" applyNumberFormat="1" applyFont="1" applyFill="1" applyBorder="1" applyAlignment="1" applyProtection="1">
      <alignment horizontal="right"/>
      <protection locked="0"/>
    </xf>
    <xf numFmtId="0" fontId="26" fillId="20" borderId="154" xfId="5" applyFill="1" applyBorder="1" applyAlignment="1">
      <alignment horizontal="left" wrapText="1"/>
    </xf>
    <xf numFmtId="169" fontId="43" fillId="20" borderId="154" xfId="5" applyNumberFormat="1" applyFont="1" applyFill="1" applyBorder="1"/>
    <xf numFmtId="0" fontId="26" fillId="20" borderId="154" xfId="5" applyFill="1" applyBorder="1"/>
    <xf numFmtId="3" fontId="44" fillId="20" borderId="154" xfId="5" applyNumberFormat="1" applyFont="1" applyFill="1" applyBorder="1"/>
    <xf numFmtId="3" fontId="4" fillId="20" borderId="32" xfId="5" applyNumberFormat="1" applyFont="1" applyFill="1" applyBorder="1" applyAlignment="1">
      <alignment horizontal="right"/>
    </xf>
    <xf numFmtId="3" fontId="4" fillId="20" borderId="31" xfId="5" applyNumberFormat="1" applyFont="1" applyFill="1" applyBorder="1" applyAlignment="1">
      <alignment horizontal="right"/>
    </xf>
    <xf numFmtId="3" fontId="4" fillId="20" borderId="33" xfId="5" applyNumberFormat="1" applyFont="1" applyFill="1" applyBorder="1" applyAlignment="1">
      <alignment horizontal="right"/>
    </xf>
    <xf numFmtId="3" fontId="4" fillId="20" borderId="114" xfId="5" applyNumberFormat="1" applyFont="1" applyFill="1" applyBorder="1" applyAlignment="1">
      <alignment horizontal="right"/>
    </xf>
    <xf numFmtId="3" fontId="4" fillId="20" borderId="98" xfId="5" applyNumberFormat="1" applyFont="1" applyFill="1" applyBorder="1" applyAlignment="1">
      <alignment horizontal="right"/>
    </xf>
    <xf numFmtId="3" fontId="4" fillId="20" borderId="204" xfId="5" applyNumberFormat="1" applyFont="1" applyFill="1" applyBorder="1" applyAlignment="1">
      <alignment horizontal="right"/>
    </xf>
    <xf numFmtId="3" fontId="4" fillId="20" borderId="201" xfId="5" applyNumberFormat="1" applyFont="1" applyFill="1" applyBorder="1" applyAlignment="1">
      <alignment horizontal="right"/>
    </xf>
    <xf numFmtId="3" fontId="4" fillId="20" borderId="33" xfId="5" applyNumberFormat="1" applyFont="1" applyFill="1" applyBorder="1"/>
    <xf numFmtId="0" fontId="26" fillId="20" borderId="174" xfId="5" applyFill="1" applyBorder="1"/>
    <xf numFmtId="3" fontId="47" fillId="21" borderId="125" xfId="0" applyNumberFormat="1" applyFont="1" applyFill="1" applyBorder="1"/>
    <xf numFmtId="0" fontId="0" fillId="0" borderId="56" xfId="0" applyBorder="1"/>
    <xf numFmtId="0" fontId="0" fillId="0" borderId="0" xfId="0" applyAlignment="1" applyProtection="1">
      <alignment wrapText="1"/>
      <protection locked="0"/>
    </xf>
    <xf numFmtId="3" fontId="4" fillId="0" borderId="19" xfId="0" applyNumberFormat="1" applyFont="1" applyBorder="1" applyAlignment="1" applyProtection="1">
      <alignment horizontal="right"/>
      <protection locked="0"/>
    </xf>
    <xf numFmtId="3" fontId="5" fillId="20" borderId="55" xfId="0" applyNumberFormat="1" applyFont="1" applyFill="1" applyBorder="1" applyAlignment="1">
      <alignment horizontal="left" wrapText="1"/>
    </xf>
    <xf numFmtId="3" fontId="5" fillId="20" borderId="55" xfId="0" applyNumberFormat="1" applyFont="1" applyFill="1" applyBorder="1" applyAlignment="1">
      <alignment horizontal="left" vertical="top"/>
    </xf>
    <xf numFmtId="3" fontId="5" fillId="20" borderId="142" xfId="0" applyNumberFormat="1" applyFont="1" applyFill="1" applyBorder="1" applyAlignment="1">
      <alignment horizontal="left" vertical="top"/>
    </xf>
    <xf numFmtId="170" fontId="5" fillId="20" borderId="212" xfId="0" applyNumberFormat="1" applyFont="1" applyFill="1" applyBorder="1" applyAlignment="1">
      <alignment horizontal="left"/>
    </xf>
    <xf numFmtId="3" fontId="15" fillId="2" borderId="142" xfId="0" applyNumberFormat="1" applyFont="1" applyFill="1" applyBorder="1" applyAlignment="1" applyProtection="1">
      <alignment horizontal="right"/>
      <protection locked="0"/>
    </xf>
    <xf numFmtId="3" fontId="4" fillId="3" borderId="213" xfId="0" applyNumberFormat="1" applyFont="1" applyFill="1" applyBorder="1" applyAlignment="1">
      <alignment horizontal="right"/>
    </xf>
    <xf numFmtId="3" fontId="15" fillId="6" borderId="142" xfId="0" applyNumberFormat="1" applyFont="1" applyFill="1" applyBorder="1" applyAlignment="1" applyProtection="1">
      <alignment horizontal="right"/>
      <protection locked="0"/>
    </xf>
    <xf numFmtId="3" fontId="4" fillId="20" borderId="212" xfId="0" applyNumberFormat="1" applyFont="1" applyFill="1" applyBorder="1" applyAlignment="1">
      <alignment horizontal="right"/>
    </xf>
    <xf numFmtId="3" fontId="4" fillId="3" borderId="142" xfId="0" applyNumberFormat="1" applyFont="1" applyFill="1" applyBorder="1" applyAlignment="1">
      <alignment horizontal="right"/>
    </xf>
    <xf numFmtId="3" fontId="4" fillId="3" borderId="203" xfId="0" applyNumberFormat="1" applyFont="1" applyFill="1" applyBorder="1" applyAlignment="1">
      <alignment horizontal="right"/>
    </xf>
    <xf numFmtId="3" fontId="15" fillId="2" borderId="81" xfId="0" applyNumberFormat="1" applyFont="1" applyFill="1" applyBorder="1" applyAlignment="1" applyProtection="1">
      <alignment horizontal="right"/>
      <protection locked="0"/>
    </xf>
    <xf numFmtId="3" fontId="4" fillId="3" borderId="194" xfId="0" applyNumberFormat="1" applyFont="1" applyFill="1" applyBorder="1" applyAlignment="1">
      <alignment horizontal="right"/>
    </xf>
    <xf numFmtId="3" fontId="7" fillId="0" borderId="57" xfId="0" applyNumberFormat="1" applyFont="1" applyBorder="1" applyAlignment="1">
      <alignment horizontal="left"/>
    </xf>
    <xf numFmtId="3" fontId="5" fillId="0" borderId="0" xfId="0" applyNumberFormat="1" applyFont="1" applyAlignment="1">
      <alignment horizontal="left"/>
    </xf>
    <xf numFmtId="3" fontId="7" fillId="0" borderId="57" xfId="0" applyNumberFormat="1" applyFont="1" applyBorder="1" applyAlignment="1">
      <alignment horizontal="left" vertical="top" wrapText="1"/>
    </xf>
    <xf numFmtId="3" fontId="5" fillId="0" borderId="0" xfId="0" applyNumberFormat="1" applyFont="1" applyAlignment="1">
      <alignment horizontal="left" wrapText="1"/>
    </xf>
    <xf numFmtId="0" fontId="7" fillId="0" borderId="57" xfId="0" applyFont="1" applyBorder="1" applyAlignment="1">
      <alignment horizontal="left"/>
    </xf>
    <xf numFmtId="3" fontId="5" fillId="0" borderId="0" xfId="0" applyNumberFormat="1" applyFont="1" applyAlignment="1">
      <alignment horizontal="left" vertical="top"/>
    </xf>
    <xf numFmtId="3" fontId="5" fillId="0" borderId="57" xfId="0" applyNumberFormat="1" applyFont="1" applyBorder="1" applyAlignment="1">
      <alignment horizontal="left" vertical="top" wrapText="1"/>
    </xf>
    <xf numFmtId="170" fontId="5" fillId="0" borderId="57" xfId="0" applyNumberFormat="1" applyFont="1" applyBorder="1" applyAlignment="1">
      <alignment horizontal="left"/>
    </xf>
    <xf numFmtId="170" fontId="5" fillId="0" borderId="0" xfId="0" applyNumberFormat="1" applyFont="1" applyAlignment="1">
      <alignment horizontal="left"/>
    </xf>
    <xf numFmtId="3" fontId="113" fillId="0" borderId="0" xfId="0" applyNumberFormat="1" applyFont="1" applyAlignment="1">
      <alignment horizontal="right"/>
    </xf>
    <xf numFmtId="49" fontId="5" fillId="20" borderId="86" xfId="0" applyNumberFormat="1" applyFont="1" applyFill="1" applyBorder="1" applyAlignment="1">
      <alignment horizontal="center"/>
    </xf>
    <xf numFmtId="49" fontId="5" fillId="20" borderId="172" xfId="0" applyNumberFormat="1" applyFont="1" applyFill="1" applyBorder="1" applyAlignment="1">
      <alignment horizontal="left"/>
    </xf>
    <xf numFmtId="0" fontId="4" fillId="20" borderId="105" xfId="0" applyFont="1" applyFill="1" applyBorder="1"/>
    <xf numFmtId="49" fontId="5" fillId="20" borderId="70" xfId="0" applyNumberFormat="1" applyFont="1" applyFill="1" applyBorder="1" applyAlignment="1">
      <alignment horizontal="left"/>
    </xf>
    <xf numFmtId="49" fontId="5" fillId="20" borderId="25" xfId="0" applyNumberFormat="1" applyFont="1" applyFill="1" applyBorder="1" applyAlignment="1">
      <alignment horizontal="center"/>
    </xf>
    <xf numFmtId="0" fontId="5" fillId="20" borderId="112" xfId="0" applyFont="1" applyFill="1" applyBorder="1" applyAlignment="1">
      <alignment horizontal="center" vertical="top" wrapText="1"/>
    </xf>
    <xf numFmtId="0" fontId="113" fillId="0" borderId="57" xfId="0" applyFont="1" applyBorder="1" applyAlignment="1">
      <alignment horizontal="left"/>
    </xf>
    <xf numFmtId="0" fontId="4" fillId="20" borderId="93" xfId="0" applyFont="1" applyFill="1" applyBorder="1" applyAlignment="1">
      <alignment horizontal="left" vertical="top" wrapText="1"/>
    </xf>
    <xf numFmtId="0" fontId="5" fillId="20" borderId="106" xfId="5" applyFont="1" applyFill="1" applyBorder="1" applyAlignment="1">
      <alignment horizontal="left" vertical="top"/>
    </xf>
    <xf numFmtId="3" fontId="47" fillId="20" borderId="9" xfId="5" applyNumberFormat="1" applyFont="1" applyFill="1" applyBorder="1" applyAlignment="1">
      <alignment horizontal="right"/>
    </xf>
    <xf numFmtId="0" fontId="5" fillId="20" borderId="3" xfId="0" applyFont="1" applyFill="1" applyBorder="1" applyAlignment="1">
      <alignment vertical="top" wrapText="1"/>
    </xf>
    <xf numFmtId="3" fontId="4" fillId="2" borderId="214" xfId="0" applyNumberFormat="1" applyFont="1" applyFill="1" applyBorder="1" applyProtection="1">
      <protection locked="0"/>
    </xf>
    <xf numFmtId="3" fontId="4" fillId="2" borderId="105" xfId="0" applyNumberFormat="1" applyFont="1" applyFill="1" applyBorder="1" applyProtection="1">
      <protection locked="0"/>
    </xf>
    <xf numFmtId="3" fontId="4" fillId="0" borderId="34" xfId="0" applyNumberFormat="1" applyFont="1" applyBorder="1" applyProtection="1">
      <protection locked="0"/>
    </xf>
    <xf numFmtId="3" fontId="4" fillId="0" borderId="109" xfId="0" applyNumberFormat="1" applyFont="1" applyBorder="1" applyProtection="1">
      <protection locked="0"/>
    </xf>
    <xf numFmtId="3" fontId="15" fillId="0" borderId="22" xfId="0" applyNumberFormat="1" applyFont="1" applyBorder="1" applyAlignment="1" applyProtection="1">
      <alignment horizontal="right"/>
      <protection locked="0"/>
    </xf>
    <xf numFmtId="3" fontId="15" fillId="0" borderId="5" xfId="0" applyNumberFormat="1" applyFont="1" applyBorder="1" applyAlignment="1" applyProtection="1">
      <alignment horizontal="right"/>
      <protection locked="0"/>
    </xf>
    <xf numFmtId="3" fontId="15" fillId="0" borderId="21" xfId="0" applyNumberFormat="1" applyFont="1" applyBorder="1" applyAlignment="1" applyProtection="1">
      <alignment horizontal="right"/>
      <protection locked="0"/>
    </xf>
    <xf numFmtId="3" fontId="15" fillId="0" borderId="2" xfId="0" applyNumberFormat="1" applyFont="1" applyBorder="1" applyAlignment="1" applyProtection="1">
      <alignment horizontal="right"/>
      <protection locked="0"/>
    </xf>
    <xf numFmtId="3" fontId="15" fillId="27" borderId="29" xfId="0" applyNumberFormat="1" applyFont="1" applyFill="1" applyBorder="1" applyAlignment="1">
      <alignment horizontal="right"/>
    </xf>
    <xf numFmtId="3" fontId="4" fillId="20" borderId="89" xfId="0" applyNumberFormat="1" applyFont="1" applyFill="1" applyBorder="1" applyAlignment="1">
      <alignment horizontal="right"/>
    </xf>
    <xf numFmtId="3" fontId="4" fillId="3" borderId="80" xfId="0" applyNumberFormat="1" applyFont="1" applyFill="1" applyBorder="1" applyAlignment="1">
      <alignment horizontal="right"/>
    </xf>
    <xf numFmtId="0" fontId="26" fillId="0" borderId="0" xfId="0" quotePrefix="1" applyFont="1" applyAlignment="1">
      <alignment vertical="top" wrapText="1"/>
    </xf>
    <xf numFmtId="0" fontId="4" fillId="0" borderId="0" xfId="0" applyFont="1" applyAlignment="1">
      <alignment wrapText="1"/>
    </xf>
    <xf numFmtId="3" fontId="5" fillId="20" borderId="20" xfId="5" applyNumberFormat="1" applyFont="1" applyFill="1" applyBorder="1" applyAlignment="1">
      <alignment horizontal="center"/>
    </xf>
    <xf numFmtId="3" fontId="4" fillId="32" borderId="108" xfId="5" applyNumberFormat="1" applyFont="1" applyFill="1" applyBorder="1"/>
    <xf numFmtId="3" fontId="4" fillId="32" borderId="5" xfId="5" applyNumberFormat="1" applyFont="1" applyFill="1" applyBorder="1" applyAlignment="1">
      <alignment horizontal="right"/>
    </xf>
    <xf numFmtId="3" fontId="4" fillId="32" borderId="69" xfId="5" applyNumberFormat="1" applyFont="1" applyFill="1" applyBorder="1" applyAlignment="1">
      <alignment horizontal="right"/>
    </xf>
    <xf numFmtId="3" fontId="4" fillId="32" borderId="25" xfId="5" applyNumberFormat="1" applyFont="1" applyFill="1" applyBorder="1" applyAlignment="1">
      <alignment horizontal="right"/>
    </xf>
    <xf numFmtId="3" fontId="113" fillId="20" borderId="14" xfId="0" applyNumberFormat="1" applyFont="1" applyFill="1" applyBorder="1"/>
    <xf numFmtId="3" fontId="115" fillId="20" borderId="9" xfId="0" applyNumberFormat="1" applyFont="1" applyFill="1" applyBorder="1"/>
    <xf numFmtId="3" fontId="116" fillId="20" borderId="9" xfId="0" applyNumberFormat="1" applyFont="1" applyFill="1" applyBorder="1"/>
    <xf numFmtId="3" fontId="116" fillId="20" borderId="5" xfId="0" applyNumberFormat="1" applyFont="1" applyFill="1" applyBorder="1"/>
    <xf numFmtId="3" fontId="5" fillId="20" borderId="15" xfId="5" applyNumberFormat="1" applyFont="1" applyFill="1" applyBorder="1" applyAlignment="1">
      <alignment vertical="top" wrapText="1"/>
    </xf>
    <xf numFmtId="3" fontId="5" fillId="20" borderId="153" xfId="5" applyNumberFormat="1" applyFont="1" applyFill="1" applyBorder="1" applyAlignment="1">
      <alignment vertical="center" wrapText="1"/>
    </xf>
    <xf numFmtId="49" fontId="5" fillId="20" borderId="69" xfId="0" applyNumberFormat="1" applyFont="1" applyFill="1" applyBorder="1" applyAlignment="1">
      <alignment horizontal="center"/>
    </xf>
    <xf numFmtId="167" fontId="7" fillId="20" borderId="83" xfId="0" applyNumberFormat="1" applyFont="1" applyFill="1" applyBorder="1" applyAlignment="1">
      <alignment horizontal="left"/>
    </xf>
    <xf numFmtId="167" fontId="5" fillId="20" borderId="59" xfId="0" applyNumberFormat="1" applyFont="1" applyFill="1" applyBorder="1" applyAlignment="1">
      <alignment horizontal="left"/>
    </xf>
    <xf numFmtId="0" fontId="7" fillId="20" borderId="83" xfId="0" applyFont="1" applyFill="1" applyBorder="1" applyAlignment="1">
      <alignment horizontal="left"/>
    </xf>
    <xf numFmtId="0" fontId="123" fillId="20" borderId="96" xfId="0" applyFont="1" applyFill="1" applyBorder="1" applyAlignment="1">
      <alignment vertical="top" wrapText="1"/>
    </xf>
    <xf numFmtId="0" fontId="123" fillId="20" borderId="83" xfId="0" applyFont="1" applyFill="1" applyBorder="1" applyAlignment="1">
      <alignment vertical="top" wrapText="1"/>
    </xf>
    <xf numFmtId="49" fontId="5" fillId="20" borderId="22" xfId="5" applyNumberFormat="1" applyFont="1" applyFill="1" applyBorder="1" applyAlignment="1">
      <alignment horizontal="center"/>
    </xf>
    <xf numFmtId="0" fontId="7" fillId="20" borderId="79" xfId="5" applyFont="1" applyFill="1" applyBorder="1"/>
    <xf numFmtId="3" fontId="7" fillId="20" borderId="113" xfId="5" applyNumberFormat="1" applyFont="1" applyFill="1" applyBorder="1" applyAlignment="1">
      <alignment horizontal="left" vertical="top" wrapText="1"/>
    </xf>
    <xf numFmtId="3" fontId="7" fillId="20" borderId="83" xfId="5" applyNumberFormat="1" applyFont="1" applyFill="1" applyBorder="1" applyAlignment="1">
      <alignment horizontal="left" vertical="top" wrapText="1"/>
    </xf>
    <xf numFmtId="3" fontId="7" fillId="20" borderId="59" xfId="5" applyNumberFormat="1" applyFont="1" applyFill="1" applyBorder="1" applyAlignment="1">
      <alignment horizontal="left"/>
    </xf>
    <xf numFmtId="3" fontId="7" fillId="20" borderId="59" xfId="5" quotePrefix="1" applyNumberFormat="1" applyFont="1" applyFill="1" applyBorder="1" applyAlignment="1">
      <alignment horizontal="left" vertical="top"/>
    </xf>
    <xf numFmtId="0" fontId="5" fillId="20" borderId="41" xfId="5" applyFont="1" applyFill="1" applyBorder="1" applyAlignment="1">
      <alignment horizontal="center" wrapText="1"/>
    </xf>
    <xf numFmtId="3" fontId="5" fillId="20" borderId="85" xfId="5" applyNumberFormat="1" applyFont="1" applyFill="1" applyBorder="1" applyAlignment="1">
      <alignment horizontal="center" wrapText="1"/>
    </xf>
    <xf numFmtId="3" fontId="7" fillId="20" borderId="184" xfId="5" applyNumberFormat="1" applyFont="1" applyFill="1" applyBorder="1"/>
    <xf numFmtId="3" fontId="7" fillId="20" borderId="0" xfId="5" applyNumberFormat="1" applyFont="1" applyFill="1" applyAlignment="1">
      <alignment vertical="center"/>
    </xf>
    <xf numFmtId="3" fontId="5" fillId="20" borderId="184" xfId="0" applyNumberFormat="1" applyFont="1" applyFill="1" applyBorder="1"/>
    <xf numFmtId="49" fontId="5" fillId="20" borderId="2" xfId="0" applyNumberFormat="1" applyFont="1" applyFill="1" applyBorder="1" applyAlignment="1">
      <alignment horizontal="left" vertical="top" wrapText="1"/>
    </xf>
    <xf numFmtId="3" fontId="7" fillId="20" borderId="211" xfId="5" applyNumberFormat="1" applyFont="1" applyFill="1" applyBorder="1" applyAlignment="1">
      <alignment horizontal="left" vertical="center" wrapText="1"/>
    </xf>
    <xf numFmtId="0" fontId="128" fillId="20" borderId="2" xfId="5" applyFont="1" applyFill="1" applyBorder="1" applyAlignment="1">
      <alignment horizontal="left"/>
    </xf>
    <xf numFmtId="49" fontId="102" fillId="20" borderId="22" xfId="0" applyNumberFormat="1" applyFont="1" applyFill="1" applyBorder="1" applyAlignment="1">
      <alignment horizontal="center"/>
    </xf>
    <xf numFmtId="0" fontId="102" fillId="20" borderId="24" xfId="0" applyFont="1" applyFill="1" applyBorder="1" applyAlignment="1">
      <alignment horizontal="center"/>
    </xf>
    <xf numFmtId="49" fontId="128" fillId="20" borderId="22" xfId="5" applyNumberFormat="1" applyFont="1" applyFill="1" applyBorder="1" applyAlignment="1">
      <alignment horizontal="center"/>
    </xf>
    <xf numFmtId="49" fontId="128" fillId="20" borderId="24" xfId="5" applyNumberFormat="1" applyFont="1" applyFill="1" applyBorder="1" applyAlignment="1">
      <alignment horizontal="center"/>
    </xf>
    <xf numFmtId="49" fontId="128" fillId="20" borderId="137" xfId="0" applyNumberFormat="1" applyFont="1" applyFill="1" applyBorder="1" applyAlignment="1">
      <alignment horizontal="center"/>
    </xf>
    <xf numFmtId="49" fontId="128" fillId="20" borderId="141" xfId="5" applyNumberFormat="1" applyFont="1" applyFill="1" applyBorder="1" applyAlignment="1">
      <alignment horizontal="center"/>
    </xf>
    <xf numFmtId="0" fontId="129" fillId="20" borderId="9" xfId="0" applyFont="1" applyFill="1" applyBorder="1" applyAlignment="1">
      <alignment horizontal="left"/>
    </xf>
    <xf numFmtId="3" fontId="4" fillId="21" borderId="20" xfId="0" applyNumberFormat="1" applyFont="1" applyFill="1" applyBorder="1"/>
    <xf numFmtId="3" fontId="4" fillId="9" borderId="174" xfId="0" applyNumberFormat="1" applyFont="1" applyFill="1" applyBorder="1"/>
    <xf numFmtId="3" fontId="4" fillId="20" borderId="32" xfId="0" applyNumberFormat="1" applyFont="1" applyFill="1" applyBorder="1" applyAlignment="1">
      <alignment horizontal="right"/>
    </xf>
    <xf numFmtId="3" fontId="4" fillId="0" borderId="19" xfId="0" applyNumberFormat="1" applyFont="1" applyBorder="1" applyProtection="1">
      <protection locked="0"/>
    </xf>
    <xf numFmtId="3" fontId="4" fillId="0" borderId="26" xfId="0" applyNumberFormat="1" applyFont="1" applyBorder="1" applyProtection="1">
      <protection locked="0"/>
    </xf>
    <xf numFmtId="0" fontId="65" fillId="20" borderId="27" xfId="0" applyFont="1" applyFill="1" applyBorder="1" applyAlignment="1">
      <alignment horizontal="right" wrapText="1"/>
    </xf>
    <xf numFmtId="0" fontId="0" fillId="20" borderId="0" xfId="0" applyFill="1"/>
    <xf numFmtId="0" fontId="128" fillId="20" borderId="0" xfId="0" applyFont="1" applyFill="1" applyAlignment="1">
      <alignment wrapText="1"/>
    </xf>
    <xf numFmtId="0" fontId="128" fillId="20" borderId="207" xfId="0" applyFont="1" applyFill="1" applyBorder="1" applyAlignment="1">
      <alignment wrapText="1"/>
    </xf>
    <xf numFmtId="0" fontId="130" fillId="20" borderId="0" xfId="0" applyFont="1" applyFill="1" applyAlignment="1">
      <alignment vertical="top" wrapText="1"/>
    </xf>
    <xf numFmtId="0" fontId="130" fillId="20" borderId="0" xfId="0" applyFont="1" applyFill="1" applyAlignment="1">
      <alignment wrapText="1"/>
    </xf>
    <xf numFmtId="0" fontId="129" fillId="20" borderId="0" xfId="0" applyFont="1" applyFill="1" applyAlignment="1">
      <alignment wrapText="1"/>
    </xf>
    <xf numFmtId="0" fontId="113" fillId="20" borderId="0" xfId="0" applyFont="1" applyFill="1" applyAlignment="1">
      <alignment wrapText="1"/>
    </xf>
    <xf numFmtId="0" fontId="0" fillId="20" borderId="0" xfId="0" applyFill="1" applyAlignment="1">
      <alignment wrapText="1"/>
    </xf>
    <xf numFmtId="0" fontId="0" fillId="20" borderId="0" xfId="0" applyFill="1" applyAlignment="1">
      <alignment horizontal="left" vertical="top" wrapText="1"/>
    </xf>
    <xf numFmtId="0" fontId="128" fillId="20" borderId="38" xfId="0" applyFont="1" applyFill="1" applyBorder="1" applyAlignment="1">
      <alignment wrapText="1"/>
    </xf>
    <xf numFmtId="0" fontId="9" fillId="20" borderId="0" xfId="0" applyFont="1" applyFill="1" applyAlignment="1">
      <alignment wrapText="1"/>
    </xf>
    <xf numFmtId="0" fontId="38" fillId="0" borderId="0" xfId="0" quotePrefix="1" applyFont="1"/>
    <xf numFmtId="0" fontId="101" fillId="0" borderId="0" xfId="0" applyFont="1" applyAlignment="1">
      <alignment wrapText="1"/>
    </xf>
    <xf numFmtId="0" fontId="114" fillId="0" borderId="0" xfId="0" applyFont="1" applyAlignment="1">
      <alignment vertical="top" wrapText="1"/>
    </xf>
    <xf numFmtId="1" fontId="113" fillId="0" borderId="57" xfId="0" applyNumberFormat="1" applyFont="1" applyBorder="1" applyAlignment="1">
      <alignment horizontal="left"/>
    </xf>
    <xf numFmtId="0" fontId="113" fillId="0" borderId="0" xfId="0" applyFont="1" applyAlignment="1">
      <alignment horizontal="left" wrapText="1"/>
    </xf>
    <xf numFmtId="0" fontId="127" fillId="0" borderId="0" xfId="0" applyFont="1"/>
    <xf numFmtId="3" fontId="38" fillId="0" borderId="55" xfId="5" quotePrefix="1" applyNumberFormat="1" applyFont="1" applyBorder="1" applyAlignment="1">
      <alignment horizontal="left"/>
    </xf>
    <xf numFmtId="49" fontId="128" fillId="20" borderId="7" xfId="0" applyNumberFormat="1" applyFont="1" applyFill="1" applyBorder="1" applyAlignment="1">
      <alignment horizontal="center"/>
    </xf>
    <xf numFmtId="0" fontId="114" fillId="0" borderId="0" xfId="0" applyFont="1" applyAlignment="1">
      <alignment horizontal="right" vertical="top" wrapText="1"/>
    </xf>
    <xf numFmtId="3" fontId="4" fillId="0" borderId="32" xfId="0" applyNumberFormat="1" applyFont="1" applyBorder="1" applyProtection="1">
      <protection locked="0"/>
    </xf>
    <xf numFmtId="49" fontId="5" fillId="20" borderId="41" xfId="0" applyNumberFormat="1" applyFont="1" applyFill="1" applyBorder="1" applyAlignment="1">
      <alignment horizontal="center"/>
    </xf>
    <xf numFmtId="49" fontId="128" fillId="20" borderId="2" xfId="0" applyNumberFormat="1" applyFont="1" applyFill="1" applyBorder="1" applyAlignment="1">
      <alignment horizontal="center" vertical="top" wrapText="1"/>
    </xf>
    <xf numFmtId="0" fontId="5" fillId="20" borderId="59" xfId="5" applyFont="1" applyFill="1" applyBorder="1" applyAlignment="1">
      <alignment horizontal="left" wrapText="1"/>
    </xf>
    <xf numFmtId="0" fontId="135" fillId="0" borderId="0" xfId="0" applyFont="1" applyAlignment="1">
      <alignment horizontal="left" vertical="top"/>
    </xf>
    <xf numFmtId="0" fontId="127" fillId="2" borderId="0" xfId="0" applyFont="1" applyFill="1"/>
    <xf numFmtId="0" fontId="137" fillId="0" borderId="0" xfId="0" applyFont="1" applyAlignment="1">
      <alignment wrapText="1"/>
    </xf>
    <xf numFmtId="0" fontId="11" fillId="0" borderId="0" xfId="0" applyFont="1" applyAlignment="1">
      <alignment wrapText="1"/>
    </xf>
    <xf numFmtId="3" fontId="113" fillId="0" borderId="0" xfId="0" applyNumberFormat="1" applyFont="1"/>
    <xf numFmtId="0" fontId="38" fillId="0" borderId="0" xfId="0" applyFont="1" applyAlignment="1">
      <alignment horizontal="left" vertical="top"/>
    </xf>
    <xf numFmtId="0" fontId="114" fillId="0" borderId="0" xfId="0" applyFont="1" applyAlignment="1">
      <alignment horizontal="right"/>
    </xf>
    <xf numFmtId="0" fontId="114" fillId="0" borderId="0" xfId="0" applyFont="1" applyAlignment="1">
      <alignment horizontal="left" vertical="top" wrapText="1"/>
    </xf>
    <xf numFmtId="3" fontId="7" fillId="20" borderId="15" xfId="5" applyNumberFormat="1" applyFont="1" applyFill="1" applyBorder="1" applyAlignment="1">
      <alignment horizontal="left"/>
    </xf>
    <xf numFmtId="3" fontId="7" fillId="20" borderId="15" xfId="5" applyNumberFormat="1" applyFont="1" applyFill="1" applyBorder="1" applyAlignment="1">
      <alignment horizontal="left" vertical="center"/>
    </xf>
    <xf numFmtId="3" fontId="129" fillId="20" borderId="15" xfId="5" applyNumberFormat="1" applyFont="1" applyFill="1" applyBorder="1" applyAlignment="1">
      <alignment horizontal="left" vertical="top" wrapText="1"/>
    </xf>
    <xf numFmtId="0" fontId="113" fillId="0" borderId="0" xfId="0" applyFont="1" applyAlignment="1">
      <alignment vertical="top"/>
    </xf>
    <xf numFmtId="0" fontId="127" fillId="0" borderId="0" xfId="0" applyFont="1" applyAlignment="1">
      <alignment vertical="top"/>
    </xf>
    <xf numFmtId="3" fontId="138" fillId="0" borderId="0" xfId="0" applyNumberFormat="1" applyFont="1"/>
    <xf numFmtId="0" fontId="5" fillId="20" borderId="2" xfId="0" applyFont="1" applyFill="1" applyBorder="1" applyAlignment="1">
      <alignment horizontal="left" vertical="center" wrapText="1"/>
    </xf>
    <xf numFmtId="0" fontId="7" fillId="20" borderId="25" xfId="0" applyFont="1" applyFill="1" applyBorder="1" applyAlignment="1">
      <alignment horizontal="left" vertical="center" wrapText="1"/>
    </xf>
    <xf numFmtId="0" fontId="38" fillId="0" borderId="0" xfId="0" applyFont="1" applyAlignment="1">
      <alignment vertical="top" wrapText="1"/>
    </xf>
    <xf numFmtId="3" fontId="4" fillId="2" borderId="43" xfId="0" applyNumberFormat="1" applyFont="1" applyFill="1" applyBorder="1" applyAlignment="1" applyProtection="1">
      <alignment horizontal="right"/>
      <protection locked="0"/>
    </xf>
    <xf numFmtId="0" fontId="57" fillId="2" borderId="0" xfId="0" applyFont="1" applyFill="1"/>
    <xf numFmtId="0" fontId="5" fillId="20" borderId="162" xfId="0" applyFont="1" applyFill="1" applyBorder="1" applyAlignment="1">
      <alignment horizontal="center" vertical="top" wrapText="1"/>
    </xf>
    <xf numFmtId="49" fontId="5" fillId="20" borderId="12" xfId="0" applyNumberFormat="1" applyFont="1" applyFill="1" applyBorder="1" applyAlignment="1">
      <alignment horizontal="left" vertical="top" wrapText="1"/>
    </xf>
    <xf numFmtId="0" fontId="5" fillId="20" borderId="8" xfId="0" applyFont="1" applyFill="1" applyBorder="1" applyAlignment="1">
      <alignment vertical="top" wrapText="1"/>
    </xf>
    <xf numFmtId="49" fontId="5" fillId="20" borderId="212" xfId="0" applyNumberFormat="1" applyFont="1" applyFill="1" applyBorder="1" applyAlignment="1">
      <alignment horizontal="left"/>
    </xf>
    <xf numFmtId="0" fontId="53" fillId="20" borderId="63" xfId="0" applyFont="1" applyFill="1" applyBorder="1"/>
    <xf numFmtId="166" fontId="11" fillId="2" borderId="0" xfId="0" applyNumberFormat="1" applyFont="1" applyFill="1" applyAlignment="1">
      <alignment horizontal="center" vertical="center"/>
    </xf>
    <xf numFmtId="3" fontId="5" fillId="20" borderId="43" xfId="5" applyNumberFormat="1" applyFont="1" applyFill="1" applyBorder="1"/>
    <xf numFmtId="3" fontId="5" fillId="20" borderId="43" xfId="5" applyNumberFormat="1" applyFont="1" applyFill="1" applyBorder="1" applyAlignment="1">
      <alignment vertical="top" wrapText="1"/>
    </xf>
    <xf numFmtId="3" fontId="4" fillId="26" borderId="35" xfId="0" applyNumberFormat="1" applyFont="1" applyFill="1" applyBorder="1"/>
    <xf numFmtId="3" fontId="4" fillId="26" borderId="2" xfId="0" applyNumberFormat="1" applyFont="1" applyFill="1" applyBorder="1"/>
    <xf numFmtId="3" fontId="4" fillId="26" borderId="5" xfId="0" applyNumberFormat="1" applyFont="1" applyFill="1" applyBorder="1"/>
    <xf numFmtId="0" fontId="5" fillId="20" borderId="35" xfId="0" applyFont="1" applyFill="1" applyBorder="1"/>
    <xf numFmtId="49" fontId="9" fillId="0" borderId="0" xfId="0" applyNumberFormat="1" applyFont="1" applyAlignment="1">
      <alignment horizontal="center"/>
    </xf>
    <xf numFmtId="49" fontId="5" fillId="20" borderId="119" xfId="0" applyNumberFormat="1" applyFont="1" applyFill="1" applyBorder="1" applyAlignment="1">
      <alignment horizontal="left"/>
    </xf>
    <xf numFmtId="0" fontId="18" fillId="20" borderId="119" xfId="0" applyFont="1" applyFill="1" applyBorder="1"/>
    <xf numFmtId="0" fontId="10" fillId="20" borderId="35" xfId="0" applyFont="1" applyFill="1" applyBorder="1"/>
    <xf numFmtId="49" fontId="5" fillId="20" borderId="12" xfId="0" applyNumberFormat="1" applyFont="1" applyFill="1" applyBorder="1" applyAlignment="1">
      <alignment horizontal="right" vertical="center" wrapText="1"/>
    </xf>
    <xf numFmtId="0" fontId="5" fillId="20" borderId="8" xfId="0" applyFont="1" applyFill="1" applyBorder="1" applyAlignment="1">
      <alignment horizontal="left" vertical="top" wrapText="1"/>
    </xf>
    <xf numFmtId="0" fontId="57" fillId="0" borderId="0" xfId="0" applyFont="1" applyAlignment="1">
      <alignment vertical="top"/>
    </xf>
    <xf numFmtId="1" fontId="7" fillId="0" borderId="0" xfId="0" applyNumberFormat="1" applyFont="1" applyAlignment="1">
      <alignment horizontal="left" wrapText="1"/>
    </xf>
    <xf numFmtId="1" fontId="5" fillId="0" borderId="0" xfId="0" applyNumberFormat="1" applyFont="1" applyAlignment="1">
      <alignment horizontal="center" wrapText="1"/>
    </xf>
    <xf numFmtId="3" fontId="113" fillId="0" borderId="0" xfId="0" applyNumberFormat="1" applyFont="1" applyAlignment="1">
      <alignment horizontal="left" wrapText="1"/>
    </xf>
    <xf numFmtId="1" fontId="5" fillId="20" borderId="41" xfId="0" applyNumberFormat="1" applyFont="1" applyFill="1" applyBorder="1" applyAlignment="1">
      <alignment horizontal="left" vertical="top" wrapText="1"/>
    </xf>
    <xf numFmtId="49" fontId="5" fillId="20" borderId="5" xfId="0" applyNumberFormat="1" applyFont="1" applyFill="1" applyBorder="1" applyAlignment="1">
      <alignment horizontal="left"/>
    </xf>
    <xf numFmtId="169" fontId="5" fillId="20" borderId="61" xfId="5" applyNumberFormat="1" applyFont="1" applyFill="1" applyBorder="1" applyAlignment="1">
      <alignment vertical="top"/>
    </xf>
    <xf numFmtId="169" fontId="5" fillId="20" borderId="170" xfId="0" applyNumberFormat="1" applyFont="1" applyFill="1" applyBorder="1" applyAlignment="1">
      <alignment vertical="top"/>
    </xf>
    <xf numFmtId="3" fontId="15" fillId="20" borderId="68" xfId="0" applyNumberFormat="1" applyFont="1" applyFill="1" applyBorder="1" applyAlignment="1">
      <alignment horizontal="right"/>
    </xf>
    <xf numFmtId="49" fontId="5" fillId="20" borderId="7" xfId="0" applyNumberFormat="1" applyFont="1" applyFill="1" applyBorder="1" applyAlignment="1">
      <alignment horizontal="center"/>
    </xf>
    <xf numFmtId="0" fontId="5" fillId="20" borderId="8" xfId="0" applyFont="1" applyFill="1" applyBorder="1" applyAlignment="1">
      <alignment horizontal="left"/>
    </xf>
    <xf numFmtId="49" fontId="5" fillId="20" borderId="73" xfId="0" applyNumberFormat="1" applyFont="1" applyFill="1" applyBorder="1" applyAlignment="1">
      <alignment wrapText="1"/>
    </xf>
    <xf numFmtId="49" fontId="5" fillId="20" borderId="11" xfId="0" applyNumberFormat="1" applyFont="1" applyFill="1" applyBorder="1" applyAlignment="1">
      <alignment wrapText="1"/>
    </xf>
    <xf numFmtId="0" fontId="5" fillId="2" borderId="1" xfId="0" applyFont="1" applyFill="1" applyBorder="1" applyAlignment="1">
      <alignment horizontal="center"/>
    </xf>
    <xf numFmtId="49" fontId="10" fillId="20" borderId="190" xfId="0" applyNumberFormat="1" applyFont="1" applyFill="1" applyBorder="1" applyAlignment="1">
      <alignment horizontal="center"/>
    </xf>
    <xf numFmtId="3" fontId="4" fillId="2" borderId="189" xfId="0" applyNumberFormat="1" applyFont="1" applyFill="1" applyBorder="1" applyAlignment="1" applyProtection="1">
      <alignment horizontal="right"/>
      <protection locked="0"/>
    </xf>
    <xf numFmtId="3" fontId="4" fillId="2" borderId="145" xfId="0" applyNumberFormat="1" applyFont="1" applyFill="1" applyBorder="1" applyAlignment="1" applyProtection="1">
      <alignment horizontal="right"/>
      <protection locked="0"/>
    </xf>
    <xf numFmtId="0" fontId="113" fillId="2" borderId="0" xfId="0" applyFont="1" applyFill="1" applyAlignment="1">
      <alignment wrapText="1"/>
    </xf>
    <xf numFmtId="0" fontId="48" fillId="0" borderId="0" xfId="0" applyFont="1" applyAlignment="1">
      <alignment horizontal="right"/>
    </xf>
    <xf numFmtId="0" fontId="5" fillId="20" borderId="8" xfId="0" applyFont="1" applyFill="1" applyBorder="1" applyAlignment="1">
      <alignment horizontal="center" wrapText="1"/>
    </xf>
    <xf numFmtId="0" fontId="5" fillId="20" borderId="54" xfId="0" applyFont="1" applyFill="1" applyBorder="1" applyAlignment="1">
      <alignment horizontal="center" wrapText="1"/>
    </xf>
    <xf numFmtId="1" fontId="5" fillId="20" borderId="25" xfId="0" applyNumberFormat="1" applyFont="1" applyFill="1" applyBorder="1" applyAlignment="1">
      <alignment horizontal="center" wrapText="1"/>
    </xf>
    <xf numFmtId="1" fontId="5" fillId="20" borderId="78" xfId="0" applyNumberFormat="1" applyFont="1" applyFill="1" applyBorder="1" applyAlignment="1">
      <alignment horizontal="center" wrapText="1"/>
    </xf>
    <xf numFmtId="3" fontId="15" fillId="0" borderId="222" xfId="0" applyNumberFormat="1" applyFont="1" applyBorder="1" applyAlignment="1">
      <alignment horizontal="right"/>
    </xf>
    <xf numFmtId="0" fontId="5" fillId="0" borderId="219" xfId="0" applyFont="1" applyBorder="1" applyAlignment="1">
      <alignment horizontal="center"/>
    </xf>
    <xf numFmtId="1" fontId="5" fillId="0" borderId="219" xfId="0" applyNumberFormat="1" applyFont="1" applyBorder="1" applyAlignment="1">
      <alignment horizontal="center" wrapText="1"/>
    </xf>
    <xf numFmtId="1" fontId="5" fillId="0" borderId="219" xfId="0" applyNumberFormat="1" applyFont="1" applyBorder="1" applyAlignment="1">
      <alignment horizontal="left"/>
    </xf>
    <xf numFmtId="0" fontId="5" fillId="0" borderId="222" xfId="0" applyFont="1" applyBorder="1" applyAlignment="1">
      <alignment horizontal="center"/>
    </xf>
    <xf numFmtId="1" fontId="5" fillId="0" borderId="222" xfId="0" applyNumberFormat="1" applyFont="1" applyBorder="1" applyAlignment="1">
      <alignment horizontal="center" wrapText="1"/>
    </xf>
    <xf numFmtId="1" fontId="5" fillId="0" borderId="222" xfId="0" applyNumberFormat="1" applyFont="1" applyBorder="1" applyAlignment="1">
      <alignment horizontal="left"/>
    </xf>
    <xf numFmtId="0" fontId="10" fillId="20" borderId="2" xfId="0" applyFont="1" applyFill="1" applyBorder="1" applyAlignment="1">
      <alignment horizontal="center"/>
    </xf>
    <xf numFmtId="0" fontId="18" fillId="20" borderId="2" xfId="0" applyFont="1" applyFill="1" applyBorder="1" applyAlignment="1">
      <alignment horizontal="center"/>
    </xf>
    <xf numFmtId="0" fontId="18" fillId="20" borderId="13" xfId="0" applyFont="1" applyFill="1" applyBorder="1" applyAlignment="1">
      <alignment horizontal="center"/>
    </xf>
    <xf numFmtId="0" fontId="10" fillId="20" borderId="113" xfId="0" applyFont="1" applyFill="1" applyBorder="1" applyAlignment="1">
      <alignment horizontal="center"/>
    </xf>
    <xf numFmtId="0" fontId="10" fillId="20" borderId="36" xfId="0" applyFont="1" applyFill="1" applyBorder="1" applyAlignment="1">
      <alignment horizontal="center"/>
    </xf>
    <xf numFmtId="0" fontId="119" fillId="20" borderId="122" xfId="0" applyFont="1" applyFill="1" applyBorder="1" applyAlignment="1">
      <alignment horizontal="center"/>
    </xf>
    <xf numFmtId="0" fontId="10" fillId="20" borderId="37" xfId="0" applyFont="1" applyFill="1" applyBorder="1" applyAlignment="1">
      <alignment horizontal="center"/>
    </xf>
    <xf numFmtId="0" fontId="13" fillId="20" borderId="57" xfId="0" applyFont="1" applyFill="1" applyBorder="1"/>
    <xf numFmtId="0" fontId="106" fillId="20" borderId="21" xfId="0" applyFont="1" applyFill="1" applyBorder="1" applyAlignment="1">
      <alignment horizontal="center"/>
    </xf>
    <xf numFmtId="49" fontId="5" fillId="20" borderId="24" xfId="5" applyNumberFormat="1" applyFont="1" applyFill="1" applyBorder="1" applyAlignment="1">
      <alignment horizontal="center"/>
    </xf>
    <xf numFmtId="3" fontId="113" fillId="2" borderId="0" xfId="0" applyNumberFormat="1" applyFont="1" applyFill="1" applyAlignment="1" applyProtection="1">
      <alignment horizontal="left"/>
      <protection locked="0"/>
    </xf>
    <xf numFmtId="3" fontId="15" fillId="2" borderId="219" xfId="0" applyNumberFormat="1" applyFont="1" applyFill="1" applyBorder="1" applyAlignment="1">
      <alignment horizontal="right"/>
    </xf>
    <xf numFmtId="3" fontId="15" fillId="20" borderId="26" xfId="0" applyNumberFormat="1" applyFont="1" applyFill="1" applyBorder="1" applyAlignment="1" applyProtection="1">
      <alignment horizontal="right"/>
      <protection locked="0"/>
    </xf>
    <xf numFmtId="49" fontId="10" fillId="20" borderId="163" xfId="0" applyNumberFormat="1" applyFont="1" applyFill="1" applyBorder="1" applyAlignment="1">
      <alignment horizontal="center"/>
    </xf>
    <xf numFmtId="49" fontId="5" fillId="20" borderId="131" xfId="0" applyNumberFormat="1" applyFont="1" applyFill="1" applyBorder="1" applyAlignment="1">
      <alignment horizontal="center" wrapText="1"/>
    </xf>
    <xf numFmtId="49" fontId="10" fillId="20" borderId="131" xfId="0" applyNumberFormat="1" applyFont="1" applyFill="1" applyBorder="1" applyAlignment="1">
      <alignment horizontal="left"/>
    </xf>
    <xf numFmtId="49" fontId="10" fillId="20" borderId="4" xfId="0" applyNumberFormat="1" applyFont="1" applyFill="1" applyBorder="1" applyAlignment="1">
      <alignment horizontal="center"/>
    </xf>
    <xf numFmtId="49" fontId="10" fillId="0" borderId="197" xfId="0" applyNumberFormat="1" applyFont="1" applyBorder="1" applyAlignment="1">
      <alignment horizontal="left"/>
    </xf>
    <xf numFmtId="3" fontId="113" fillId="0" borderId="0" xfId="0" applyNumberFormat="1" applyFont="1" applyProtection="1">
      <protection locked="0"/>
    </xf>
    <xf numFmtId="3" fontId="4" fillId="2" borderId="199" xfId="0" applyNumberFormat="1" applyFont="1" applyFill="1" applyBorder="1" applyAlignment="1" applyProtection="1">
      <alignment horizontal="right"/>
      <protection locked="0"/>
    </xf>
    <xf numFmtId="3" fontId="4" fillId="0" borderId="199" xfId="0" applyNumberFormat="1" applyFont="1" applyBorder="1" applyProtection="1">
      <protection locked="0"/>
    </xf>
    <xf numFmtId="3" fontId="4" fillId="20" borderId="57" xfId="0" applyNumberFormat="1" applyFont="1" applyFill="1" applyBorder="1" applyAlignment="1" applyProtection="1">
      <alignment horizontal="right"/>
      <protection locked="0"/>
    </xf>
    <xf numFmtId="3" fontId="4" fillId="20" borderId="56" xfId="0" applyNumberFormat="1" applyFont="1" applyFill="1" applyBorder="1" applyAlignment="1" applyProtection="1">
      <alignment horizontal="right"/>
      <protection locked="0"/>
    </xf>
    <xf numFmtId="0" fontId="38" fillId="0" borderId="0" xfId="0" applyFont="1" applyAlignment="1">
      <alignment vertical="top"/>
    </xf>
    <xf numFmtId="3" fontId="47" fillId="21" borderId="122" xfId="0" applyNumberFormat="1" applyFont="1" applyFill="1" applyBorder="1"/>
    <xf numFmtId="3" fontId="47" fillId="21" borderId="59" xfId="0" applyNumberFormat="1" applyFont="1" applyFill="1" applyBorder="1"/>
    <xf numFmtId="0" fontId="113" fillId="0" borderId="0" xfId="0" applyFont="1" applyAlignment="1">
      <alignment vertical="top" wrapText="1"/>
    </xf>
    <xf numFmtId="0" fontId="113" fillId="0" borderId="0" xfId="0" applyFont="1" applyAlignment="1">
      <alignment wrapText="1"/>
    </xf>
    <xf numFmtId="3" fontId="12" fillId="0" borderId="7" xfId="0" applyNumberFormat="1" applyFont="1" applyBorder="1" applyAlignment="1" applyProtection="1">
      <alignment horizontal="right"/>
      <protection locked="0"/>
    </xf>
    <xf numFmtId="0" fontId="142" fillId="0" borderId="0" xfId="0" applyFont="1"/>
    <xf numFmtId="3" fontId="113" fillId="0" borderId="0" xfId="0" applyNumberFormat="1" applyFont="1" applyAlignment="1">
      <alignment horizontal="left" vertical="top" wrapText="1"/>
    </xf>
    <xf numFmtId="0" fontId="5" fillId="20" borderId="37" xfId="0" applyFont="1" applyFill="1" applyBorder="1" applyAlignment="1">
      <alignment horizontal="center"/>
    </xf>
    <xf numFmtId="0" fontId="10" fillId="20" borderId="224" xfId="0" applyFont="1" applyFill="1" applyBorder="1" applyAlignment="1">
      <alignment horizontal="center"/>
    </xf>
    <xf numFmtId="0" fontId="5" fillId="20" borderId="130" xfId="0" applyFont="1" applyFill="1" applyBorder="1" applyAlignment="1">
      <alignment horizontal="left" vertical="top" wrapText="1"/>
    </xf>
    <xf numFmtId="0" fontId="5" fillId="20" borderId="125" xfId="0" applyFont="1" applyFill="1" applyBorder="1" applyAlignment="1">
      <alignment horizontal="left" vertical="top" wrapText="1"/>
    </xf>
    <xf numFmtId="0" fontId="5" fillId="20" borderId="162" xfId="5" applyFont="1" applyFill="1" applyBorder="1" applyAlignment="1">
      <alignment vertical="top" wrapText="1"/>
    </xf>
    <xf numFmtId="3" fontId="5" fillId="20" borderId="183" xfId="0" applyNumberFormat="1" applyFont="1" applyFill="1" applyBorder="1" applyAlignment="1">
      <alignment vertical="top" wrapText="1"/>
    </xf>
    <xf numFmtId="3" fontId="4" fillId="2" borderId="0" xfId="0" applyNumberFormat="1" applyFont="1" applyFill="1" applyProtection="1">
      <protection locked="0"/>
    </xf>
    <xf numFmtId="49" fontId="5" fillId="28" borderId="0" xfId="0" applyNumberFormat="1" applyFont="1" applyFill="1" applyAlignment="1">
      <alignment horizontal="center"/>
    </xf>
    <xf numFmtId="0" fontId="7" fillId="28" borderId="0" xfId="0" applyFont="1" applyFill="1" applyAlignment="1">
      <alignment horizontal="left"/>
    </xf>
    <xf numFmtId="49" fontId="5" fillId="20" borderId="110" xfId="0" applyNumberFormat="1" applyFont="1" applyFill="1" applyBorder="1" applyAlignment="1">
      <alignment horizontal="center"/>
    </xf>
    <xf numFmtId="3" fontId="4" fillId="3" borderId="149" xfId="0" applyNumberFormat="1" applyFont="1" applyFill="1" applyBorder="1"/>
    <xf numFmtId="49" fontId="5" fillId="20" borderId="15" xfId="0" applyNumberFormat="1" applyFont="1" applyFill="1" applyBorder="1" applyAlignment="1">
      <alignment horizontal="center"/>
    </xf>
    <xf numFmtId="167" fontId="5" fillId="20" borderId="15" xfId="0" applyNumberFormat="1" applyFont="1" applyFill="1" applyBorder="1" applyAlignment="1">
      <alignment horizontal="left"/>
    </xf>
    <xf numFmtId="3" fontId="4" fillId="2" borderId="182" xfId="0" applyNumberFormat="1" applyFont="1" applyFill="1" applyBorder="1" applyAlignment="1" applyProtection="1">
      <alignment horizontal="right"/>
      <protection locked="0"/>
    </xf>
    <xf numFmtId="3" fontId="4" fillId="2" borderId="90" xfId="0" applyNumberFormat="1" applyFont="1" applyFill="1" applyBorder="1" applyAlignment="1" applyProtection="1">
      <alignment horizontal="right"/>
      <protection locked="0"/>
    </xf>
    <xf numFmtId="0" fontId="38" fillId="0" borderId="152" xfId="0" applyFont="1" applyBorder="1"/>
    <xf numFmtId="49" fontId="7" fillId="20" borderId="67" xfId="0" applyNumberFormat="1" applyFont="1" applyFill="1" applyBorder="1" applyAlignment="1">
      <alignment horizontal="center"/>
    </xf>
    <xf numFmtId="0" fontId="11" fillId="2" borderId="219" xfId="0" applyFont="1" applyFill="1" applyBorder="1"/>
    <xf numFmtId="0" fontId="0" fillId="0" borderId="219" xfId="0" applyBorder="1"/>
    <xf numFmtId="0" fontId="11" fillId="2" borderId="197" xfId="0" applyFont="1" applyFill="1" applyBorder="1"/>
    <xf numFmtId="3" fontId="15" fillId="2" borderId="160" xfId="0" applyNumberFormat="1" applyFont="1" applyFill="1" applyBorder="1" applyAlignment="1" applyProtection="1">
      <alignment horizontal="right"/>
      <protection locked="0"/>
    </xf>
    <xf numFmtId="3" fontId="4" fillId="2" borderId="70" xfId="0" applyNumberFormat="1" applyFont="1" applyFill="1" applyBorder="1" applyAlignment="1" applyProtection="1">
      <alignment horizontal="right"/>
      <protection locked="0"/>
    </xf>
    <xf numFmtId="3" fontId="47" fillId="0" borderId="57" xfId="0" applyNumberFormat="1" applyFont="1" applyBorder="1"/>
    <xf numFmtId="3" fontId="47" fillId="20" borderId="68" xfId="0" applyNumberFormat="1" applyFont="1" applyFill="1" applyBorder="1"/>
    <xf numFmtId="3" fontId="47" fillId="21" borderId="82" xfId="0" applyNumberFormat="1" applyFont="1" applyFill="1" applyBorder="1"/>
    <xf numFmtId="3" fontId="47" fillId="20" borderId="18" xfId="0" applyNumberFormat="1" applyFont="1" applyFill="1" applyBorder="1"/>
    <xf numFmtId="3" fontId="4" fillId="28" borderId="60" xfId="0" applyNumberFormat="1" applyFont="1" applyFill="1" applyBorder="1" applyAlignment="1" applyProtection="1">
      <alignment horizontal="right"/>
      <protection locked="0"/>
    </xf>
    <xf numFmtId="49" fontId="5" fillId="20" borderId="128" xfId="0" applyNumberFormat="1" applyFont="1" applyFill="1" applyBorder="1" applyAlignment="1">
      <alignment horizontal="center" wrapText="1"/>
    </xf>
    <xf numFmtId="49" fontId="5" fillId="20" borderId="199" xfId="0" applyNumberFormat="1" applyFont="1" applyFill="1" applyBorder="1" applyAlignment="1">
      <alignment horizontal="left"/>
    </xf>
    <xf numFmtId="3" fontId="4" fillId="2" borderId="127" xfId="0" applyNumberFormat="1" applyFont="1" applyFill="1" applyBorder="1" applyAlignment="1" applyProtection="1">
      <alignment horizontal="right"/>
      <protection locked="0"/>
    </xf>
    <xf numFmtId="49" fontId="5" fillId="20" borderId="225" xfId="0" applyNumberFormat="1" applyFont="1" applyFill="1" applyBorder="1" applyAlignment="1">
      <alignment horizontal="center"/>
    </xf>
    <xf numFmtId="3" fontId="4" fillId="28" borderId="80" xfId="0" applyNumberFormat="1" applyFont="1" applyFill="1" applyBorder="1" applyProtection="1">
      <protection locked="0"/>
    </xf>
    <xf numFmtId="3" fontId="38" fillId="20" borderId="55" xfId="0" applyNumberFormat="1" applyFont="1" applyFill="1" applyBorder="1"/>
    <xf numFmtId="3" fontId="113" fillId="20" borderId="55" xfId="0" applyNumberFormat="1" applyFont="1" applyFill="1" applyBorder="1" applyAlignment="1">
      <alignment vertical="center"/>
    </xf>
    <xf numFmtId="49" fontId="5" fillId="20" borderId="27" xfId="0" applyNumberFormat="1" applyFont="1" applyFill="1" applyBorder="1" applyAlignment="1">
      <alignment horizontal="center"/>
    </xf>
    <xf numFmtId="49" fontId="5" fillId="20" borderId="226" xfId="0" applyNumberFormat="1" applyFont="1" applyFill="1" applyBorder="1" applyAlignment="1">
      <alignment horizontal="left"/>
    </xf>
    <xf numFmtId="49" fontId="5" fillId="20" borderId="150" xfId="0" applyNumberFormat="1" applyFont="1" applyFill="1" applyBorder="1" applyAlignment="1">
      <alignment horizontal="center" wrapText="1"/>
    </xf>
    <xf numFmtId="0" fontId="5" fillId="20" borderId="8" xfId="0" applyFont="1" applyFill="1" applyBorder="1" applyAlignment="1">
      <alignment horizontal="left" wrapText="1"/>
    </xf>
    <xf numFmtId="1" fontId="5" fillId="20" borderId="69" xfId="0" applyNumberFormat="1" applyFont="1" applyFill="1" applyBorder="1" applyAlignment="1">
      <alignment horizontal="center"/>
    </xf>
    <xf numFmtId="0" fontId="5" fillId="20" borderId="67" xfId="0" applyFont="1" applyFill="1" applyBorder="1" applyAlignment="1">
      <alignment horizontal="left"/>
    </xf>
    <xf numFmtId="1" fontId="5" fillId="20" borderId="128" xfId="0" applyNumberFormat="1" applyFont="1" applyFill="1" applyBorder="1" applyAlignment="1">
      <alignment horizontal="center"/>
    </xf>
    <xf numFmtId="0" fontId="5" fillId="20" borderId="79" xfId="0" applyFont="1" applyFill="1" applyBorder="1"/>
    <xf numFmtId="1" fontId="10" fillId="20" borderId="69" xfId="0" applyNumberFormat="1" applyFont="1" applyFill="1" applyBorder="1" applyAlignment="1">
      <alignment horizontal="center"/>
    </xf>
    <xf numFmtId="3" fontId="4" fillId="20" borderId="20" xfId="0" applyNumberFormat="1" applyFont="1" applyFill="1" applyBorder="1" applyAlignment="1">
      <alignment horizontal="right"/>
    </xf>
    <xf numFmtId="0" fontId="5" fillId="20" borderId="24" xfId="0" applyFont="1" applyFill="1" applyBorder="1" applyAlignment="1">
      <alignment vertical="top"/>
    </xf>
    <xf numFmtId="3" fontId="5" fillId="20" borderId="25" xfId="0" applyNumberFormat="1" applyFont="1" applyFill="1" applyBorder="1" applyAlignment="1">
      <alignment vertical="top"/>
    </xf>
    <xf numFmtId="0" fontId="144" fillId="2" borderId="0" xfId="0" applyFont="1" applyFill="1"/>
    <xf numFmtId="0" fontId="7" fillId="20" borderId="9" xfId="0" applyFont="1" applyFill="1" applyBorder="1" applyAlignment="1">
      <alignment vertical="top" wrapText="1"/>
    </xf>
    <xf numFmtId="1" fontId="4" fillId="20" borderId="15" xfId="0" applyNumberFormat="1" applyFont="1" applyFill="1" applyBorder="1" applyAlignment="1">
      <alignment horizontal="left" wrapText="1"/>
    </xf>
    <xf numFmtId="49" fontId="5" fillId="20" borderId="63" xfId="0" applyNumberFormat="1" applyFont="1" applyFill="1" applyBorder="1" applyAlignment="1">
      <alignment horizontal="left"/>
    </xf>
    <xf numFmtId="0" fontId="5" fillId="20" borderId="9" xfId="0" applyFont="1" applyFill="1" applyBorder="1" applyAlignment="1">
      <alignment horizontal="center" wrapText="1"/>
    </xf>
    <xf numFmtId="1" fontId="5" fillId="20" borderId="69" xfId="0" applyNumberFormat="1" applyFont="1" applyFill="1" applyBorder="1" applyAlignment="1">
      <alignment horizontal="left"/>
    </xf>
    <xf numFmtId="3" fontId="4" fillId="0" borderId="12" xfId="0" applyNumberFormat="1" applyFont="1" applyBorder="1" applyAlignment="1" applyProtection="1">
      <alignment horizontal="right"/>
      <protection locked="0"/>
    </xf>
    <xf numFmtId="3" fontId="4" fillId="20" borderId="19" xfId="0" applyNumberFormat="1" applyFont="1" applyFill="1" applyBorder="1"/>
    <xf numFmtId="3" fontId="15" fillId="0" borderId="226" xfId="0" applyNumberFormat="1" applyFont="1" applyBorder="1" applyAlignment="1" applyProtection="1">
      <alignment horizontal="right"/>
      <protection locked="0"/>
    </xf>
    <xf numFmtId="3" fontId="7" fillId="20" borderId="90" xfId="0" applyNumberFormat="1" applyFont="1" applyFill="1" applyBorder="1" applyAlignment="1">
      <alignment wrapText="1"/>
    </xf>
    <xf numFmtId="3" fontId="4" fillId="28" borderId="0" xfId="0" applyNumberFormat="1" applyFont="1" applyFill="1" applyAlignment="1">
      <alignment horizontal="right"/>
    </xf>
    <xf numFmtId="3" fontId="4" fillId="2" borderId="219" xfId="0" applyNumberFormat="1" applyFont="1" applyFill="1" applyBorder="1" applyAlignment="1" applyProtection="1">
      <alignment horizontal="right"/>
      <protection locked="0"/>
    </xf>
    <xf numFmtId="0" fontId="5" fillId="20" borderId="185" xfId="0" applyFont="1" applyFill="1" applyBorder="1" applyAlignment="1">
      <alignment horizontal="center" vertical="top" wrapText="1"/>
    </xf>
    <xf numFmtId="0" fontId="145" fillId="0" borderId="0" xfId="0" applyFont="1"/>
    <xf numFmtId="0" fontId="7" fillId="20" borderId="65" xfId="0" applyFont="1" applyFill="1" applyBorder="1" applyAlignment="1">
      <alignment horizontal="left"/>
    </xf>
    <xf numFmtId="165" fontId="39" fillId="20" borderId="0" xfId="16" applyFont="1" applyFill="1" applyBorder="1" applyAlignment="1" applyProtection="1"/>
    <xf numFmtId="3" fontId="113" fillId="5" borderId="0" xfId="0" applyNumberFormat="1" applyFont="1" applyFill="1"/>
    <xf numFmtId="3" fontId="4" fillId="8" borderId="2" xfId="5" applyNumberFormat="1" applyFont="1" applyFill="1" applyBorder="1" applyAlignment="1">
      <alignment horizontal="right"/>
    </xf>
    <xf numFmtId="0" fontId="5" fillId="20" borderId="25" xfId="0" applyFont="1" applyFill="1" applyBorder="1" applyAlignment="1">
      <alignment horizontal="left"/>
    </xf>
    <xf numFmtId="0" fontId="7" fillId="20" borderId="13" xfId="0" applyFont="1" applyFill="1" applyBorder="1" applyAlignment="1">
      <alignment horizontal="center"/>
    </xf>
    <xf numFmtId="1" fontId="6" fillId="20" borderId="113" xfId="0" applyNumberFormat="1" applyFont="1" applyFill="1" applyBorder="1" applyAlignment="1">
      <alignment horizontal="center"/>
    </xf>
    <xf numFmtId="49" fontId="5" fillId="20" borderId="191" xfId="0" applyNumberFormat="1" applyFont="1" applyFill="1" applyBorder="1" applyAlignment="1">
      <alignment horizontal="left"/>
    </xf>
    <xf numFmtId="49" fontId="5" fillId="20" borderId="185" xfId="0" applyNumberFormat="1" applyFont="1" applyFill="1" applyBorder="1" applyAlignment="1">
      <alignment horizontal="left"/>
    </xf>
    <xf numFmtId="49" fontId="5" fillId="20" borderId="203" xfId="0" applyNumberFormat="1" applyFont="1" applyFill="1" applyBorder="1" applyAlignment="1">
      <alignment horizontal="center"/>
    </xf>
    <xf numFmtId="0" fontId="7" fillId="20" borderId="195" xfId="0" applyFont="1" applyFill="1" applyBorder="1" applyAlignment="1">
      <alignment horizontal="left"/>
    </xf>
    <xf numFmtId="0" fontId="7" fillId="20" borderId="150" xfId="0" applyFont="1" applyFill="1" applyBorder="1" applyAlignment="1">
      <alignment horizontal="center"/>
    </xf>
    <xf numFmtId="0" fontId="7" fillId="20" borderId="9" xfId="0" applyFont="1" applyFill="1" applyBorder="1" applyAlignment="1">
      <alignment horizontal="left" wrapText="1"/>
    </xf>
    <xf numFmtId="0" fontId="6" fillId="20" borderId="113" xfId="0" applyFont="1" applyFill="1" applyBorder="1" applyAlignment="1">
      <alignment horizontal="center"/>
    </xf>
    <xf numFmtId="0" fontId="7" fillId="20" borderId="190" xfId="0" applyFont="1" applyFill="1" applyBorder="1"/>
    <xf numFmtId="1" fontId="5" fillId="20" borderId="35" xfId="0" applyNumberFormat="1" applyFont="1" applyFill="1" applyBorder="1" applyAlignment="1">
      <alignment horizontal="center"/>
    </xf>
    <xf numFmtId="0" fontId="5" fillId="20" borderId="228" xfId="0" applyFont="1" applyFill="1" applyBorder="1" applyAlignment="1">
      <alignment horizontal="left" wrapText="1"/>
    </xf>
    <xf numFmtId="0" fontId="7" fillId="20" borderId="137" xfId="0" applyFont="1" applyFill="1" applyBorder="1" applyAlignment="1">
      <alignment horizontal="left"/>
    </xf>
    <xf numFmtId="0" fontId="5" fillId="20" borderId="41" xfId="0" applyFont="1" applyFill="1" applyBorder="1" applyAlignment="1">
      <alignment horizontal="left"/>
    </xf>
    <xf numFmtId="0" fontId="7" fillId="20" borderId="131" xfId="0" applyFont="1" applyFill="1" applyBorder="1"/>
    <xf numFmtId="3" fontId="5" fillId="20" borderId="71" xfId="0" applyNumberFormat="1" applyFont="1" applyFill="1" applyBorder="1"/>
    <xf numFmtId="3" fontId="10" fillId="20" borderId="149" xfId="0" applyNumberFormat="1" applyFont="1" applyFill="1" applyBorder="1"/>
    <xf numFmtId="3" fontId="5" fillId="20" borderId="25" xfId="0" applyNumberFormat="1" applyFont="1" applyFill="1" applyBorder="1" applyAlignment="1">
      <alignment vertical="top" wrapText="1"/>
    </xf>
    <xf numFmtId="3" fontId="7" fillId="20" borderId="71" xfId="0" applyNumberFormat="1" applyFont="1" applyFill="1" applyBorder="1" applyAlignment="1">
      <alignment vertical="top" wrapText="1"/>
    </xf>
    <xf numFmtId="0" fontId="13" fillId="20" borderId="124" xfId="0" applyFont="1" applyFill="1" applyBorder="1"/>
    <xf numFmtId="3" fontId="7" fillId="20" borderId="174" xfId="0" applyNumberFormat="1" applyFont="1" applyFill="1" applyBorder="1"/>
    <xf numFmtId="0" fontId="6" fillId="20" borderId="71" xfId="0" applyFont="1" applyFill="1" applyBorder="1" applyAlignment="1">
      <alignment horizontal="center" vertical="center"/>
    </xf>
    <xf numFmtId="0" fontId="6" fillId="20" borderId="89" xfId="0" applyFont="1" applyFill="1" applyBorder="1" applyAlignment="1">
      <alignment horizontal="center" vertical="center" wrapText="1"/>
    </xf>
    <xf numFmtId="0" fontId="7" fillId="20" borderId="151" xfId="0" applyFont="1" applyFill="1" applyBorder="1" applyAlignment="1">
      <alignment horizontal="center" vertical="top" wrapText="1"/>
    </xf>
    <xf numFmtId="0" fontId="5" fillId="20" borderId="46" xfId="0" applyFont="1" applyFill="1" applyBorder="1" applyAlignment="1">
      <alignment horizontal="left" vertical="top" wrapText="1"/>
    </xf>
    <xf numFmtId="0" fontId="113" fillId="20" borderId="0" xfId="0" applyFont="1" applyFill="1"/>
    <xf numFmtId="0" fontId="113" fillId="20" borderId="27" xfId="0" applyFont="1" applyFill="1" applyBorder="1"/>
    <xf numFmtId="0" fontId="113" fillId="20" borderId="57" xfId="0" applyFont="1" applyFill="1" applyBorder="1"/>
    <xf numFmtId="3" fontId="38" fillId="0" borderId="27" xfId="0" applyNumberFormat="1" applyFont="1" applyBorder="1" applyAlignment="1">
      <alignment wrapText="1"/>
    </xf>
    <xf numFmtId="3" fontId="5" fillId="0" borderId="117" xfId="0" applyNumberFormat="1" applyFont="1" applyBorder="1" applyAlignment="1">
      <alignment horizontal="left" vertical="top" wrapText="1"/>
    </xf>
    <xf numFmtId="3" fontId="4" fillId="9" borderId="155" xfId="5" applyNumberFormat="1" applyFont="1" applyFill="1" applyBorder="1"/>
    <xf numFmtId="3" fontId="4" fillId="2" borderId="67" xfId="5" applyNumberFormat="1" applyFont="1" applyFill="1" applyBorder="1" applyAlignment="1" applyProtection="1">
      <alignment horizontal="right"/>
      <protection locked="0"/>
    </xf>
    <xf numFmtId="3" fontId="4" fillId="32" borderId="67" xfId="5" applyNumberFormat="1" applyFont="1" applyFill="1" applyBorder="1" applyAlignment="1">
      <alignment horizontal="right"/>
    </xf>
    <xf numFmtId="3" fontId="4" fillId="2" borderId="223" xfId="0" applyNumberFormat="1" applyFont="1" applyFill="1" applyBorder="1" applyAlignment="1" applyProtection="1">
      <alignment horizontal="right"/>
      <protection locked="0"/>
    </xf>
    <xf numFmtId="49" fontId="5" fillId="20" borderId="13" xfId="0" applyNumberFormat="1" applyFont="1" applyFill="1" applyBorder="1" applyAlignment="1">
      <alignment horizontal="center"/>
    </xf>
    <xf numFmtId="49" fontId="5" fillId="20" borderId="227" xfId="0" applyNumberFormat="1" applyFont="1" applyFill="1" applyBorder="1" applyAlignment="1">
      <alignment horizontal="left" vertical="center"/>
    </xf>
    <xf numFmtId="1" fontId="6" fillId="20" borderId="79" xfId="0" applyNumberFormat="1" applyFont="1" applyFill="1" applyBorder="1" applyAlignment="1">
      <alignment horizontal="center" vertical="center"/>
    </xf>
    <xf numFmtId="0" fontId="7" fillId="20" borderId="216" xfId="0" applyFont="1" applyFill="1" applyBorder="1" applyAlignment="1">
      <alignment horizontal="left" vertical="center"/>
    </xf>
    <xf numFmtId="3" fontId="7" fillId="20" borderId="194" xfId="0" applyNumberFormat="1" applyFont="1" applyFill="1" applyBorder="1" applyAlignment="1">
      <alignment vertical="center"/>
    </xf>
    <xf numFmtId="3" fontId="7" fillId="20" borderId="94" xfId="0" applyNumberFormat="1" applyFont="1" applyFill="1" applyBorder="1" applyAlignment="1">
      <alignment vertical="center"/>
    </xf>
    <xf numFmtId="0" fontId="114" fillId="20" borderId="0" xfId="0" applyFont="1" applyFill="1"/>
    <xf numFmtId="0" fontId="9" fillId="20" borderId="18" xfId="0" applyFont="1" applyFill="1" applyBorder="1"/>
    <xf numFmtId="3" fontId="4" fillId="33" borderId="25" xfId="0" applyNumberFormat="1" applyFont="1" applyFill="1" applyBorder="1" applyAlignment="1">
      <alignment horizontal="right"/>
    </xf>
    <xf numFmtId="0" fontId="5" fillId="10" borderId="141" xfId="0" applyFont="1" applyFill="1" applyBorder="1" applyAlignment="1">
      <alignment horizontal="center"/>
    </xf>
    <xf numFmtId="0" fontId="5" fillId="10" borderId="24" xfId="0" applyFont="1" applyFill="1" applyBorder="1" applyAlignment="1">
      <alignment horizontal="center"/>
    </xf>
    <xf numFmtId="0" fontId="7" fillId="20" borderId="79" xfId="0" applyFont="1" applyFill="1" applyBorder="1" applyAlignment="1">
      <alignment horizontal="left"/>
    </xf>
    <xf numFmtId="3" fontId="4" fillId="21" borderId="196" xfId="0" applyNumberFormat="1" applyFont="1" applyFill="1" applyBorder="1"/>
    <xf numFmtId="0" fontId="114" fillId="2" borderId="57" xfId="0" applyFont="1" applyFill="1" applyBorder="1"/>
    <xf numFmtId="0" fontId="107" fillId="2" borderId="0" xfId="0" applyFont="1" applyFill="1"/>
    <xf numFmtId="0" fontId="148" fillId="0" borderId="0" xfId="0" applyFont="1"/>
    <xf numFmtId="3" fontId="4" fillId="3" borderId="102" xfId="0" applyNumberFormat="1" applyFont="1" applyFill="1" applyBorder="1"/>
    <xf numFmtId="3" fontId="7" fillId="20" borderId="196" xfId="0" applyNumberFormat="1" applyFont="1" applyFill="1" applyBorder="1"/>
    <xf numFmtId="49" fontId="5" fillId="20" borderId="228" xfId="0" applyNumberFormat="1" applyFont="1" applyFill="1" applyBorder="1" applyAlignment="1">
      <alignment horizontal="left" wrapText="1"/>
    </xf>
    <xf numFmtId="0" fontId="137" fillId="0" borderId="0" xfId="0" applyFont="1"/>
    <xf numFmtId="49" fontId="5" fillId="20" borderId="2" xfId="0" applyNumberFormat="1" applyFont="1" applyFill="1" applyBorder="1" applyAlignment="1">
      <alignment horizontal="left" indent="1"/>
    </xf>
    <xf numFmtId="0" fontId="5" fillId="20" borderId="155" xfId="0" applyFont="1" applyFill="1" applyBorder="1" applyAlignment="1">
      <alignment horizontal="center"/>
    </xf>
    <xf numFmtId="49" fontId="10" fillId="20" borderId="86" xfId="0" applyNumberFormat="1" applyFont="1" applyFill="1" applyBorder="1" applyAlignment="1">
      <alignment horizontal="center"/>
    </xf>
    <xf numFmtId="1" fontId="10" fillId="20" borderId="25" xfId="0" applyNumberFormat="1" applyFont="1" applyFill="1" applyBorder="1" applyAlignment="1">
      <alignment horizontal="center"/>
    </xf>
    <xf numFmtId="3" fontId="15" fillId="2" borderId="172" xfId="0" applyNumberFormat="1" applyFont="1" applyFill="1" applyBorder="1" applyAlignment="1" applyProtection="1">
      <alignment horizontal="right"/>
      <protection locked="0"/>
    </xf>
    <xf numFmtId="0" fontId="151" fillId="0" borderId="0" xfId="0" applyFont="1"/>
    <xf numFmtId="0" fontId="113" fillId="0" borderId="27" xfId="0" applyFont="1" applyBorder="1"/>
    <xf numFmtId="0" fontId="152" fillId="2" borderId="0" xfId="0" applyFont="1" applyFill="1"/>
    <xf numFmtId="0" fontId="152" fillId="0" borderId="0" xfId="0" applyFont="1"/>
    <xf numFmtId="3" fontId="142" fillId="0" borderId="0" xfId="0" applyNumberFormat="1" applyFont="1"/>
    <xf numFmtId="0" fontId="141" fillId="0" borderId="0" xfId="0" applyFont="1"/>
    <xf numFmtId="49" fontId="118" fillId="0" borderId="0" xfId="0" applyNumberFormat="1" applyFont="1" applyAlignment="1">
      <alignment horizontal="left"/>
    </xf>
    <xf numFmtId="0" fontId="0" fillId="20" borderId="66" xfId="0" applyFill="1" applyBorder="1"/>
    <xf numFmtId="0" fontId="77" fillId="20" borderId="27" xfId="0" applyFont="1" applyFill="1" applyBorder="1" applyAlignment="1">
      <alignment horizontal="left" wrapText="1"/>
    </xf>
    <xf numFmtId="0" fontId="78" fillId="20" borderId="0" xfId="0" applyFont="1" applyFill="1" applyAlignment="1">
      <alignment horizontal="right" wrapText="1"/>
    </xf>
    <xf numFmtId="0" fontId="76" fillId="20" borderId="0" xfId="0" applyFont="1" applyFill="1" applyAlignment="1">
      <alignment wrapText="1"/>
    </xf>
    <xf numFmtId="0" fontId="74" fillId="20" borderId="27" xfId="0" applyFont="1" applyFill="1" applyBorder="1" applyAlignment="1">
      <alignment horizontal="right" wrapText="1"/>
    </xf>
    <xf numFmtId="49" fontId="78" fillId="20" borderId="0" xfId="0" applyNumberFormat="1" applyFont="1" applyFill="1" applyAlignment="1">
      <alignment horizontal="right" wrapText="1"/>
    </xf>
    <xf numFmtId="3" fontId="153" fillId="20" borderId="0" xfId="0" applyNumberFormat="1" applyFont="1" applyFill="1" applyAlignment="1">
      <alignment horizontal="right"/>
    </xf>
    <xf numFmtId="3" fontId="19" fillId="20" borderId="0" xfId="0" applyNumberFormat="1" applyFont="1" applyFill="1" applyAlignment="1">
      <alignment horizontal="right"/>
    </xf>
    <xf numFmtId="0" fontId="154" fillId="20" borderId="0" xfId="0" applyFont="1" applyFill="1"/>
    <xf numFmtId="0" fontId="0" fillId="20" borderId="27" xfId="0" applyFill="1" applyBorder="1"/>
    <xf numFmtId="0" fontId="0" fillId="20" borderId="106" xfId="0" applyFill="1" applyBorder="1"/>
    <xf numFmtId="0" fontId="0" fillId="20" borderId="1" xfId="0" applyFill="1" applyBorder="1"/>
    <xf numFmtId="0" fontId="0" fillId="34" borderId="0" xfId="0" applyFill="1"/>
    <xf numFmtId="3" fontId="47" fillId="21" borderId="18" xfId="0" applyNumberFormat="1" applyFont="1" applyFill="1" applyBorder="1" applyAlignment="1">
      <alignment horizontal="right"/>
    </xf>
    <xf numFmtId="0" fontId="7" fillId="20" borderId="229" xfId="0" applyFont="1" applyFill="1" applyBorder="1"/>
    <xf numFmtId="0" fontId="7" fillId="20" borderId="230" xfId="0" applyFont="1" applyFill="1" applyBorder="1" applyAlignment="1">
      <alignment horizontal="left"/>
    </xf>
    <xf numFmtId="0" fontId="7" fillId="20" borderId="231" xfId="0" applyFont="1" applyFill="1" applyBorder="1" applyAlignment="1">
      <alignment horizontal="left"/>
    </xf>
    <xf numFmtId="3" fontId="47" fillId="21" borderId="78" xfId="0" applyNumberFormat="1" applyFont="1" applyFill="1" applyBorder="1"/>
    <xf numFmtId="3" fontId="47" fillId="21" borderId="8" xfId="0" applyNumberFormat="1" applyFont="1" applyFill="1" applyBorder="1" applyAlignment="1">
      <alignment horizontal="right"/>
    </xf>
    <xf numFmtId="3" fontId="47" fillId="21" borderId="149" xfId="0" applyNumberFormat="1" applyFont="1" applyFill="1" applyBorder="1" applyAlignment="1">
      <alignment horizontal="right"/>
    </xf>
    <xf numFmtId="167" fontId="6" fillId="20" borderId="232" xfId="0" applyNumberFormat="1" applyFont="1" applyFill="1" applyBorder="1"/>
    <xf numFmtId="167" fontId="8" fillId="20" borderId="233" xfId="0" applyNumberFormat="1" applyFont="1" applyFill="1" applyBorder="1"/>
    <xf numFmtId="167" fontId="8" fillId="20" borderId="234" xfId="0" applyNumberFormat="1" applyFont="1" applyFill="1" applyBorder="1"/>
    <xf numFmtId="167" fontId="4" fillId="20" borderId="235" xfId="0" applyNumberFormat="1" applyFont="1" applyFill="1" applyBorder="1"/>
    <xf numFmtId="167" fontId="8" fillId="20" borderId="235" xfId="0" applyNumberFormat="1" applyFont="1" applyFill="1" applyBorder="1"/>
    <xf numFmtId="167" fontId="4" fillId="20" borderId="236" xfId="0" applyNumberFormat="1" applyFont="1" applyFill="1" applyBorder="1"/>
    <xf numFmtId="0" fontId="5" fillId="35" borderId="126" xfId="0" applyFont="1" applyFill="1" applyBorder="1" applyAlignment="1">
      <alignment horizontal="center"/>
    </xf>
    <xf numFmtId="0" fontId="5" fillId="35" borderId="215" xfId="0" applyFont="1" applyFill="1" applyBorder="1" applyAlignment="1">
      <alignment horizontal="center"/>
    </xf>
    <xf numFmtId="0" fontId="5" fillId="35" borderId="21" xfId="0" applyFont="1" applyFill="1" applyBorder="1" applyAlignment="1">
      <alignment horizontal="center"/>
    </xf>
    <xf numFmtId="0" fontId="5" fillId="35" borderId="49" xfId="0" applyFont="1" applyFill="1" applyBorder="1" applyAlignment="1">
      <alignment horizontal="center"/>
    </xf>
    <xf numFmtId="0" fontId="5" fillId="35" borderId="50" xfId="0" applyFont="1" applyFill="1" applyBorder="1" applyAlignment="1">
      <alignment horizontal="center"/>
    </xf>
    <xf numFmtId="0" fontId="5" fillId="35" borderId="228" xfId="0" applyFont="1" applyFill="1" applyBorder="1" applyAlignment="1">
      <alignment horizontal="center"/>
    </xf>
    <xf numFmtId="0" fontId="5" fillId="35" borderId="2" xfId="0" applyFont="1" applyFill="1" applyBorder="1" applyAlignment="1">
      <alignment horizontal="left"/>
    </xf>
    <xf numFmtId="0" fontId="5" fillId="35" borderId="5" xfId="0" applyFont="1" applyFill="1" applyBorder="1" applyAlignment="1">
      <alignment horizontal="left"/>
    </xf>
    <xf numFmtId="0" fontId="7" fillId="35" borderId="190" xfId="0" applyFont="1" applyFill="1" applyBorder="1" applyAlignment="1">
      <alignment horizontal="left" vertical="center" wrapText="1"/>
    </xf>
    <xf numFmtId="0" fontId="5" fillId="35" borderId="2" xfId="0" applyFont="1" applyFill="1" applyBorder="1" applyAlignment="1">
      <alignment horizontal="left" wrapText="1"/>
    </xf>
    <xf numFmtId="0" fontId="5" fillId="35" borderId="67" xfId="0" applyFont="1" applyFill="1" applyBorder="1" applyAlignment="1">
      <alignment horizontal="left" wrapText="1"/>
    </xf>
    <xf numFmtId="0" fontId="7" fillId="35" borderId="149" xfId="0" applyFont="1" applyFill="1" applyBorder="1" applyAlignment="1">
      <alignment horizontal="left"/>
    </xf>
    <xf numFmtId="0" fontId="5" fillId="35" borderId="53" xfId="0" applyFont="1" applyFill="1" applyBorder="1" applyAlignment="1">
      <alignment horizontal="left"/>
    </xf>
    <xf numFmtId="0" fontId="7" fillId="35" borderId="25" xfId="0" applyFont="1" applyFill="1" applyBorder="1" applyAlignment="1">
      <alignment horizontal="left" vertical="center" wrapText="1"/>
    </xf>
    <xf numFmtId="49" fontId="5" fillId="20" borderId="178" xfId="0" applyNumberFormat="1" applyFont="1" applyFill="1" applyBorder="1" applyAlignment="1">
      <alignment horizontal="left"/>
    </xf>
    <xf numFmtId="0" fontId="0" fillId="0" borderId="237" xfId="0" applyBorder="1"/>
    <xf numFmtId="49" fontId="5" fillId="20" borderId="54" xfId="0" applyNumberFormat="1" applyFont="1" applyFill="1" applyBorder="1" applyAlignment="1">
      <alignment horizontal="left"/>
    </xf>
    <xf numFmtId="0" fontId="114" fillId="0" borderId="238" xfId="0" applyFont="1" applyBorder="1"/>
    <xf numFmtId="3" fontId="47" fillId="21" borderId="149" xfId="0" applyNumberFormat="1" applyFont="1" applyFill="1" applyBorder="1"/>
    <xf numFmtId="49" fontId="5" fillId="20" borderId="219" xfId="0" applyNumberFormat="1" applyFont="1" applyFill="1" applyBorder="1" applyAlignment="1">
      <alignment horizontal="left"/>
    </xf>
    <xf numFmtId="49" fontId="5" fillId="20" borderId="239" xfId="0" applyNumberFormat="1" applyFont="1" applyFill="1" applyBorder="1" applyAlignment="1">
      <alignment horizontal="left"/>
    </xf>
    <xf numFmtId="49" fontId="5" fillId="35" borderId="21" xfId="0" applyNumberFormat="1" applyFont="1" applyFill="1" applyBorder="1" applyAlignment="1">
      <alignment horizontal="center"/>
    </xf>
    <xf numFmtId="49" fontId="5" fillId="35" borderId="125" xfId="0" applyNumberFormat="1" applyFont="1" applyFill="1" applyBorder="1" applyAlignment="1">
      <alignment horizontal="center"/>
    </xf>
    <xf numFmtId="0" fontId="5" fillId="35" borderId="2" xfId="0" applyFont="1" applyFill="1" applyBorder="1" applyAlignment="1">
      <alignment horizontal="center"/>
    </xf>
    <xf numFmtId="0" fontId="5" fillId="35" borderId="2" xfId="0" applyFont="1" applyFill="1" applyBorder="1"/>
    <xf numFmtId="49" fontId="5" fillId="35" borderId="67" xfId="0" applyNumberFormat="1" applyFont="1" applyFill="1" applyBorder="1" applyAlignment="1">
      <alignment horizontal="center"/>
    </xf>
    <xf numFmtId="49" fontId="5" fillId="35" borderId="9" xfId="0" applyNumberFormat="1" applyFont="1" applyFill="1" applyBorder="1" applyAlignment="1">
      <alignment horizontal="center"/>
    </xf>
    <xf numFmtId="49" fontId="5" fillId="35" borderId="2" xfId="0" applyNumberFormat="1" applyFont="1" applyFill="1" applyBorder="1" applyAlignment="1">
      <alignment horizontal="center"/>
    </xf>
    <xf numFmtId="0" fontId="5" fillId="35" borderId="5" xfId="0" applyFont="1" applyFill="1" applyBorder="1"/>
    <xf numFmtId="0" fontId="5" fillId="35" borderId="13" xfId="0" applyFont="1" applyFill="1" applyBorder="1"/>
    <xf numFmtId="0" fontId="7" fillId="35" borderId="5" xfId="0" applyFont="1" applyFill="1" applyBorder="1"/>
    <xf numFmtId="0" fontId="5" fillId="35" borderId="67" xfId="0" applyFont="1" applyFill="1" applyBorder="1"/>
    <xf numFmtId="0" fontId="5" fillId="35" borderId="9" xfId="0" applyFont="1" applyFill="1" applyBorder="1"/>
    <xf numFmtId="0" fontId="5" fillId="35" borderId="2" xfId="0" applyFont="1" applyFill="1" applyBorder="1" applyAlignment="1">
      <alignment wrapText="1"/>
    </xf>
    <xf numFmtId="49" fontId="5" fillId="35" borderId="128" xfId="0" applyNumberFormat="1" applyFont="1" applyFill="1" applyBorder="1" applyAlignment="1">
      <alignment horizontal="center"/>
    </xf>
    <xf numFmtId="0" fontId="5" fillId="35" borderId="128" xfId="0" applyFont="1" applyFill="1" applyBorder="1"/>
    <xf numFmtId="49" fontId="5" fillId="35" borderId="2" xfId="0" applyNumberFormat="1" applyFont="1" applyFill="1" applyBorder="1" applyAlignment="1">
      <alignment horizontal="left"/>
    </xf>
    <xf numFmtId="49" fontId="5" fillId="35" borderId="203" xfId="0" applyNumberFormat="1" applyFont="1" applyFill="1" applyBorder="1" applyAlignment="1">
      <alignment horizontal="left"/>
    </xf>
    <xf numFmtId="173" fontId="4" fillId="2" borderId="109" xfId="0" applyNumberFormat="1" applyFont="1" applyFill="1" applyBorder="1" applyAlignment="1" applyProtection="1">
      <alignment horizontal="right"/>
      <protection locked="0"/>
    </xf>
    <xf numFmtId="9" fontId="5" fillId="0" borderId="0" xfId="0" applyNumberFormat="1" applyFont="1" applyAlignment="1">
      <alignment horizontal="right"/>
    </xf>
    <xf numFmtId="0" fontId="7" fillId="20" borderId="240" xfId="0" applyFont="1" applyFill="1" applyBorder="1" applyAlignment="1">
      <alignment horizontal="center" vertical="top" wrapText="1"/>
    </xf>
    <xf numFmtId="0" fontId="7" fillId="20" borderId="241" xfId="0" applyFont="1" applyFill="1" applyBorder="1" applyAlignment="1">
      <alignment horizontal="center"/>
    </xf>
    <xf numFmtId="9" fontId="5" fillId="20" borderId="242" xfId="0" applyNumberFormat="1" applyFont="1" applyFill="1" applyBorder="1" applyAlignment="1">
      <alignment horizontal="right"/>
    </xf>
    <xf numFmtId="9" fontId="5" fillId="20" borderId="243" xfId="0" applyNumberFormat="1" applyFont="1" applyFill="1" applyBorder="1" applyAlignment="1">
      <alignment horizontal="right"/>
    </xf>
    <xf numFmtId="9" fontId="5" fillId="20" borderId="244" xfId="0" applyNumberFormat="1" applyFont="1" applyFill="1" applyBorder="1" applyAlignment="1">
      <alignment horizontal="right"/>
    </xf>
    <xf numFmtId="9" fontId="5" fillId="20" borderId="245" xfId="0" applyNumberFormat="1" applyFont="1" applyFill="1" applyBorder="1" applyAlignment="1">
      <alignment horizontal="right"/>
    </xf>
    <xf numFmtId="9" fontId="5" fillId="20" borderId="246" xfId="0" applyNumberFormat="1" applyFont="1" applyFill="1" applyBorder="1" applyAlignment="1">
      <alignment horizontal="right"/>
    </xf>
    <xf numFmtId="9" fontId="5" fillId="20" borderId="247" xfId="0" applyNumberFormat="1" applyFont="1" applyFill="1" applyBorder="1" applyAlignment="1">
      <alignment horizontal="right"/>
    </xf>
    <xf numFmtId="9" fontId="5" fillId="20" borderId="248" xfId="0" applyNumberFormat="1" applyFont="1" applyFill="1" applyBorder="1" applyAlignment="1">
      <alignment horizontal="right"/>
    </xf>
    <xf numFmtId="0" fontId="7" fillId="20" borderId="90" xfId="0" applyFont="1" applyFill="1" applyBorder="1" applyAlignment="1">
      <alignment horizontal="center"/>
    </xf>
    <xf numFmtId="0" fontId="7" fillId="20" borderId="55" xfId="0" applyFont="1" applyFill="1" applyBorder="1" applyAlignment="1">
      <alignment horizontal="center"/>
    </xf>
    <xf numFmtId="0" fontId="7" fillId="20" borderId="142" xfId="0" applyFont="1" applyFill="1" applyBorder="1" applyAlignment="1">
      <alignment horizontal="right"/>
    </xf>
    <xf numFmtId="3" fontId="4" fillId="20" borderId="249" xfId="0" applyNumberFormat="1" applyFont="1" applyFill="1" applyBorder="1" applyAlignment="1">
      <alignment horizontal="right"/>
    </xf>
    <xf numFmtId="3" fontId="4" fillId="20" borderId="90" xfId="0" applyNumberFormat="1" applyFont="1" applyFill="1" applyBorder="1" applyAlignment="1">
      <alignment horizontal="right"/>
    </xf>
    <xf numFmtId="3" fontId="4" fillId="20" borderId="55" xfId="0" applyNumberFormat="1" applyFont="1" applyFill="1" applyBorder="1" applyAlignment="1">
      <alignment horizontal="right"/>
    </xf>
    <xf numFmtId="3" fontId="4" fillId="20" borderId="53" xfId="0" applyNumberFormat="1" applyFont="1" applyFill="1" applyBorder="1" applyAlignment="1">
      <alignment horizontal="right"/>
    </xf>
    <xf numFmtId="3" fontId="4" fillId="20" borderId="102" xfId="0" applyNumberFormat="1" applyFont="1" applyFill="1" applyBorder="1" applyAlignment="1">
      <alignment horizontal="right"/>
    </xf>
    <xf numFmtId="3" fontId="4" fillId="20" borderId="12" xfId="0" applyNumberFormat="1" applyFont="1" applyFill="1" applyBorder="1" applyAlignment="1">
      <alignment horizontal="right"/>
    </xf>
    <xf numFmtId="0" fontId="7" fillId="20" borderId="242" xfId="0" applyFont="1" applyFill="1" applyBorder="1" applyAlignment="1">
      <alignment horizontal="center"/>
    </xf>
    <xf numFmtId="0" fontId="7" fillId="20" borderId="243" xfId="0" applyFont="1" applyFill="1" applyBorder="1" applyAlignment="1">
      <alignment horizontal="center"/>
    </xf>
    <xf numFmtId="0" fontId="7" fillId="20" borderId="250" xfId="0" applyFont="1" applyFill="1" applyBorder="1" applyAlignment="1">
      <alignment horizontal="center"/>
    </xf>
    <xf numFmtId="9" fontId="5" fillId="20" borderId="251" xfId="0" applyNumberFormat="1" applyFont="1" applyFill="1" applyBorder="1" applyAlignment="1">
      <alignment horizontal="right"/>
    </xf>
    <xf numFmtId="0" fontId="10" fillId="35" borderId="22" xfId="0" applyFont="1" applyFill="1" applyBorder="1" applyAlignment="1">
      <alignment horizontal="center"/>
    </xf>
    <xf numFmtId="3" fontId="5" fillId="36" borderId="0" xfId="0" applyNumberFormat="1" applyFont="1" applyFill="1"/>
    <xf numFmtId="1" fontId="5" fillId="35" borderId="2" xfId="0" applyNumberFormat="1" applyFont="1" applyFill="1" applyBorder="1" applyAlignment="1">
      <alignment horizontal="center" vertical="center" wrapText="1"/>
    </xf>
    <xf numFmtId="0" fontId="10" fillId="35" borderId="5" xfId="0" applyFont="1" applyFill="1" applyBorder="1" applyAlignment="1">
      <alignment horizontal="center"/>
    </xf>
    <xf numFmtId="0" fontId="10" fillId="35" borderId="9" xfId="0" applyFont="1" applyFill="1" applyBorder="1" applyAlignment="1">
      <alignment horizontal="center" wrapText="1"/>
    </xf>
    <xf numFmtId="1" fontId="5" fillId="35" borderId="54" xfId="0" applyNumberFormat="1" applyFont="1" applyFill="1" applyBorder="1" applyAlignment="1">
      <alignment horizontal="center" wrapText="1"/>
    </xf>
    <xf numFmtId="1" fontId="5" fillId="35" borderId="2" xfId="0" applyNumberFormat="1" applyFont="1" applyFill="1" applyBorder="1" applyAlignment="1">
      <alignment horizontal="center"/>
    </xf>
    <xf numFmtId="1" fontId="10" fillId="35" borderId="2" xfId="0" applyNumberFormat="1" applyFont="1" applyFill="1" applyBorder="1" applyAlignment="1">
      <alignment horizontal="center"/>
    </xf>
    <xf numFmtId="0" fontId="5" fillId="35" borderId="78" xfId="0" applyFont="1" applyFill="1" applyBorder="1" applyAlignment="1">
      <alignment horizontal="left"/>
    </xf>
    <xf numFmtId="0" fontId="5" fillId="35" borderId="78" xfId="0" applyFont="1" applyFill="1" applyBorder="1" applyAlignment="1">
      <alignment horizontal="left" wrapText="1"/>
    </xf>
    <xf numFmtId="3" fontId="12" fillId="36" borderId="51" xfId="0" applyNumberFormat="1" applyFont="1" applyFill="1" applyBorder="1" applyAlignment="1" applyProtection="1">
      <alignment horizontal="right"/>
      <protection locked="0"/>
    </xf>
    <xf numFmtId="49" fontId="5" fillId="35" borderId="155" xfId="0" applyNumberFormat="1" applyFont="1" applyFill="1" applyBorder="1" applyAlignment="1">
      <alignment horizontal="center"/>
    </xf>
    <xf numFmtId="0" fontId="0" fillId="36" borderId="197" xfId="0" applyFill="1" applyBorder="1"/>
    <xf numFmtId="49" fontId="5" fillId="35" borderId="145" xfId="0" applyNumberFormat="1" applyFont="1" applyFill="1" applyBorder="1" applyAlignment="1">
      <alignment horizontal="center"/>
    </xf>
    <xf numFmtId="1" fontId="5" fillId="36" borderId="0" xfId="0" applyNumberFormat="1" applyFont="1" applyFill="1" applyAlignment="1">
      <alignment horizontal="center"/>
    </xf>
    <xf numFmtId="1" fontId="5" fillId="35" borderId="67" xfId="0" applyNumberFormat="1" applyFont="1" applyFill="1" applyBorder="1" applyAlignment="1">
      <alignment horizontal="center"/>
    </xf>
    <xf numFmtId="0" fontId="0" fillId="36" borderId="0" xfId="0" applyFill="1"/>
    <xf numFmtId="1" fontId="10" fillId="35" borderId="41" xfId="0" applyNumberFormat="1" applyFont="1" applyFill="1" applyBorder="1" applyAlignment="1">
      <alignment horizontal="center"/>
    </xf>
    <xf numFmtId="1" fontId="10" fillId="35" borderId="35" xfId="0" applyNumberFormat="1" applyFont="1" applyFill="1" applyBorder="1" applyAlignment="1">
      <alignment horizontal="center"/>
    </xf>
    <xf numFmtId="1" fontId="5" fillId="36" borderId="0" xfId="0" applyNumberFormat="1" applyFont="1" applyFill="1" applyAlignment="1">
      <alignment horizontal="left"/>
    </xf>
    <xf numFmtId="0" fontId="5" fillId="35" borderId="123" xfId="0" applyFont="1" applyFill="1" applyBorder="1" applyAlignment="1">
      <alignment horizontal="left"/>
    </xf>
    <xf numFmtId="0" fontId="11" fillId="36" borderId="197" xfId="0" applyFont="1" applyFill="1" applyBorder="1"/>
    <xf numFmtId="49" fontId="5" fillId="35" borderId="9" xfId="0" applyNumberFormat="1" applyFont="1" applyFill="1" applyBorder="1" applyAlignment="1">
      <alignment horizontal="left"/>
    </xf>
    <xf numFmtId="1" fontId="5" fillId="35" borderId="41" xfId="0" applyNumberFormat="1" applyFont="1" applyFill="1" applyBorder="1" applyAlignment="1">
      <alignment horizontal="left" wrapText="1"/>
    </xf>
    <xf numFmtId="1" fontId="5" fillId="35" borderId="35" xfId="0" applyNumberFormat="1" applyFont="1" applyFill="1" applyBorder="1" applyAlignment="1">
      <alignment horizontal="left"/>
    </xf>
    <xf numFmtId="3" fontId="12" fillId="36" borderId="10" xfId="0" applyNumberFormat="1" applyFont="1" applyFill="1" applyBorder="1" applyAlignment="1" applyProtection="1">
      <alignment horizontal="right"/>
      <protection locked="0"/>
    </xf>
    <xf numFmtId="1" fontId="5" fillId="20" borderId="78" xfId="0" applyNumberFormat="1" applyFont="1" applyFill="1" applyBorder="1" applyAlignment="1">
      <alignment horizontal="center" vertical="center" wrapText="1"/>
    </xf>
    <xf numFmtId="1" fontId="5" fillId="20" borderId="65" xfId="0" applyNumberFormat="1" applyFont="1" applyFill="1" applyBorder="1" applyAlignment="1">
      <alignment horizontal="center"/>
    </xf>
    <xf numFmtId="0" fontId="5" fillId="20" borderId="252" xfId="0" applyFont="1" applyFill="1" applyBorder="1" applyAlignment="1">
      <alignment horizontal="center"/>
    </xf>
    <xf numFmtId="0" fontId="5" fillId="20" borderId="253" xfId="0" applyFont="1" applyFill="1" applyBorder="1" applyAlignment="1">
      <alignment horizontal="center"/>
    </xf>
    <xf numFmtId="49" fontId="20" fillId="35" borderId="8" xfId="0" applyNumberFormat="1" applyFont="1" applyFill="1" applyBorder="1" applyAlignment="1">
      <alignment horizontal="left"/>
    </xf>
    <xf numFmtId="0" fontId="102" fillId="35" borderId="5" xfId="0" applyFont="1" applyFill="1" applyBorder="1"/>
    <xf numFmtId="0" fontId="102" fillId="35" borderId="25" xfId="0" applyFont="1" applyFill="1" applyBorder="1"/>
    <xf numFmtId="0" fontId="7" fillId="35" borderId="9" xfId="5" applyFont="1" applyFill="1" applyBorder="1" applyAlignment="1">
      <alignment vertical="top" wrapText="1"/>
    </xf>
    <xf numFmtId="0" fontId="5" fillId="35" borderId="2" xfId="5" applyFont="1" applyFill="1" applyBorder="1"/>
    <xf numFmtId="0" fontId="5" fillId="20" borderId="242" xfId="0" applyFont="1" applyFill="1" applyBorder="1" applyAlignment="1">
      <alignment horizontal="left" vertical="top" wrapText="1"/>
    </xf>
    <xf numFmtId="0" fontId="37" fillId="20" borderId="243" xfId="0" applyFont="1" applyFill="1" applyBorder="1" applyAlignment="1">
      <alignment horizontal="left" vertical="top" wrapText="1"/>
    </xf>
    <xf numFmtId="0" fontId="37" fillId="20" borderId="248" xfId="0" applyFont="1" applyFill="1" applyBorder="1" applyAlignment="1">
      <alignment horizontal="left" vertical="top" wrapText="1"/>
    </xf>
    <xf numFmtId="0" fontId="6" fillId="20" borderId="243" xfId="0" applyFont="1" applyFill="1" applyBorder="1"/>
    <xf numFmtId="0" fontId="37" fillId="20" borderId="237" xfId="0" applyFont="1" applyFill="1" applyBorder="1"/>
    <xf numFmtId="3" fontId="92" fillId="20" borderId="246" xfId="0" applyNumberFormat="1" applyFont="1" applyFill="1" applyBorder="1"/>
    <xf numFmtId="0" fontId="4" fillId="20" borderId="246" xfId="0" applyFont="1" applyFill="1" applyBorder="1" applyAlignment="1">
      <alignment vertical="top"/>
    </xf>
    <xf numFmtId="9" fontId="47" fillId="20" borderId="248" xfId="0" applyNumberFormat="1" applyFont="1" applyFill="1" applyBorder="1"/>
    <xf numFmtId="3" fontId="92" fillId="20" borderId="255" xfId="0" applyNumberFormat="1" applyFont="1" applyFill="1" applyBorder="1"/>
    <xf numFmtId="0" fontId="4" fillId="20" borderId="256" xfId="0" applyFont="1" applyFill="1" applyBorder="1" applyAlignment="1">
      <alignment vertical="top"/>
    </xf>
    <xf numFmtId="3" fontId="92" fillId="20" borderId="237" xfId="0" applyNumberFormat="1" applyFont="1" applyFill="1" applyBorder="1"/>
    <xf numFmtId="3" fontId="20" fillId="20" borderId="237" xfId="0" applyNumberFormat="1" applyFont="1" applyFill="1" applyBorder="1"/>
    <xf numFmtId="9" fontId="47" fillId="20" borderId="246" xfId="0" applyNumberFormat="1" applyFont="1" applyFill="1" applyBorder="1"/>
    <xf numFmtId="9" fontId="47" fillId="20" borderId="244" xfId="0" applyNumberFormat="1" applyFont="1" applyFill="1" applyBorder="1"/>
    <xf numFmtId="3" fontId="12" fillId="20" borderId="246" xfId="0" applyNumberFormat="1" applyFont="1" applyFill="1" applyBorder="1" applyAlignment="1" applyProtection="1">
      <alignment vertical="top"/>
      <protection locked="0"/>
    </xf>
    <xf numFmtId="3" fontId="92" fillId="20" borderId="257" xfId="0" applyNumberFormat="1" applyFont="1" applyFill="1" applyBorder="1"/>
    <xf numFmtId="3" fontId="5" fillId="20" borderId="258" xfId="0" applyNumberFormat="1" applyFont="1" applyFill="1" applyBorder="1"/>
    <xf numFmtId="9" fontId="47" fillId="20" borderId="247" xfId="0" applyNumberFormat="1" applyFont="1" applyFill="1" applyBorder="1"/>
    <xf numFmtId="3" fontId="92" fillId="20" borderId="259" xfId="0" applyNumberFormat="1" applyFont="1" applyFill="1" applyBorder="1"/>
    <xf numFmtId="0" fontId="11" fillId="20" borderId="246" xfId="0" applyFont="1" applyFill="1" applyBorder="1" applyAlignment="1">
      <alignment vertical="top"/>
    </xf>
    <xf numFmtId="9" fontId="47" fillId="20" borderId="244" xfId="0" quotePrefix="1" applyNumberFormat="1" applyFont="1" applyFill="1" applyBorder="1"/>
    <xf numFmtId="3" fontId="92" fillId="20" borderId="260" xfId="0" applyNumberFormat="1" applyFont="1" applyFill="1" applyBorder="1"/>
    <xf numFmtId="0" fontId="4" fillId="20" borderId="246" xfId="0" applyFont="1" applyFill="1" applyBorder="1" applyAlignment="1" applyProtection="1">
      <alignment vertical="top"/>
      <protection locked="0"/>
    </xf>
    <xf numFmtId="0" fontId="4" fillId="20" borderId="247" xfId="0" applyFont="1" applyFill="1" applyBorder="1" applyAlignment="1" applyProtection="1">
      <alignment vertical="top"/>
      <protection locked="0"/>
    </xf>
    <xf numFmtId="9" fontId="121" fillId="20" borderId="246" xfId="0" applyNumberFormat="1" applyFont="1" applyFill="1" applyBorder="1"/>
    <xf numFmtId="9" fontId="47" fillId="20" borderId="245" xfId="0" applyNumberFormat="1" applyFont="1" applyFill="1" applyBorder="1"/>
    <xf numFmtId="3" fontId="105" fillId="20" borderId="261" xfId="0" applyNumberFormat="1" applyFont="1" applyFill="1" applyBorder="1"/>
    <xf numFmtId="3" fontId="92" fillId="20" borderId="261" xfId="0" applyNumberFormat="1" applyFont="1" applyFill="1" applyBorder="1"/>
    <xf numFmtId="0" fontId="3" fillId="20" borderId="262" xfId="0" applyFont="1" applyFill="1" applyBorder="1"/>
    <xf numFmtId="3" fontId="4" fillId="21" borderId="245" xfId="0" applyNumberFormat="1" applyFont="1" applyFill="1" applyBorder="1" applyAlignment="1">
      <alignment horizontal="right"/>
    </xf>
    <xf numFmtId="3" fontId="92" fillId="20" borderId="263" xfId="0" applyNumberFormat="1" applyFont="1" applyFill="1" applyBorder="1"/>
    <xf numFmtId="0" fontId="9" fillId="20" borderId="27" xfId="0" applyFont="1" applyFill="1" applyBorder="1" applyAlignment="1">
      <alignment vertical="top" wrapText="1"/>
    </xf>
    <xf numFmtId="0" fontId="0" fillId="20" borderId="27" xfId="0" applyFill="1" applyBorder="1" applyAlignment="1">
      <alignment vertical="top" wrapText="1"/>
    </xf>
    <xf numFmtId="3" fontId="10" fillId="20" borderId="27" xfId="0" applyNumberFormat="1" applyFont="1" applyFill="1" applyBorder="1" applyAlignment="1">
      <alignment vertical="top" wrapText="1"/>
    </xf>
    <xf numFmtId="3" fontId="10" fillId="20" borderId="27" xfId="0" applyNumberFormat="1" applyFont="1" applyFill="1" applyBorder="1" applyAlignment="1">
      <alignment horizontal="left" wrapText="1"/>
    </xf>
    <xf numFmtId="3" fontId="37" fillId="20" borderId="221" xfId="0" applyNumberFormat="1" applyFont="1" applyFill="1" applyBorder="1" applyAlignment="1">
      <alignment wrapText="1"/>
    </xf>
    <xf numFmtId="3" fontId="47" fillId="20" borderId="0" xfId="0" applyNumberFormat="1" applyFont="1" applyFill="1"/>
    <xf numFmtId="3" fontId="47" fillId="20" borderId="27" xfId="0" applyNumberFormat="1" applyFont="1" applyFill="1" applyBorder="1"/>
    <xf numFmtId="3" fontId="38" fillId="20" borderId="173" xfId="5" quotePrefix="1" applyNumberFormat="1" applyFont="1" applyFill="1" applyBorder="1" applyAlignment="1">
      <alignment horizontal="left"/>
    </xf>
    <xf numFmtId="3" fontId="47" fillId="20" borderId="27" xfId="9" applyNumberFormat="1" applyFont="1" applyFill="1" applyBorder="1" applyAlignment="1">
      <alignment horizontal="center"/>
    </xf>
    <xf numFmtId="3" fontId="47" fillId="20" borderId="173" xfId="12" applyNumberFormat="1" applyFont="1" applyFill="1" applyBorder="1" applyAlignment="1" applyProtection="1">
      <alignment horizontal="center"/>
    </xf>
    <xf numFmtId="3" fontId="47" fillId="20" borderId="173" xfId="9" applyNumberFormat="1" applyFont="1" applyFill="1" applyBorder="1" applyAlignment="1">
      <alignment horizontal="center"/>
    </xf>
    <xf numFmtId="3" fontId="79" fillId="20" borderId="27" xfId="9" applyNumberFormat="1" applyFont="1" applyFill="1" applyBorder="1" applyAlignment="1">
      <alignment horizontal="center"/>
    </xf>
    <xf numFmtId="3" fontId="47" fillId="20" borderId="180" xfId="12" applyNumberFormat="1" applyFont="1" applyFill="1" applyBorder="1" applyAlignment="1" applyProtection="1">
      <alignment horizontal="center"/>
    </xf>
    <xf numFmtId="3" fontId="103" fillId="20" borderId="180" xfId="12" applyNumberFormat="1" applyFont="1" applyFill="1" applyBorder="1" applyAlignment="1" applyProtection="1">
      <alignment horizontal="center"/>
    </xf>
    <xf numFmtId="3" fontId="103" fillId="20" borderId="173" xfId="9" applyNumberFormat="1" applyFont="1" applyFill="1" applyBorder="1" applyAlignment="1">
      <alignment horizontal="center"/>
    </xf>
    <xf numFmtId="3" fontId="103" fillId="20" borderId="27" xfId="9" applyNumberFormat="1" applyFont="1" applyFill="1" applyBorder="1" applyAlignment="1">
      <alignment horizontal="center"/>
    </xf>
    <xf numFmtId="3" fontId="47" fillId="20" borderId="264" xfId="9" applyNumberFormat="1" applyFont="1" applyFill="1" applyBorder="1" applyAlignment="1">
      <alignment horizontal="center"/>
    </xf>
    <xf numFmtId="3" fontId="104" fillId="20" borderId="27" xfId="9" applyNumberFormat="1" applyFont="1" applyFill="1" applyBorder="1" applyAlignment="1">
      <alignment horizontal="center"/>
    </xf>
    <xf numFmtId="3" fontId="47" fillId="20" borderId="173" xfId="0" applyNumberFormat="1" applyFont="1" applyFill="1" applyBorder="1"/>
    <xf numFmtId="3" fontId="7" fillId="20" borderId="97" xfId="0" applyNumberFormat="1" applyFont="1" applyFill="1" applyBorder="1" applyAlignment="1">
      <alignment horizontal="left" vertical="center" wrapText="1"/>
    </xf>
    <xf numFmtId="3" fontId="4" fillId="20" borderId="87" xfId="0" applyNumberFormat="1" applyFont="1" applyFill="1" applyBorder="1" applyAlignment="1">
      <alignment horizontal="right"/>
    </xf>
    <xf numFmtId="3" fontId="4" fillId="20" borderId="172" xfId="0" applyNumberFormat="1" applyFont="1" applyFill="1" applyBorder="1" applyAlignment="1">
      <alignment horizontal="right"/>
    </xf>
    <xf numFmtId="3" fontId="4" fillId="20" borderId="159" xfId="0" applyNumberFormat="1" applyFont="1" applyFill="1" applyBorder="1" applyAlignment="1">
      <alignment horizontal="right"/>
    </xf>
    <xf numFmtId="3" fontId="4" fillId="20" borderId="91" xfId="0" applyNumberFormat="1" applyFont="1" applyFill="1" applyBorder="1" applyAlignment="1">
      <alignment horizontal="right"/>
    </xf>
    <xf numFmtId="3" fontId="4" fillId="20" borderId="64" xfId="0" applyNumberFormat="1" applyFont="1" applyFill="1" applyBorder="1" applyAlignment="1">
      <alignment horizontal="right"/>
    </xf>
    <xf numFmtId="3" fontId="4" fillId="20" borderId="160" xfId="0" applyNumberFormat="1" applyFont="1" applyFill="1" applyBorder="1" applyAlignment="1">
      <alignment horizontal="right"/>
    </xf>
    <xf numFmtId="3" fontId="4" fillId="20" borderId="217" xfId="0" applyNumberFormat="1" applyFont="1" applyFill="1" applyBorder="1" applyAlignment="1">
      <alignment horizontal="right"/>
    </xf>
    <xf numFmtId="3" fontId="4" fillId="20" borderId="172" xfId="0" applyNumberFormat="1" applyFont="1" applyFill="1" applyBorder="1"/>
    <xf numFmtId="0" fontId="0" fillId="20" borderId="92" xfId="0" applyFill="1" applyBorder="1"/>
    <xf numFmtId="3" fontId="7" fillId="20" borderId="265" xfId="0" applyNumberFormat="1" applyFont="1" applyFill="1" applyBorder="1" applyAlignment="1">
      <alignment horizontal="left" vertical="center" wrapText="1"/>
    </xf>
    <xf numFmtId="0" fontId="0" fillId="20" borderId="267" xfId="0" applyFill="1" applyBorder="1"/>
    <xf numFmtId="3" fontId="4" fillId="20" borderId="268" xfId="0" applyNumberFormat="1" applyFont="1" applyFill="1" applyBorder="1" applyAlignment="1">
      <alignment horizontal="right"/>
    </xf>
    <xf numFmtId="3" fontId="4" fillId="20" borderId="269" xfId="0" applyNumberFormat="1" applyFont="1" applyFill="1" applyBorder="1" applyAlignment="1">
      <alignment horizontal="right"/>
    </xf>
    <xf numFmtId="3" fontId="4" fillId="20" borderId="270" xfId="0" applyNumberFormat="1" applyFont="1" applyFill="1" applyBorder="1" applyAlignment="1">
      <alignment horizontal="right"/>
    </xf>
    <xf numFmtId="3" fontId="4" fillId="20" borderId="271" xfId="0" applyNumberFormat="1" applyFont="1" applyFill="1" applyBorder="1" applyAlignment="1">
      <alignment horizontal="right"/>
    </xf>
    <xf numFmtId="3" fontId="4" fillId="20" borderId="267" xfId="0" applyNumberFormat="1" applyFont="1" applyFill="1" applyBorder="1" applyAlignment="1">
      <alignment horizontal="right"/>
    </xf>
    <xf numFmtId="0" fontId="11" fillId="20" borderId="271" xfId="0" applyFont="1" applyFill="1" applyBorder="1"/>
    <xf numFmtId="3" fontId="4" fillId="20" borderId="272" xfId="0" applyNumberFormat="1" applyFont="1" applyFill="1" applyBorder="1" applyAlignment="1">
      <alignment horizontal="right"/>
    </xf>
    <xf numFmtId="3" fontId="4" fillId="20" borderId="273" xfId="0" applyNumberFormat="1" applyFont="1" applyFill="1" applyBorder="1" applyAlignment="1">
      <alignment horizontal="right"/>
    </xf>
    <xf numFmtId="3" fontId="4" fillId="20" borderId="274" xfId="0" applyNumberFormat="1" applyFont="1" applyFill="1" applyBorder="1" applyAlignment="1">
      <alignment horizontal="right"/>
    </xf>
    <xf numFmtId="3" fontId="4" fillId="20" borderId="269" xfId="0" applyNumberFormat="1" applyFont="1" applyFill="1" applyBorder="1"/>
    <xf numFmtId="0" fontId="0" fillId="20" borderId="275" xfId="0" applyFill="1" applyBorder="1"/>
    <xf numFmtId="0" fontId="5" fillId="35" borderId="22" xfId="0" applyFont="1" applyFill="1" applyBorder="1" applyAlignment="1">
      <alignment horizontal="center"/>
    </xf>
    <xf numFmtId="0" fontId="10" fillId="35" borderId="6" xfId="0" applyFont="1" applyFill="1" applyBorder="1"/>
    <xf numFmtId="49" fontId="5" fillId="35" borderId="87" xfId="0" applyNumberFormat="1" applyFont="1" applyFill="1" applyBorder="1" applyAlignment="1">
      <alignment horizontal="left"/>
    </xf>
    <xf numFmtId="0" fontId="18" fillId="35" borderId="162" xfId="0" applyFont="1" applyFill="1" applyBorder="1"/>
    <xf numFmtId="0" fontId="5" fillId="35" borderId="86" xfId="0" applyFont="1" applyFill="1" applyBorder="1" applyAlignment="1">
      <alignment horizontal="left" vertical="top" wrapText="1"/>
    </xf>
    <xf numFmtId="3" fontId="15" fillId="36" borderId="5" xfId="0" applyNumberFormat="1" applyFont="1" applyFill="1" applyBorder="1" applyAlignment="1" applyProtection="1">
      <alignment horizontal="right"/>
      <protection locked="0"/>
    </xf>
    <xf numFmtId="3" fontId="5" fillId="35" borderId="123" xfId="0" applyNumberFormat="1" applyFont="1" applyFill="1" applyBorder="1" applyAlignment="1">
      <alignment horizontal="left" vertical="top" wrapText="1"/>
    </xf>
    <xf numFmtId="0" fontId="5" fillId="35" borderId="149" xfId="0" applyFont="1" applyFill="1" applyBorder="1" applyAlignment="1">
      <alignment horizontal="left" vertical="top" wrapText="1"/>
    </xf>
    <xf numFmtId="3" fontId="5" fillId="35" borderId="25" xfId="0" applyNumberFormat="1" applyFont="1" applyFill="1" applyBorder="1" applyAlignment="1">
      <alignment horizontal="left" vertical="top" wrapText="1"/>
    </xf>
    <xf numFmtId="3" fontId="5" fillId="35" borderId="59" xfId="0" applyNumberFormat="1" applyFont="1" applyFill="1" applyBorder="1" applyAlignment="1">
      <alignment horizontal="left" vertical="top" wrapText="1"/>
    </xf>
    <xf numFmtId="3" fontId="5" fillId="35" borderId="26" xfId="0" applyNumberFormat="1" applyFont="1" applyFill="1" applyBorder="1" applyAlignment="1">
      <alignment horizontal="left" vertical="top" wrapText="1"/>
    </xf>
    <xf numFmtId="3" fontId="5" fillId="35" borderId="29" xfId="0" applyNumberFormat="1" applyFont="1" applyFill="1" applyBorder="1" applyAlignment="1">
      <alignment horizontal="center"/>
    </xf>
    <xf numFmtId="3" fontId="5" fillId="35" borderId="24" xfId="0" applyNumberFormat="1" applyFont="1" applyFill="1" applyBorder="1" applyAlignment="1">
      <alignment vertical="top" wrapText="1"/>
    </xf>
    <xf numFmtId="3" fontId="5" fillId="35" borderId="73" xfId="0" applyNumberFormat="1" applyFont="1" applyFill="1" applyBorder="1"/>
    <xf numFmtId="3" fontId="5" fillId="35" borderId="54" xfId="0" applyNumberFormat="1" applyFont="1" applyFill="1" applyBorder="1"/>
    <xf numFmtId="3" fontId="5" fillId="35" borderId="12" xfId="0" applyNumberFormat="1" applyFont="1" applyFill="1" applyBorder="1"/>
    <xf numFmtId="3" fontId="15" fillId="36" borderId="3" xfId="0" applyNumberFormat="1" applyFont="1" applyFill="1" applyBorder="1" applyAlignment="1" applyProtection="1">
      <alignment horizontal="right"/>
      <protection locked="0"/>
    </xf>
    <xf numFmtId="3" fontId="5" fillId="35" borderId="87" xfId="0" applyNumberFormat="1" applyFont="1" applyFill="1" applyBorder="1"/>
    <xf numFmtId="3" fontId="15" fillId="36" borderId="3" xfId="0" applyNumberFormat="1" applyFont="1" applyFill="1" applyBorder="1" applyAlignment="1">
      <alignment horizontal="right"/>
    </xf>
    <xf numFmtId="3" fontId="15" fillId="36" borderId="29" xfId="0" applyNumberFormat="1" applyFont="1" applyFill="1" applyBorder="1" applyAlignment="1" applyProtection="1">
      <alignment horizontal="right"/>
      <protection locked="0"/>
    </xf>
    <xf numFmtId="3" fontId="5" fillId="0" borderId="0" xfId="0" applyNumberFormat="1" applyFont="1" applyAlignment="1">
      <alignment horizontal="right"/>
    </xf>
    <xf numFmtId="0" fontId="83" fillId="2" borderId="0" xfId="10" applyFont="1" applyFill="1"/>
    <xf numFmtId="3" fontId="38" fillId="0" borderId="43" xfId="0" applyNumberFormat="1" applyFont="1" applyBorder="1"/>
    <xf numFmtId="3" fontId="4" fillId="9" borderId="4" xfId="0" applyNumberFormat="1" applyFont="1" applyFill="1" applyBorder="1" applyAlignment="1">
      <alignment horizontal="right"/>
    </xf>
    <xf numFmtId="3" fontId="4" fillId="9" borderId="2" xfId="0" applyNumberFormat="1" applyFont="1" applyFill="1" applyBorder="1" applyAlignment="1">
      <alignment horizontal="right"/>
    </xf>
    <xf numFmtId="3" fontId="4" fillId="9" borderId="18" xfId="0" applyNumberFormat="1" applyFont="1" applyFill="1" applyBorder="1" applyAlignment="1">
      <alignment horizontal="right"/>
    </xf>
    <xf numFmtId="3" fontId="4" fillId="9" borderId="155" xfId="0" applyNumberFormat="1" applyFont="1" applyFill="1" applyBorder="1" applyAlignment="1">
      <alignment horizontal="right"/>
    </xf>
    <xf numFmtId="3" fontId="4" fillId="2" borderId="67" xfId="0" applyNumberFormat="1" applyFont="1" applyFill="1" applyBorder="1" applyAlignment="1" applyProtection="1">
      <alignment horizontal="right"/>
      <protection locked="0"/>
    </xf>
    <xf numFmtId="3" fontId="4" fillId="2" borderId="165" xfId="0" applyNumberFormat="1" applyFont="1" applyFill="1" applyBorder="1" applyAlignment="1" applyProtection="1">
      <alignment horizontal="right"/>
      <protection locked="0"/>
    </xf>
    <xf numFmtId="3" fontId="4" fillId="2" borderId="55" xfId="0" applyNumberFormat="1" applyFont="1" applyFill="1" applyBorder="1" applyAlignment="1" applyProtection="1">
      <alignment horizontal="right"/>
      <protection locked="0"/>
    </xf>
    <xf numFmtId="3" fontId="4" fillId="3" borderId="59" xfId="0" applyNumberFormat="1" applyFont="1" applyFill="1" applyBorder="1" applyAlignment="1">
      <alignment horizontal="right"/>
    </xf>
    <xf numFmtId="3" fontId="4" fillId="9" borderId="125" xfId="0" applyNumberFormat="1" applyFont="1" applyFill="1" applyBorder="1" applyAlignment="1">
      <alignment horizontal="right"/>
    </xf>
    <xf numFmtId="3" fontId="4" fillId="2" borderId="125" xfId="0" applyNumberFormat="1" applyFont="1" applyFill="1" applyBorder="1" applyAlignment="1" applyProtection="1">
      <alignment horizontal="right"/>
      <protection locked="0"/>
    </xf>
    <xf numFmtId="49" fontId="5" fillId="20" borderId="276" xfId="0" applyNumberFormat="1" applyFont="1" applyFill="1" applyBorder="1" applyAlignment="1">
      <alignment horizontal="center"/>
    </xf>
    <xf numFmtId="0" fontId="5" fillId="20" borderId="277" xfId="0" applyFont="1" applyFill="1" applyBorder="1"/>
    <xf numFmtId="3" fontId="4" fillId="3" borderId="278" xfId="0" applyNumberFormat="1" applyFont="1" applyFill="1" applyBorder="1" applyAlignment="1">
      <alignment horizontal="right"/>
    </xf>
    <xf numFmtId="3" fontId="4" fillId="3" borderId="279" xfId="0" applyNumberFormat="1" applyFont="1" applyFill="1" applyBorder="1" applyAlignment="1">
      <alignment horizontal="right"/>
    </xf>
    <xf numFmtId="3" fontId="125" fillId="21" borderId="279" xfId="0" applyNumberFormat="1" applyFont="1" applyFill="1" applyBorder="1" applyAlignment="1">
      <alignment horizontal="right"/>
    </xf>
    <xf numFmtId="3" fontId="4" fillId="3" borderId="280" xfId="0" applyNumberFormat="1" applyFont="1" applyFill="1" applyBorder="1" applyAlignment="1">
      <alignment horizontal="right"/>
    </xf>
    <xf numFmtId="3" fontId="4" fillId="3" borderId="276" xfId="0" applyNumberFormat="1" applyFont="1" applyFill="1" applyBorder="1" applyAlignment="1">
      <alignment horizontal="right"/>
    </xf>
    <xf numFmtId="3" fontId="4" fillId="3" borderId="281" xfId="0" applyNumberFormat="1" applyFont="1" applyFill="1" applyBorder="1" applyAlignment="1">
      <alignment horizontal="right"/>
    </xf>
    <xf numFmtId="0" fontId="5" fillId="20" borderId="282" xfId="0" applyFont="1" applyFill="1" applyBorder="1" applyAlignment="1">
      <alignment horizontal="left" vertical="center"/>
    </xf>
    <xf numFmtId="0" fontId="5" fillId="20" borderId="283" xfId="0" applyFont="1" applyFill="1" applyBorder="1" applyAlignment="1">
      <alignment horizontal="left" vertical="center"/>
    </xf>
    <xf numFmtId="3" fontId="4" fillId="37" borderId="7" xfId="0" applyNumberFormat="1" applyFont="1" applyFill="1" applyBorder="1" applyAlignment="1">
      <alignment horizontal="right"/>
    </xf>
    <xf numFmtId="3" fontId="4" fillId="37" borderId="22" xfId="0" applyNumberFormat="1" applyFont="1" applyFill="1" applyBorder="1" applyAlignment="1">
      <alignment horizontal="right"/>
    </xf>
    <xf numFmtId="0" fontId="5" fillId="35" borderId="5" xfId="0" applyFont="1" applyFill="1" applyBorder="1" applyAlignment="1">
      <alignment horizontal="center"/>
    </xf>
    <xf numFmtId="0" fontId="5" fillId="35" borderId="68" xfId="0" applyFont="1" applyFill="1" applyBorder="1" applyAlignment="1">
      <alignment horizontal="left" vertical="top" wrapText="1"/>
    </xf>
    <xf numFmtId="3" fontId="47" fillId="21" borderId="284" xfId="0" applyNumberFormat="1" applyFont="1" applyFill="1" applyBorder="1"/>
    <xf numFmtId="3" fontId="47" fillId="20" borderId="284" xfId="0" applyNumberFormat="1" applyFont="1" applyFill="1" applyBorder="1"/>
    <xf numFmtId="1" fontId="47" fillId="20" borderId="285" xfId="0" applyNumberFormat="1" applyFont="1" applyFill="1" applyBorder="1"/>
    <xf numFmtId="0" fontId="5" fillId="20" borderId="219" xfId="0" applyFont="1" applyFill="1" applyBorder="1"/>
    <xf numFmtId="3" fontId="47" fillId="21" borderId="286" xfId="0" applyNumberFormat="1" applyFont="1" applyFill="1" applyBorder="1"/>
    <xf numFmtId="0" fontId="5" fillId="20" borderId="288" xfId="0" applyFont="1" applyFill="1" applyBorder="1" applyAlignment="1">
      <alignment horizontal="center"/>
    </xf>
    <xf numFmtId="3" fontId="47" fillId="21" borderId="289" xfId="0" applyNumberFormat="1" applyFont="1" applyFill="1" applyBorder="1"/>
    <xf numFmtId="3" fontId="47" fillId="21" borderId="290" xfId="0" applyNumberFormat="1" applyFont="1" applyFill="1" applyBorder="1"/>
    <xf numFmtId="3" fontId="47" fillId="21" borderId="288" xfId="0" applyNumberFormat="1" applyFont="1" applyFill="1" applyBorder="1"/>
    <xf numFmtId="3" fontId="47" fillId="21" borderId="291" xfId="0" applyNumberFormat="1" applyFont="1" applyFill="1" applyBorder="1"/>
    <xf numFmtId="3" fontId="47" fillId="21" borderId="292" xfId="0" applyNumberFormat="1" applyFont="1" applyFill="1" applyBorder="1"/>
    <xf numFmtId="3" fontId="47" fillId="21" borderId="293" xfId="0" applyNumberFormat="1" applyFont="1" applyFill="1" applyBorder="1"/>
    <xf numFmtId="3" fontId="47" fillId="21" borderId="294" xfId="0" applyNumberFormat="1" applyFont="1" applyFill="1" applyBorder="1"/>
    <xf numFmtId="3" fontId="47" fillId="21" borderId="295" xfId="0" applyNumberFormat="1" applyFont="1" applyFill="1" applyBorder="1"/>
    <xf numFmtId="3" fontId="47" fillId="21" borderId="287" xfId="0" applyNumberFormat="1" applyFont="1" applyFill="1" applyBorder="1"/>
    <xf numFmtId="3" fontId="47" fillId="20" borderId="294" xfId="0" applyNumberFormat="1" applyFont="1" applyFill="1" applyBorder="1"/>
    <xf numFmtId="3" fontId="47" fillId="20" borderId="295" xfId="0" applyNumberFormat="1" applyFont="1" applyFill="1" applyBorder="1"/>
    <xf numFmtId="1" fontId="47" fillId="20" borderId="296" xfId="0" applyNumberFormat="1" applyFont="1" applyFill="1" applyBorder="1"/>
    <xf numFmtId="0" fontId="5" fillId="20" borderId="219" xfId="0" applyFont="1" applyFill="1" applyBorder="1" applyAlignment="1">
      <alignment horizontal="center"/>
    </xf>
    <xf numFmtId="3" fontId="47" fillId="20" borderId="54" xfId="0" applyNumberFormat="1" applyFont="1" applyFill="1" applyBorder="1"/>
    <xf numFmtId="3" fontId="47" fillId="20" borderId="73" xfId="0" applyNumberFormat="1" applyFont="1" applyFill="1" applyBorder="1"/>
    <xf numFmtId="3" fontId="47" fillId="20" borderId="75" xfId="0" applyNumberFormat="1" applyFont="1" applyFill="1" applyBorder="1"/>
    <xf numFmtId="3" fontId="47" fillId="20" borderId="47" xfId="0" applyNumberFormat="1" applyFont="1" applyFill="1" applyBorder="1"/>
    <xf numFmtId="3" fontId="47" fillId="20" borderId="11" xfId="0" applyNumberFormat="1" applyFont="1" applyFill="1" applyBorder="1"/>
    <xf numFmtId="1" fontId="47" fillId="20" borderId="209" xfId="0" applyNumberFormat="1" applyFont="1" applyFill="1" applyBorder="1"/>
    <xf numFmtId="0" fontId="5" fillId="20" borderId="240" xfId="0" applyFont="1" applyFill="1" applyBorder="1" applyAlignment="1">
      <alignment wrapText="1"/>
    </xf>
    <xf numFmtId="0" fontId="5" fillId="20" borderId="241" xfId="0" applyFont="1" applyFill="1" applyBorder="1"/>
    <xf numFmtId="0" fontId="5" fillId="20" borderId="241" xfId="0" applyFont="1" applyFill="1" applyBorder="1" applyAlignment="1">
      <alignment horizontal="center"/>
    </xf>
    <xf numFmtId="9" fontId="47" fillId="20" borderId="297" xfId="12" applyFont="1" applyFill="1" applyBorder="1" applyProtection="1"/>
    <xf numFmtId="9" fontId="47" fillId="20" borderId="298" xfId="12" applyFont="1" applyFill="1" applyBorder="1" applyProtection="1"/>
    <xf numFmtId="9" fontId="47" fillId="20" borderId="299" xfId="12" applyFont="1" applyFill="1" applyBorder="1" applyProtection="1"/>
    <xf numFmtId="9" fontId="47" fillId="20" borderId="297" xfId="0" applyNumberFormat="1" applyFont="1" applyFill="1" applyBorder="1"/>
    <xf numFmtId="9" fontId="47" fillId="20" borderId="241" xfId="0" applyNumberFormat="1" applyFont="1" applyFill="1" applyBorder="1"/>
    <xf numFmtId="9" fontId="47" fillId="20" borderId="300" xfId="0" applyNumberFormat="1" applyFont="1" applyFill="1" applyBorder="1"/>
    <xf numFmtId="9" fontId="47" fillId="20" borderId="299" xfId="0" applyNumberFormat="1" applyFont="1" applyFill="1" applyBorder="1"/>
    <xf numFmtId="9" fontId="47" fillId="20" borderId="301" xfId="0" applyNumberFormat="1" applyFont="1" applyFill="1" applyBorder="1"/>
    <xf numFmtId="1" fontId="47" fillId="20" borderId="302" xfId="0" applyNumberFormat="1" applyFont="1" applyFill="1" applyBorder="1"/>
    <xf numFmtId="3" fontId="5" fillId="20" borderId="303" xfId="0" applyNumberFormat="1" applyFont="1" applyFill="1" applyBorder="1"/>
    <xf numFmtId="1" fontId="5" fillId="20" borderId="304" xfId="0" applyNumberFormat="1" applyFont="1" applyFill="1" applyBorder="1"/>
    <xf numFmtId="3" fontId="5" fillId="20" borderId="305" xfId="0" applyNumberFormat="1" applyFont="1" applyFill="1" applyBorder="1"/>
    <xf numFmtId="3" fontId="5" fillId="20" borderId="306" xfId="0" applyNumberFormat="1" applyFont="1" applyFill="1" applyBorder="1"/>
    <xf numFmtId="3" fontId="38" fillId="20" borderId="303" xfId="0" applyNumberFormat="1" applyFont="1" applyFill="1" applyBorder="1"/>
    <xf numFmtId="49" fontId="5" fillId="35" borderId="23" xfId="0" applyNumberFormat="1" applyFont="1" applyFill="1" applyBorder="1" applyAlignment="1">
      <alignment horizontal="left"/>
    </xf>
    <xf numFmtId="49" fontId="5" fillId="35" borderId="22" xfId="0" applyNumberFormat="1" applyFont="1" applyFill="1" applyBorder="1" applyAlignment="1">
      <alignment horizontal="left"/>
    </xf>
    <xf numFmtId="49" fontId="5" fillId="35" borderId="125" xfId="0" applyNumberFormat="1" applyFont="1" applyFill="1" applyBorder="1" applyAlignment="1">
      <alignment horizontal="left"/>
    </xf>
    <xf numFmtId="0" fontId="7" fillId="35" borderId="182" xfId="0" applyFont="1" applyFill="1" applyBorder="1"/>
    <xf numFmtId="49" fontId="5" fillId="35" borderId="12" xfId="0" applyNumberFormat="1" applyFont="1" applyFill="1" applyBorder="1"/>
    <xf numFmtId="49" fontId="5" fillId="35" borderId="53" xfId="0" applyNumberFormat="1" applyFont="1" applyFill="1" applyBorder="1"/>
    <xf numFmtId="49" fontId="5" fillId="35" borderId="53" xfId="0" applyNumberFormat="1" applyFont="1" applyFill="1" applyBorder="1" applyAlignment="1">
      <alignment wrapText="1"/>
    </xf>
    <xf numFmtId="49" fontId="5" fillId="35" borderId="165" xfId="0" applyNumberFormat="1" applyFont="1" applyFill="1" applyBorder="1"/>
    <xf numFmtId="49" fontId="147" fillId="35" borderId="12" xfId="0" applyNumberFormat="1" applyFont="1" applyFill="1" applyBorder="1"/>
    <xf numFmtId="0" fontId="5" fillId="20" borderId="0" xfId="5" applyFont="1" applyFill="1"/>
    <xf numFmtId="0" fontId="5" fillId="20" borderId="165" xfId="0" applyFont="1" applyFill="1" applyBorder="1" applyAlignment="1">
      <alignment horizontal="left" vertical="top" wrapText="1"/>
    </xf>
    <xf numFmtId="3" fontId="4" fillId="9" borderId="219" xfId="5" applyNumberFormat="1" applyFont="1" applyFill="1" applyBorder="1"/>
    <xf numFmtId="3" fontId="4" fillId="2" borderId="12" xfId="5" applyNumberFormat="1" applyFont="1" applyFill="1" applyBorder="1" applyAlignment="1" applyProtection="1">
      <alignment horizontal="right"/>
      <protection locked="0"/>
    </xf>
    <xf numFmtId="3" fontId="4" fillId="2" borderId="165" xfId="5" applyNumberFormat="1" applyFont="1" applyFill="1" applyBorder="1" applyAlignment="1" applyProtection="1">
      <alignment horizontal="right"/>
      <protection locked="0"/>
    </xf>
    <xf numFmtId="3" fontId="4" fillId="2" borderId="213" xfId="5" applyNumberFormat="1" applyFont="1" applyFill="1" applyBorder="1" applyAlignment="1" applyProtection="1">
      <alignment horizontal="right"/>
      <protection locked="0"/>
    </xf>
    <xf numFmtId="3" fontId="4" fillId="2" borderId="102" xfId="5" applyNumberFormat="1" applyFont="1" applyFill="1" applyBorder="1" applyAlignment="1" applyProtection="1">
      <alignment horizontal="right"/>
      <protection locked="0"/>
    </xf>
    <xf numFmtId="0" fontId="5" fillId="20" borderId="242" xfId="5" applyFont="1" applyFill="1" applyBorder="1"/>
    <xf numFmtId="0" fontId="5" fillId="20" borderId="243" xfId="5" applyFont="1" applyFill="1" applyBorder="1"/>
    <xf numFmtId="0" fontId="5" fillId="20" borderId="247" xfId="0" applyFont="1" applyFill="1" applyBorder="1" applyAlignment="1">
      <alignment horizontal="left" vertical="top" wrapText="1"/>
    </xf>
    <xf numFmtId="3" fontId="4" fillId="9" borderId="307" xfId="5" applyNumberFormat="1" applyFont="1" applyFill="1" applyBorder="1"/>
    <xf numFmtId="3" fontId="4" fillId="2" borderId="244" xfId="5" applyNumberFormat="1" applyFont="1" applyFill="1" applyBorder="1" applyAlignment="1" applyProtection="1">
      <alignment horizontal="right"/>
      <protection locked="0"/>
    </xf>
    <xf numFmtId="3" fontId="4" fillId="2" borderId="246" xfId="5" applyNumberFormat="1" applyFont="1" applyFill="1" applyBorder="1" applyAlignment="1" applyProtection="1">
      <alignment horizontal="right"/>
      <protection locked="0"/>
    </xf>
    <xf numFmtId="3" fontId="4" fillId="2" borderId="247" xfId="5" applyNumberFormat="1" applyFont="1" applyFill="1" applyBorder="1" applyAlignment="1" applyProtection="1">
      <alignment horizontal="right"/>
      <protection locked="0"/>
    </xf>
    <xf numFmtId="3" fontId="4" fillId="2" borderId="256" xfId="5" applyNumberFormat="1" applyFont="1" applyFill="1" applyBorder="1" applyAlignment="1" applyProtection="1">
      <alignment horizontal="right"/>
      <protection locked="0"/>
    </xf>
    <xf numFmtId="3" fontId="4" fillId="9" borderId="308" xfId="5" applyNumberFormat="1" applyFont="1" applyFill="1" applyBorder="1"/>
    <xf numFmtId="3" fontId="4" fillId="2" borderId="245" xfId="5" applyNumberFormat="1" applyFont="1" applyFill="1" applyBorder="1" applyAlignment="1" applyProtection="1">
      <alignment horizontal="right"/>
      <protection locked="0"/>
    </xf>
    <xf numFmtId="3" fontId="38" fillId="0" borderId="0" xfId="5" quotePrefix="1" applyNumberFormat="1" applyFont="1" applyAlignment="1">
      <alignment horizontal="left"/>
    </xf>
    <xf numFmtId="0" fontId="5" fillId="20" borderId="241" xfId="5" applyFont="1" applyFill="1" applyBorder="1" applyAlignment="1">
      <alignment horizontal="center" vertical="top"/>
    </xf>
    <xf numFmtId="0" fontId="5" fillId="20" borderId="241" xfId="5" applyFont="1" applyFill="1" applyBorder="1"/>
    <xf numFmtId="1" fontId="5" fillId="20" borderId="241" xfId="5" applyNumberFormat="1" applyFont="1" applyFill="1" applyBorder="1" applyAlignment="1">
      <alignment horizontal="left"/>
    </xf>
    <xf numFmtId="169" fontId="43" fillId="20" borderId="309" xfId="5" applyNumberFormat="1" applyFont="1" applyFill="1" applyBorder="1"/>
    <xf numFmtId="3" fontId="47" fillId="20" borderId="308" xfId="5" applyNumberFormat="1" applyFont="1" applyFill="1" applyBorder="1"/>
    <xf numFmtId="9" fontId="47" fillId="20" borderId="246" xfId="5" quotePrefix="1" applyNumberFormat="1" applyFont="1" applyFill="1" applyBorder="1" applyAlignment="1">
      <alignment horizontal="right"/>
    </xf>
    <xf numFmtId="3" fontId="44" fillId="20" borderId="262" xfId="5" applyNumberFormat="1" applyFont="1" applyFill="1" applyBorder="1" applyAlignment="1">
      <alignment horizontal="right"/>
    </xf>
    <xf numFmtId="3" fontId="44" fillId="20" borderId="237" xfId="5" applyNumberFormat="1" applyFont="1" applyFill="1" applyBorder="1" applyAlignment="1">
      <alignment horizontal="right"/>
    </xf>
    <xf numFmtId="3" fontId="44" fillId="20" borderId="263" xfId="5" applyNumberFormat="1" applyFont="1" applyFill="1" applyBorder="1" applyAlignment="1">
      <alignment horizontal="right"/>
    </xf>
    <xf numFmtId="9" fontId="47" fillId="20" borderId="259" xfId="5" applyNumberFormat="1" applyFont="1" applyFill="1" applyBorder="1"/>
    <xf numFmtId="0" fontId="0" fillId="34" borderId="310" xfId="0" applyFill="1" applyBorder="1"/>
    <xf numFmtId="3" fontId="44" fillId="0" borderId="0" xfId="5" applyNumberFormat="1" applyFont="1" applyAlignment="1">
      <alignment horizontal="right"/>
    </xf>
    <xf numFmtId="0" fontId="5" fillId="20" borderId="311" xfId="5" applyFont="1" applyFill="1" applyBorder="1"/>
    <xf numFmtId="3" fontId="5" fillId="20" borderId="310" xfId="5" applyNumberFormat="1" applyFont="1" applyFill="1" applyBorder="1"/>
    <xf numFmtId="0" fontId="5" fillId="20" borderId="310" xfId="5" applyFont="1" applyFill="1" applyBorder="1"/>
    <xf numFmtId="0" fontId="9" fillId="20" borderId="310" xfId="5" applyFont="1" applyFill="1" applyBorder="1" applyAlignment="1">
      <alignment horizontal="left"/>
    </xf>
    <xf numFmtId="3" fontId="43" fillId="20" borderId="310" xfId="5" applyNumberFormat="1" applyFont="1" applyFill="1" applyBorder="1"/>
    <xf numFmtId="169" fontId="43" fillId="20" borderId="312" xfId="5" applyNumberFormat="1" applyFont="1" applyFill="1" applyBorder="1"/>
    <xf numFmtId="3" fontId="5" fillId="20" borderId="313" xfId="5" applyNumberFormat="1" applyFont="1" applyFill="1" applyBorder="1"/>
    <xf numFmtId="3" fontId="43" fillId="20" borderId="310" xfId="5" applyNumberFormat="1" applyFont="1" applyFill="1" applyBorder="1" applyAlignment="1">
      <alignment horizontal="right"/>
    </xf>
    <xf numFmtId="0" fontId="131" fillId="20" borderId="310" xfId="0" applyFont="1" applyFill="1" applyBorder="1" applyAlignment="1">
      <alignment vertical="top" wrapText="1"/>
    </xf>
    <xf numFmtId="0" fontId="5" fillId="20" borderId="310" xfId="0" applyFont="1" applyFill="1" applyBorder="1" applyAlignment="1">
      <alignment vertical="top" wrapText="1"/>
    </xf>
    <xf numFmtId="3" fontId="43" fillId="20" borderId="314" xfId="5" applyNumberFormat="1" applyFont="1" applyFill="1" applyBorder="1" applyAlignment="1">
      <alignment horizontal="right"/>
    </xf>
    <xf numFmtId="3" fontId="5" fillId="20" borderId="311" xfId="5" applyNumberFormat="1" applyFont="1" applyFill="1" applyBorder="1"/>
    <xf numFmtId="3" fontId="119" fillId="20" borderId="310" xfId="5" applyNumberFormat="1" applyFont="1" applyFill="1" applyBorder="1" applyAlignment="1">
      <alignment horizontal="left" vertical="top"/>
    </xf>
    <xf numFmtId="0" fontId="120" fillId="20" borderId="310" xfId="0" applyFont="1" applyFill="1" applyBorder="1"/>
    <xf numFmtId="3" fontId="5" fillId="20" borderId="311" xfId="5" applyNumberFormat="1" applyFont="1" applyFill="1" applyBorder="1" applyAlignment="1">
      <alignment horizontal="right"/>
    </xf>
    <xf numFmtId="3" fontId="5" fillId="20" borderId="310" xfId="5" applyNumberFormat="1" applyFont="1" applyFill="1" applyBorder="1" applyAlignment="1">
      <alignment horizontal="right"/>
    </xf>
    <xf numFmtId="0" fontId="132" fillId="20" borderId="310" xfId="0" applyFont="1" applyFill="1" applyBorder="1" applyAlignment="1">
      <alignment horizontal="left" vertical="top"/>
    </xf>
    <xf numFmtId="0" fontId="132" fillId="20" borderId="314" xfId="0" applyFont="1" applyFill="1" applyBorder="1" applyAlignment="1">
      <alignment horizontal="left" vertical="top"/>
    </xf>
    <xf numFmtId="3" fontId="5" fillId="20" borderId="315" xfId="5" applyNumberFormat="1" applyFont="1" applyFill="1" applyBorder="1" applyAlignment="1">
      <alignment wrapText="1"/>
    </xf>
    <xf numFmtId="3" fontId="5" fillId="20" borderId="237" xfId="5" applyNumberFormat="1" applyFont="1" applyFill="1" applyBorder="1"/>
    <xf numFmtId="0" fontId="5" fillId="20" borderId="237" xfId="5" applyFont="1" applyFill="1" applyBorder="1" applyAlignment="1">
      <alignment wrapText="1"/>
    </xf>
    <xf numFmtId="0" fontId="9" fillId="20" borderId="237" xfId="5" applyFont="1" applyFill="1" applyBorder="1" applyAlignment="1">
      <alignment horizontal="left" wrapText="1"/>
    </xf>
    <xf numFmtId="3" fontId="43" fillId="20" borderId="237" xfId="5" applyNumberFormat="1" applyFont="1" applyFill="1" applyBorder="1"/>
    <xf numFmtId="3" fontId="5" fillId="20" borderId="237" xfId="5" applyNumberFormat="1" applyFont="1" applyFill="1" applyBorder="1" applyAlignment="1">
      <alignment horizontal="left"/>
    </xf>
    <xf numFmtId="0" fontId="0" fillId="20" borderId="237" xfId="0" applyFill="1" applyBorder="1"/>
    <xf numFmtId="0" fontId="0" fillId="20" borderId="237" xfId="0" applyFill="1" applyBorder="1" applyAlignment="1">
      <alignment vertical="top" wrapText="1"/>
    </xf>
    <xf numFmtId="3" fontId="43" fillId="20" borderId="263" xfId="5" applyNumberFormat="1" applyFont="1" applyFill="1" applyBorder="1" applyAlignment="1">
      <alignment horizontal="left"/>
    </xf>
    <xf numFmtId="169" fontId="5" fillId="20" borderId="315" xfId="5" applyNumberFormat="1" applyFont="1" applyFill="1" applyBorder="1" applyAlignment="1">
      <alignment horizontal="left"/>
    </xf>
    <xf numFmtId="169" fontId="43" fillId="20" borderId="237" xfId="5" applyNumberFormat="1" applyFont="1" applyFill="1" applyBorder="1" applyAlignment="1">
      <alignment horizontal="left"/>
    </xf>
    <xf numFmtId="3" fontId="5" fillId="20" borderId="255" xfId="5" applyNumberFormat="1" applyFont="1" applyFill="1" applyBorder="1" applyAlignment="1">
      <alignment horizontal="left"/>
    </xf>
    <xf numFmtId="3" fontId="5" fillId="20" borderId="261" xfId="5" applyNumberFormat="1" applyFont="1" applyFill="1" applyBorder="1" applyAlignment="1">
      <alignment horizontal="left"/>
    </xf>
    <xf numFmtId="3" fontId="4" fillId="37" borderId="5" xfId="5" applyNumberFormat="1" applyFont="1" applyFill="1" applyBorder="1"/>
    <xf numFmtId="0" fontId="5" fillId="35" borderId="2" xfId="5" applyFont="1" applyFill="1" applyBorder="1" applyAlignment="1">
      <alignment horizontal="left"/>
    </xf>
    <xf numFmtId="1" fontId="5" fillId="35" borderId="49" xfId="5" applyNumberFormat="1" applyFont="1" applyFill="1" applyBorder="1" applyAlignment="1">
      <alignment horizontal="left"/>
    </xf>
    <xf numFmtId="1" fontId="5" fillId="35" borderId="137" xfId="5" applyNumberFormat="1" applyFont="1" applyFill="1" applyBorder="1" applyAlignment="1">
      <alignment horizontal="left"/>
    </xf>
    <xf numFmtId="0" fontId="5" fillId="35" borderId="6" xfId="5" applyFont="1" applyFill="1" applyBorder="1"/>
    <xf numFmtId="0" fontId="5" fillId="35" borderId="185" xfId="5" applyFont="1" applyFill="1" applyBorder="1"/>
    <xf numFmtId="0" fontId="26" fillId="35" borderId="67" xfId="5" applyFill="1" applyBorder="1"/>
    <xf numFmtId="1" fontId="7" fillId="20" borderId="310" xfId="0" applyNumberFormat="1" applyFont="1" applyFill="1" applyBorder="1" applyAlignment="1">
      <alignment horizontal="left"/>
    </xf>
    <xf numFmtId="1" fontId="5" fillId="20" borderId="252" xfId="0" applyNumberFormat="1" applyFont="1" applyFill="1" applyBorder="1" applyAlignment="1">
      <alignment horizontal="left"/>
    </xf>
    <xf numFmtId="1" fontId="7" fillId="20" borderId="252" xfId="0" applyNumberFormat="1" applyFont="1" applyFill="1" applyBorder="1" applyAlignment="1">
      <alignment horizontal="left"/>
    </xf>
    <xf numFmtId="0" fontId="0" fillId="20" borderId="310" xfId="0" applyFill="1" applyBorder="1"/>
    <xf numFmtId="1" fontId="7" fillId="20" borderId="316" xfId="0" applyNumberFormat="1" applyFont="1" applyFill="1" applyBorder="1" applyAlignment="1">
      <alignment horizontal="left"/>
    </xf>
    <xf numFmtId="0" fontId="0" fillId="20" borderId="318" xfId="0" applyFill="1" applyBorder="1"/>
    <xf numFmtId="0" fontId="0" fillId="20" borderId="238" xfId="0" applyFill="1" applyBorder="1"/>
    <xf numFmtId="1" fontId="5" fillId="20" borderId="319" xfId="0" applyNumberFormat="1" applyFont="1" applyFill="1" applyBorder="1" applyAlignment="1">
      <alignment horizontal="left"/>
    </xf>
    <xf numFmtId="0" fontId="0" fillId="20" borderId="320" xfId="0" applyFill="1" applyBorder="1"/>
    <xf numFmtId="1" fontId="5" fillId="20" borderId="317" xfId="0" applyNumberFormat="1" applyFont="1" applyFill="1" applyBorder="1" applyAlignment="1">
      <alignment horizontal="left"/>
    </xf>
    <xf numFmtId="1" fontId="7" fillId="20" borderId="321" xfId="0" applyNumberFormat="1" applyFont="1" applyFill="1" applyBorder="1" applyAlignment="1">
      <alignment horizontal="left"/>
    </xf>
    <xf numFmtId="0" fontId="7" fillId="20" borderId="279" xfId="0" applyFont="1" applyFill="1" applyBorder="1"/>
    <xf numFmtId="3" fontId="4" fillId="8" borderId="279" xfId="0" applyNumberFormat="1" applyFont="1" applyFill="1" applyBorder="1" applyAlignment="1">
      <alignment horizontal="right"/>
    </xf>
    <xf numFmtId="3" fontId="44" fillId="20" borderId="279" xfId="0" applyNumberFormat="1" applyFont="1" applyFill="1" applyBorder="1" applyAlignment="1">
      <alignment horizontal="right"/>
    </xf>
    <xf numFmtId="3" fontId="47" fillId="20" borderId="279" xfId="0" applyNumberFormat="1" applyFont="1" applyFill="1" applyBorder="1" applyAlignment="1">
      <alignment horizontal="right"/>
    </xf>
    <xf numFmtId="0" fontId="5" fillId="20" borderId="241" xfId="5" applyFont="1" applyFill="1" applyBorder="1" applyAlignment="1">
      <alignment horizontal="center"/>
    </xf>
    <xf numFmtId="0" fontId="11" fillId="20" borderId="322" xfId="0" applyFont="1" applyFill="1" applyBorder="1" applyAlignment="1">
      <alignment horizontal="left"/>
    </xf>
    <xf numFmtId="9" fontId="47" fillId="20" borderId="246" xfId="0" quotePrefix="1" applyNumberFormat="1" applyFont="1" applyFill="1" applyBorder="1" applyAlignment="1">
      <alignment horizontal="right"/>
    </xf>
    <xf numFmtId="3" fontId="47" fillId="20" borderId="262" xfId="0" applyNumberFormat="1" applyFont="1" applyFill="1" applyBorder="1" applyAlignment="1">
      <alignment horizontal="right"/>
    </xf>
    <xf numFmtId="0" fontId="0" fillId="20" borderId="323" xfId="0" applyFill="1" applyBorder="1"/>
    <xf numFmtId="9" fontId="47" fillId="20" borderId="244" xfId="0" quotePrefix="1" applyNumberFormat="1" applyFont="1" applyFill="1" applyBorder="1" applyAlignment="1">
      <alignment horizontal="right"/>
    </xf>
    <xf numFmtId="9" fontId="47" fillId="20" borderId="245" xfId="0" quotePrefix="1" applyNumberFormat="1" applyFont="1" applyFill="1" applyBorder="1" applyAlignment="1">
      <alignment horizontal="right"/>
    </xf>
    <xf numFmtId="9" fontId="47" fillId="20" borderId="247" xfId="0" quotePrefix="1" applyNumberFormat="1" applyFont="1" applyFill="1" applyBorder="1" applyAlignment="1">
      <alignment horizontal="right"/>
    </xf>
    <xf numFmtId="9" fontId="47" fillId="20" borderId="324" xfId="0" quotePrefix="1" applyNumberFormat="1" applyFont="1" applyFill="1" applyBorder="1" applyAlignment="1">
      <alignment horizontal="right"/>
    </xf>
    <xf numFmtId="3" fontId="5" fillId="20" borderId="311" xfId="0" applyNumberFormat="1" applyFont="1" applyFill="1" applyBorder="1" applyAlignment="1">
      <alignment wrapText="1"/>
    </xf>
    <xf numFmtId="3" fontId="5" fillId="20" borderId="310" xfId="0" applyNumberFormat="1" applyFont="1" applyFill="1" applyBorder="1"/>
    <xf numFmtId="3" fontId="5" fillId="20" borderId="310" xfId="0" applyNumberFormat="1" applyFont="1" applyFill="1" applyBorder="1" applyAlignment="1">
      <alignment vertical="center" wrapText="1"/>
    </xf>
    <xf numFmtId="0" fontId="4" fillId="20" borderId="310" xfId="0" applyFont="1" applyFill="1" applyBorder="1" applyAlignment="1">
      <alignment wrapText="1"/>
    </xf>
    <xf numFmtId="0" fontId="11" fillId="20" borderId="312" xfId="0" applyFont="1" applyFill="1" applyBorder="1" applyAlignment="1">
      <alignment horizontal="left" wrapText="1"/>
    </xf>
    <xf numFmtId="3" fontId="5" fillId="20" borderId="313" xfId="0" applyNumberFormat="1" applyFont="1" applyFill="1" applyBorder="1" applyAlignment="1">
      <alignment horizontal="right"/>
    </xf>
    <xf numFmtId="3" fontId="43" fillId="20" borderId="320" xfId="0" applyNumberFormat="1" applyFont="1" applyFill="1" applyBorder="1" applyAlignment="1">
      <alignment horizontal="right"/>
    </xf>
    <xf numFmtId="3" fontId="5" fillId="20" borderId="310" xfId="0" applyNumberFormat="1" applyFont="1" applyFill="1" applyBorder="1" applyAlignment="1">
      <alignment horizontal="right"/>
    </xf>
    <xf numFmtId="3" fontId="43" fillId="20" borderId="325" xfId="0" applyNumberFormat="1" applyFont="1" applyFill="1" applyBorder="1" applyAlignment="1">
      <alignment horizontal="right"/>
    </xf>
    <xf numFmtId="3" fontId="5" fillId="20" borderId="326" xfId="0" applyNumberFormat="1" applyFont="1" applyFill="1" applyBorder="1" applyAlignment="1">
      <alignment horizontal="right"/>
    </xf>
    <xf numFmtId="3" fontId="43" fillId="20" borderId="314" xfId="0" applyNumberFormat="1" applyFont="1" applyFill="1" applyBorder="1" applyAlignment="1">
      <alignment horizontal="right"/>
    </xf>
    <xf numFmtId="3" fontId="119" fillId="20" borderId="320" xfId="0" applyNumberFormat="1" applyFont="1" applyFill="1" applyBorder="1" applyAlignment="1">
      <alignment horizontal="left" vertical="top"/>
    </xf>
    <xf numFmtId="3" fontId="5" fillId="20" borderId="315" xfId="0" applyNumberFormat="1" applyFont="1" applyFill="1" applyBorder="1" applyAlignment="1">
      <alignment wrapText="1"/>
    </xf>
    <xf numFmtId="3" fontId="5" fillId="20" borderId="237" xfId="0" applyNumberFormat="1" applyFont="1" applyFill="1" applyBorder="1"/>
    <xf numFmtId="3" fontId="5" fillId="20" borderId="237" xfId="0" applyNumberFormat="1" applyFont="1" applyFill="1" applyBorder="1" applyAlignment="1">
      <alignment vertical="center" wrapText="1"/>
    </xf>
    <xf numFmtId="0" fontId="4" fillId="20" borderId="237" xfId="0" applyFont="1" applyFill="1" applyBorder="1" applyAlignment="1">
      <alignment wrapText="1"/>
    </xf>
    <xf numFmtId="0" fontId="11" fillId="20" borderId="237" xfId="0" applyFont="1" applyFill="1" applyBorder="1" applyAlignment="1">
      <alignment horizontal="left" wrapText="1"/>
    </xf>
    <xf numFmtId="3" fontId="5" fillId="20" borderId="327" xfId="0" applyNumberFormat="1" applyFont="1" applyFill="1" applyBorder="1" applyAlignment="1">
      <alignment horizontal="left"/>
    </xf>
    <xf numFmtId="3" fontId="43" fillId="20" borderId="323" xfId="0" applyNumberFormat="1" applyFont="1" applyFill="1" applyBorder="1" applyAlignment="1">
      <alignment horizontal="left"/>
    </xf>
    <xf numFmtId="3" fontId="5" fillId="20" borderId="237" xfId="0" applyNumberFormat="1" applyFont="1" applyFill="1" applyBorder="1" applyAlignment="1">
      <alignment horizontal="left"/>
    </xf>
    <xf numFmtId="3" fontId="43" fillId="20" borderId="328" xfId="0" applyNumberFormat="1" applyFont="1" applyFill="1" applyBorder="1" applyAlignment="1">
      <alignment horizontal="left"/>
    </xf>
    <xf numFmtId="3" fontId="5" fillId="20" borderId="261" xfId="0" applyNumberFormat="1" applyFont="1" applyFill="1" applyBorder="1" applyAlignment="1">
      <alignment horizontal="left"/>
    </xf>
    <xf numFmtId="3" fontId="43" fillId="20" borderId="257" xfId="0" applyNumberFormat="1" applyFont="1" applyFill="1" applyBorder="1" applyAlignment="1">
      <alignment horizontal="right"/>
    </xf>
    <xf numFmtId="0" fontId="120" fillId="20" borderId="323" xfId="0" applyFont="1" applyFill="1" applyBorder="1" applyAlignment="1">
      <alignment horizontal="left" vertical="top"/>
    </xf>
    <xf numFmtId="0" fontId="155" fillId="0" borderId="107" xfId="0" applyFont="1" applyBorder="1"/>
    <xf numFmtId="0" fontId="0" fillId="0" borderId="220" xfId="0" applyBorder="1"/>
    <xf numFmtId="0" fontId="11" fillId="0" borderId="27" xfId="0" applyFont="1" applyBorder="1" applyAlignment="1">
      <alignment horizontal="left" vertical="center"/>
    </xf>
    <xf numFmtId="3" fontId="4" fillId="3" borderId="62" xfId="0" applyNumberFormat="1" applyFont="1" applyFill="1" applyBorder="1" applyAlignment="1">
      <alignment horizontal="right"/>
    </xf>
    <xf numFmtId="3" fontId="4" fillId="3" borderId="201" xfId="0" applyNumberFormat="1" applyFont="1" applyFill="1" applyBorder="1" applyAlignment="1">
      <alignment horizontal="right"/>
    </xf>
    <xf numFmtId="0" fontId="78" fillId="20" borderId="107" xfId="0" applyFont="1" applyFill="1" applyBorder="1" applyAlignment="1">
      <alignment wrapText="1"/>
    </xf>
    <xf numFmtId="0" fontId="78" fillId="20" borderId="66" xfId="0" applyFont="1" applyFill="1" applyBorder="1" applyAlignment="1">
      <alignment wrapText="1"/>
    </xf>
    <xf numFmtId="0" fontId="0" fillId="0" borderId="27" xfId="0" applyBorder="1" applyAlignment="1">
      <alignment horizontal="left" wrapText="1"/>
    </xf>
    <xf numFmtId="0" fontId="0" fillId="0" borderId="0" xfId="0" applyAlignment="1">
      <alignment horizontal="left" wrapText="1"/>
    </xf>
    <xf numFmtId="0" fontId="0" fillId="0" borderId="43" xfId="0" applyBorder="1" applyAlignment="1">
      <alignment horizontal="left" wrapText="1"/>
    </xf>
    <xf numFmtId="0" fontId="0" fillId="0" borderId="221" xfId="0" applyBorder="1" applyAlignment="1">
      <alignment horizontal="left" wrapText="1"/>
    </xf>
    <xf numFmtId="0" fontId="0" fillId="0" borderId="222" xfId="0" applyBorder="1" applyAlignment="1">
      <alignment horizontal="left" wrapText="1"/>
    </xf>
    <xf numFmtId="0" fontId="0" fillId="0" borderId="223" xfId="0" applyBorder="1" applyAlignment="1">
      <alignment horizontal="left" wrapText="1"/>
    </xf>
    <xf numFmtId="0" fontId="7" fillId="20" borderId="119" xfId="0" applyFont="1" applyFill="1" applyBorder="1" applyAlignment="1">
      <alignment horizontal="center" vertical="center"/>
    </xf>
    <xf numFmtId="0" fontId="0" fillId="20" borderId="116" xfId="0" applyFill="1" applyBorder="1"/>
    <xf numFmtId="0" fontId="5" fillId="20" borderId="126" xfId="0" applyFont="1" applyFill="1" applyBorder="1" applyAlignment="1">
      <alignment wrapText="1"/>
    </xf>
    <xf numFmtId="0" fontId="0" fillId="20" borderId="234" xfId="0" applyFill="1" applyBorder="1" applyAlignment="1">
      <alignment wrapText="1"/>
    </xf>
    <xf numFmtId="0" fontId="5" fillId="20" borderId="49" xfId="0" applyFont="1" applyFill="1" applyBorder="1" applyAlignment="1">
      <alignment wrapText="1"/>
    </xf>
    <xf numFmtId="0" fontId="26" fillId="20" borderId="235" xfId="0" applyFont="1" applyFill="1" applyBorder="1" applyAlignment="1">
      <alignment wrapText="1"/>
    </xf>
    <xf numFmtId="0" fontId="7" fillId="20" borderId="36" xfId="0" applyFont="1" applyFill="1" applyBorder="1" applyAlignment="1">
      <alignment horizontal="center" vertical="center"/>
    </xf>
    <xf numFmtId="0" fontId="3" fillId="20" borderId="116" xfId="0" applyFont="1" applyFill="1" applyBorder="1"/>
    <xf numFmtId="3" fontId="47" fillId="21" borderId="122" xfId="0" applyNumberFormat="1" applyFont="1" applyFill="1" applyBorder="1"/>
    <xf numFmtId="3" fontId="47" fillId="21" borderId="21" xfId="0" applyNumberFormat="1" applyFont="1" applyFill="1" applyBorder="1"/>
    <xf numFmtId="3" fontId="47" fillId="21" borderId="59" xfId="0" applyNumberFormat="1" applyFont="1" applyFill="1" applyBorder="1"/>
    <xf numFmtId="3" fontId="47" fillId="21" borderId="18" xfId="0" applyNumberFormat="1" applyFont="1" applyFill="1" applyBorder="1"/>
    <xf numFmtId="0" fontId="9" fillId="0" borderId="0" xfId="0" applyFont="1" applyAlignment="1">
      <alignment vertical="top" wrapText="1"/>
    </xf>
    <xf numFmtId="1" fontId="19" fillId="20" borderId="15" xfId="0" applyNumberFormat="1" applyFont="1" applyFill="1" applyBorder="1" applyAlignment="1">
      <alignment horizontal="left" vertical="top" wrapText="1"/>
    </xf>
    <xf numFmtId="0" fontId="53" fillId="20" borderId="41" xfId="0" applyFont="1" applyFill="1" applyBorder="1" applyAlignment="1">
      <alignment horizontal="left" vertical="top" wrapText="1"/>
    </xf>
    <xf numFmtId="0" fontId="7" fillId="20" borderId="116" xfId="0" applyFont="1" applyFill="1" applyBorder="1"/>
    <xf numFmtId="3" fontId="7" fillId="20" borderId="36" xfId="0" applyNumberFormat="1" applyFont="1" applyFill="1" applyBorder="1" applyAlignment="1">
      <alignment horizontal="center" vertical="center"/>
    </xf>
    <xf numFmtId="0" fontId="9" fillId="20" borderId="116" xfId="0" applyFont="1" applyFill="1" applyBorder="1"/>
    <xf numFmtId="1" fontId="7" fillId="0" borderId="0" xfId="0" applyNumberFormat="1" applyFont="1" applyAlignment="1">
      <alignment horizontal="left" wrapText="1"/>
    </xf>
    <xf numFmtId="1" fontId="5" fillId="0" borderId="0" xfId="0" applyNumberFormat="1" applyFont="1" applyAlignment="1">
      <alignment horizontal="center" wrapText="1"/>
    </xf>
    <xf numFmtId="1" fontId="4" fillId="20" borderId="15" xfId="0" applyNumberFormat="1" applyFont="1" applyFill="1" applyBorder="1" applyAlignment="1">
      <alignment horizontal="left" wrapText="1"/>
    </xf>
    <xf numFmtId="0" fontId="11" fillId="20" borderId="15" xfId="0" applyFont="1" applyFill="1" applyBorder="1" applyAlignment="1">
      <alignment wrapText="1"/>
    </xf>
    <xf numFmtId="0" fontId="9" fillId="0" borderId="0" xfId="0" applyFont="1" applyAlignment="1">
      <alignment wrapText="1"/>
    </xf>
    <xf numFmtId="0" fontId="115" fillId="0" borderId="0" xfId="0" applyFont="1" applyAlignment="1">
      <alignment vertical="top" wrapText="1"/>
    </xf>
    <xf numFmtId="0" fontId="115" fillId="0" borderId="0" xfId="0" applyFont="1" applyAlignment="1">
      <alignment wrapText="1"/>
    </xf>
    <xf numFmtId="0" fontId="135" fillId="0" borderId="0" xfId="0" applyFont="1" applyAlignment="1">
      <alignment horizontal="left" wrapText="1"/>
    </xf>
    <xf numFmtId="0" fontId="135" fillId="0" borderId="56" xfId="0" applyFont="1" applyBorder="1" applyAlignment="1">
      <alignment horizontal="left" wrapText="1"/>
    </xf>
    <xf numFmtId="0" fontId="5" fillId="20" borderId="113" xfId="0" applyFont="1" applyFill="1" applyBorder="1" applyAlignment="1">
      <alignment horizontal="left" vertical="top" wrapText="1"/>
    </xf>
    <xf numFmtId="0" fontId="0" fillId="0" borderId="41" xfId="0" applyBorder="1"/>
    <xf numFmtId="49" fontId="22" fillId="0" borderId="0" xfId="0" applyNumberFormat="1" applyFont="1" applyAlignment="1">
      <alignment horizontal="left" wrapText="1"/>
    </xf>
    <xf numFmtId="0" fontId="57" fillId="0" borderId="0" xfId="0" applyFont="1" applyAlignment="1">
      <alignment horizontal="left" wrapText="1"/>
    </xf>
    <xf numFmtId="0" fontId="0" fillId="0" borderId="0" xfId="0"/>
    <xf numFmtId="0" fontId="0" fillId="0" borderId="0" xfId="0" applyAlignment="1">
      <alignment wrapText="1"/>
    </xf>
    <xf numFmtId="0" fontId="138" fillId="36" borderId="0" xfId="0" applyFont="1" applyFill="1" applyAlignment="1">
      <alignment vertical="center" wrapText="1"/>
    </xf>
    <xf numFmtId="0" fontId="0" fillId="0" borderId="0" xfId="0" applyAlignment="1">
      <alignment vertical="center" wrapText="1"/>
    </xf>
    <xf numFmtId="3" fontId="5" fillId="0" borderId="57" xfId="0" applyNumberFormat="1" applyFont="1" applyBorder="1"/>
    <xf numFmtId="0" fontId="9" fillId="0" borderId="56" xfId="0" applyFont="1" applyBorder="1"/>
    <xf numFmtId="0" fontId="4" fillId="20" borderId="186" xfId="0" applyFont="1" applyFill="1" applyBorder="1" applyAlignment="1">
      <alignment horizontal="center" vertical="top"/>
    </xf>
    <xf numFmtId="0" fontId="11" fillId="20" borderId="47" xfId="0" applyFont="1" applyFill="1" applyBorder="1" applyAlignment="1">
      <alignment horizontal="center" vertical="top"/>
    </xf>
    <xf numFmtId="0" fontId="11" fillId="20" borderId="40" xfId="0" applyFont="1" applyFill="1" applyBorder="1" applyAlignment="1">
      <alignment horizontal="center" vertical="top"/>
    </xf>
    <xf numFmtId="0" fontId="7" fillId="20" borderId="193" xfId="0" applyFont="1" applyFill="1" applyBorder="1" applyAlignment="1">
      <alignment horizontal="center" vertical="center" wrapText="1"/>
    </xf>
    <xf numFmtId="0" fontId="7" fillId="20" borderId="158" xfId="0" applyFont="1" applyFill="1" applyBorder="1" applyAlignment="1">
      <alignment horizontal="center" vertical="center" wrapText="1"/>
    </xf>
    <xf numFmtId="0" fontId="7" fillId="20" borderId="215" xfId="0" applyFont="1" applyFill="1" applyBorder="1" applyAlignment="1">
      <alignment horizontal="center" vertical="center" wrapText="1"/>
    </xf>
    <xf numFmtId="3" fontId="5" fillId="35" borderId="72" xfId="0" applyNumberFormat="1" applyFont="1" applyFill="1" applyBorder="1" applyAlignment="1">
      <alignment horizontal="left" wrapText="1"/>
    </xf>
    <xf numFmtId="0" fontId="26" fillId="35" borderId="73" xfId="0" applyFont="1" applyFill="1" applyBorder="1" applyAlignment="1">
      <alignment horizontal="left" wrapText="1"/>
    </xf>
    <xf numFmtId="0" fontId="26" fillId="35" borderId="87" xfId="0" applyFont="1" applyFill="1" applyBorder="1" applyAlignment="1">
      <alignment horizontal="left" wrapText="1"/>
    </xf>
    <xf numFmtId="3" fontId="5" fillId="35" borderId="72" xfId="0" applyNumberFormat="1" applyFont="1" applyFill="1" applyBorder="1" applyAlignment="1">
      <alignment horizontal="left" vertical="top" wrapText="1"/>
    </xf>
    <xf numFmtId="0" fontId="26" fillId="35" borderId="73" xfId="0" applyFont="1" applyFill="1" applyBorder="1" applyAlignment="1">
      <alignment horizontal="left" vertical="top" wrapText="1"/>
    </xf>
    <xf numFmtId="0" fontId="26" fillId="35" borderId="87" xfId="0" applyFont="1" applyFill="1" applyBorder="1" applyAlignment="1">
      <alignment horizontal="left" vertical="top" wrapText="1"/>
    </xf>
    <xf numFmtId="3" fontId="5" fillId="20" borderId="72" xfId="0" applyNumberFormat="1" applyFont="1" applyFill="1" applyBorder="1" applyAlignment="1">
      <alignment vertical="center" wrapText="1"/>
    </xf>
    <xf numFmtId="0" fontId="0" fillId="20" borderId="73" xfId="0" applyFill="1" applyBorder="1" applyAlignment="1">
      <alignment vertical="center"/>
    </xf>
    <xf numFmtId="0" fontId="0" fillId="20" borderId="87" xfId="0" applyFill="1" applyBorder="1" applyAlignment="1">
      <alignment vertical="center"/>
    </xf>
    <xf numFmtId="3" fontId="5" fillId="20" borderId="152" xfId="0" applyNumberFormat="1" applyFont="1" applyFill="1" applyBorder="1" applyAlignment="1">
      <alignment horizontal="left" vertical="top" wrapText="1"/>
    </xf>
    <xf numFmtId="0" fontId="0" fillId="0" borderId="152" xfId="0" applyBorder="1" applyAlignment="1">
      <alignment horizontal="left" wrapText="1"/>
    </xf>
    <xf numFmtId="3" fontId="12" fillId="0" borderId="194" xfId="0" applyNumberFormat="1" applyFont="1" applyBorder="1" applyAlignment="1" applyProtection="1">
      <alignment horizontal="left" vertical="top" wrapText="1"/>
      <protection locked="0"/>
    </xf>
    <xf numFmtId="0" fontId="4" fillId="0" borderId="216" xfId="0" applyFont="1" applyBorder="1" applyAlignment="1" applyProtection="1">
      <alignment horizontal="left" vertical="top" wrapText="1"/>
      <protection locked="0"/>
    </xf>
    <xf numFmtId="0" fontId="4" fillId="0" borderId="254" xfId="0" applyFont="1" applyBorder="1" applyAlignment="1" applyProtection="1">
      <alignment horizontal="left" vertical="top" wrapText="1"/>
      <protection locked="0"/>
    </xf>
    <xf numFmtId="0" fontId="4" fillId="0" borderId="194" xfId="0" applyFont="1" applyBorder="1" applyAlignment="1" applyProtection="1">
      <alignment horizontal="left" vertical="top" wrapText="1"/>
      <protection locked="0"/>
    </xf>
    <xf numFmtId="3" fontId="5" fillId="20" borderId="198" xfId="0" applyNumberFormat="1" applyFont="1" applyFill="1" applyBorder="1" applyAlignment="1">
      <alignment vertical="center" wrapText="1"/>
    </xf>
    <xf numFmtId="3" fontId="5" fillId="20" borderId="188" xfId="0" applyNumberFormat="1" applyFont="1" applyFill="1" applyBorder="1" applyAlignment="1">
      <alignment vertical="center" wrapText="1"/>
    </xf>
    <xf numFmtId="0" fontId="5" fillId="20" borderId="12" xfId="0" applyFont="1" applyFill="1" applyBorder="1" applyAlignment="1">
      <alignment horizontal="left" vertical="top" wrapText="1"/>
    </xf>
    <xf numFmtId="0" fontId="0" fillId="0" borderId="87" xfId="0" applyBorder="1"/>
    <xf numFmtId="3" fontId="5" fillId="20" borderId="72" xfId="0" applyNumberFormat="1" applyFont="1" applyFill="1" applyBorder="1" applyAlignment="1">
      <alignment wrapText="1"/>
    </xf>
    <xf numFmtId="0" fontId="0" fillId="20" borderId="73" xfId="0" applyFill="1" applyBorder="1" applyAlignment="1">
      <alignment wrapText="1"/>
    </xf>
    <xf numFmtId="0" fontId="0" fillId="20" borderId="87" xfId="0" applyFill="1" applyBorder="1" applyAlignment="1">
      <alignment wrapText="1"/>
    </xf>
    <xf numFmtId="3" fontId="5" fillId="20" borderId="154" xfId="5" applyNumberFormat="1" applyFont="1" applyFill="1" applyBorder="1" applyAlignment="1">
      <alignment horizontal="left" vertical="top" wrapText="1"/>
    </xf>
    <xf numFmtId="0" fontId="26" fillId="20" borderId="154" xfId="5" applyFill="1" applyBorder="1" applyAlignment="1">
      <alignment horizontal="left" wrapText="1"/>
    </xf>
    <xf numFmtId="3" fontId="5" fillId="20" borderId="220" xfId="0" applyNumberFormat="1" applyFont="1" applyFill="1" applyBorder="1" applyAlignment="1">
      <alignment horizontal="left" vertical="top" wrapText="1"/>
    </xf>
    <xf numFmtId="3" fontId="5" fillId="20" borderId="266" xfId="0" applyNumberFormat="1" applyFont="1" applyFill="1" applyBorder="1" applyAlignment="1">
      <alignment horizontal="left" vertical="top" wrapText="1"/>
    </xf>
    <xf numFmtId="0" fontId="0" fillId="0" borderId="267" xfId="0" applyBorder="1" applyAlignment="1">
      <alignment horizontal="left" wrapText="1"/>
    </xf>
    <xf numFmtId="0" fontId="4" fillId="20" borderId="48" xfId="0" applyFont="1" applyFill="1" applyBorder="1" applyAlignment="1">
      <alignment horizontal="center" vertical="top"/>
    </xf>
    <xf numFmtId="0" fontId="4" fillId="20" borderId="159" xfId="0" applyFont="1" applyFill="1" applyBorder="1" applyAlignment="1">
      <alignment horizontal="center" vertical="top"/>
    </xf>
    <xf numFmtId="3" fontId="4" fillId="20" borderId="48" xfId="0" applyNumberFormat="1" applyFont="1" applyFill="1" applyBorder="1" applyAlignment="1">
      <alignment horizontal="center" vertical="top"/>
    </xf>
    <xf numFmtId="3" fontId="4" fillId="20" borderId="47" xfId="0" applyNumberFormat="1" applyFont="1" applyFill="1" applyBorder="1" applyAlignment="1">
      <alignment horizontal="center" vertical="top"/>
    </xf>
    <xf numFmtId="3" fontId="4" fillId="20" borderId="159" xfId="0" applyNumberFormat="1" applyFont="1" applyFill="1" applyBorder="1" applyAlignment="1">
      <alignment horizontal="center" vertical="top"/>
    </xf>
    <xf numFmtId="0" fontId="4" fillId="20" borderId="47" xfId="0" applyFont="1" applyFill="1" applyBorder="1" applyAlignment="1">
      <alignment horizontal="center" vertical="top"/>
    </xf>
    <xf numFmtId="3" fontId="4" fillId="20" borderId="48" xfId="0" applyNumberFormat="1" applyFont="1" applyFill="1" applyBorder="1" applyAlignment="1">
      <alignment horizontal="left" vertical="top" wrapText="1"/>
    </xf>
    <xf numFmtId="0" fontId="11" fillId="20" borderId="40" xfId="0" applyFont="1" applyFill="1" applyBorder="1" applyAlignment="1">
      <alignment vertical="top" wrapText="1"/>
    </xf>
    <xf numFmtId="0" fontId="5" fillId="2" borderId="193" xfId="0" applyFont="1" applyFill="1" applyBorder="1" applyAlignment="1">
      <alignment horizontal="right"/>
    </xf>
    <xf numFmtId="0" fontId="0" fillId="0" borderId="158" xfId="0" applyBorder="1" applyAlignment="1">
      <alignment horizontal="right"/>
    </xf>
    <xf numFmtId="0" fontId="0" fillId="0" borderId="97" xfId="0" applyBorder="1" applyAlignment="1">
      <alignment horizontal="right"/>
    </xf>
    <xf numFmtId="0" fontId="5" fillId="20" borderId="0" xfId="0" applyFont="1" applyFill="1" applyAlignment="1">
      <alignment wrapText="1"/>
    </xf>
    <xf numFmtId="0" fontId="26" fillId="20" borderId="0" xfId="0" applyFont="1" applyFill="1" applyAlignment="1">
      <alignment wrapText="1"/>
    </xf>
    <xf numFmtId="0" fontId="128" fillId="20" borderId="27" xfId="0" applyFont="1" applyFill="1" applyBorder="1" applyAlignment="1">
      <alignment wrapText="1"/>
    </xf>
    <xf numFmtId="0" fontId="0" fillId="20" borderId="27" xfId="0" applyFill="1" applyBorder="1" applyAlignment="1">
      <alignment wrapText="1"/>
    </xf>
    <xf numFmtId="0" fontId="5" fillId="20" borderId="27" xfId="0" applyFont="1" applyFill="1" applyBorder="1" applyAlignment="1">
      <alignment wrapText="1"/>
    </xf>
    <xf numFmtId="0" fontId="5" fillId="20" borderId="27" xfId="0" applyFont="1" applyFill="1" applyBorder="1" applyAlignment="1">
      <alignment horizontal="left" vertical="top" wrapText="1"/>
    </xf>
    <xf numFmtId="0" fontId="0" fillId="20" borderId="27" xfId="0" applyFill="1" applyBorder="1" applyAlignment="1">
      <alignment horizontal="left" vertical="top" wrapText="1"/>
    </xf>
    <xf numFmtId="0" fontId="0" fillId="20" borderId="0" xfId="0" applyFill="1" applyAlignment="1">
      <alignment wrapText="1"/>
    </xf>
    <xf numFmtId="0" fontId="128" fillId="20" borderId="0" xfId="0" applyFont="1" applyFill="1" applyAlignment="1">
      <alignment wrapText="1"/>
    </xf>
    <xf numFmtId="0" fontId="0" fillId="20" borderId="38" xfId="0" applyFill="1" applyBorder="1" applyAlignment="1">
      <alignment wrapText="1"/>
    </xf>
    <xf numFmtId="0" fontId="58" fillId="0" borderId="0" xfId="0" applyFont="1" applyAlignment="1">
      <alignment horizontal="left" wrapText="1"/>
    </xf>
    <xf numFmtId="0" fontId="7" fillId="20" borderId="305" xfId="0" applyFont="1" applyFill="1" applyBorder="1" applyAlignment="1">
      <alignment vertical="top" wrapText="1"/>
    </xf>
    <xf numFmtId="0" fontId="53" fillId="20" borderId="303" xfId="0" applyFont="1" applyFill="1" applyBorder="1" applyAlignment="1">
      <alignment vertical="top" wrapText="1"/>
    </xf>
    <xf numFmtId="0" fontId="5" fillId="20" borderId="15" xfId="0" applyFont="1" applyFill="1" applyBorder="1" applyAlignment="1">
      <alignment vertical="top" wrapText="1"/>
    </xf>
    <xf numFmtId="0" fontId="0" fillId="20" borderId="15" xfId="0" applyFill="1" applyBorder="1" applyAlignment="1">
      <alignment vertical="top" wrapText="1"/>
    </xf>
    <xf numFmtId="0" fontId="0" fillId="20" borderId="41" xfId="0" applyFill="1" applyBorder="1" applyAlignment="1">
      <alignment vertical="top" wrapText="1"/>
    </xf>
    <xf numFmtId="0" fontId="5" fillId="20" borderId="59" xfId="0" applyFont="1" applyFill="1" applyBorder="1" applyAlignment="1">
      <alignment vertical="top" wrapText="1"/>
    </xf>
    <xf numFmtId="0" fontId="0" fillId="20" borderId="59" xfId="0" applyFill="1" applyBorder="1" applyAlignment="1">
      <alignment vertical="top" wrapText="1"/>
    </xf>
    <xf numFmtId="0" fontId="0" fillId="20" borderId="85" xfId="0" applyFill="1" applyBorder="1" applyAlignment="1">
      <alignment vertical="top" wrapText="1"/>
    </xf>
    <xf numFmtId="0" fontId="7" fillId="20" borderId="184" xfId="0" applyFont="1" applyFill="1" applyBorder="1" applyAlignment="1">
      <alignment horizontal="left" vertical="top" wrapText="1"/>
    </xf>
    <xf numFmtId="0" fontId="0" fillId="20" borderId="119" xfId="0" applyFill="1" applyBorder="1" applyAlignment="1">
      <alignment vertical="top"/>
    </xf>
    <xf numFmtId="0" fontId="0" fillId="20" borderId="106" xfId="0" applyFill="1" applyBorder="1" applyAlignment="1">
      <alignment vertical="top"/>
    </xf>
    <xf numFmtId="0" fontId="0" fillId="20" borderId="1" xfId="0" applyFill="1" applyBorder="1" applyAlignment="1">
      <alignment vertical="top"/>
    </xf>
    <xf numFmtId="0" fontId="0" fillId="20" borderId="222" xfId="0" applyFill="1" applyBorder="1" applyAlignment="1">
      <alignment vertical="top"/>
    </xf>
    <xf numFmtId="0" fontId="7" fillId="20" borderId="36" xfId="0" applyFont="1" applyFill="1" applyBorder="1" applyAlignment="1">
      <alignment horizontal="center" vertical="top" wrapText="1"/>
    </xf>
    <xf numFmtId="0" fontId="7" fillId="20" borderId="91" xfId="0" applyFont="1" applyFill="1" applyBorder="1" applyAlignment="1">
      <alignment horizontal="center" vertical="top" wrapText="1"/>
    </xf>
    <xf numFmtId="0" fontId="7" fillId="20" borderId="57" xfId="0" applyFont="1" applyFill="1" applyBorder="1" applyAlignment="1">
      <alignment horizontal="center" vertical="top" wrapText="1"/>
    </xf>
    <xf numFmtId="0" fontId="7" fillId="20" borderId="43" xfId="0" applyFont="1" applyFill="1" applyBorder="1" applyAlignment="1">
      <alignment horizontal="center" vertical="top" wrapText="1"/>
    </xf>
    <xf numFmtId="0" fontId="7" fillId="20" borderId="137" xfId="0" applyFont="1" applyFill="1" applyBorder="1" applyAlignment="1">
      <alignment horizontal="center" vertical="top" wrapText="1"/>
    </xf>
    <xf numFmtId="0" fontId="7" fillId="20" borderId="223" xfId="0" applyFont="1" applyFill="1" applyBorder="1" applyAlignment="1">
      <alignment horizontal="center" vertical="top" wrapText="1"/>
    </xf>
    <xf numFmtId="0" fontId="5" fillId="20" borderId="240" xfId="5" applyFont="1" applyFill="1" applyBorder="1" applyAlignment="1">
      <alignment wrapText="1"/>
    </xf>
    <xf numFmtId="0" fontId="0" fillId="0" borderId="241" xfId="0" applyBorder="1" applyAlignment="1">
      <alignment wrapText="1"/>
    </xf>
    <xf numFmtId="3" fontId="5" fillId="20" borderId="310" xfId="5" applyNumberFormat="1" applyFont="1" applyFill="1" applyBorder="1" applyAlignment="1">
      <alignment vertical="top" wrapText="1"/>
    </xf>
    <xf numFmtId="0" fontId="26" fillId="20" borderId="237" xfId="5" applyFill="1" applyBorder="1"/>
    <xf numFmtId="0" fontId="26" fillId="20" borderId="310" xfId="5" applyFill="1" applyBorder="1"/>
    <xf numFmtId="0" fontId="133" fillId="20" borderId="237" xfId="0" applyFont="1" applyFill="1" applyBorder="1" applyAlignment="1">
      <alignment wrapText="1"/>
    </xf>
    <xf numFmtId="0" fontId="134" fillId="0" borderId="237" xfId="0" applyFont="1" applyBorder="1" applyAlignment="1">
      <alignment wrapText="1"/>
    </xf>
    <xf numFmtId="0" fontId="132" fillId="20" borderId="262" xfId="0" applyFont="1" applyFill="1" applyBorder="1" applyAlignment="1">
      <alignment horizontal="left" vertical="top" wrapText="1"/>
    </xf>
    <xf numFmtId="0" fontId="0" fillId="20" borderId="237" xfId="0" applyFill="1" applyBorder="1" applyAlignment="1">
      <alignment horizontal="left" vertical="top" wrapText="1"/>
    </xf>
    <xf numFmtId="0" fontId="0" fillId="20" borderId="58" xfId="0" applyFill="1" applyBorder="1" applyAlignment="1">
      <alignment horizontal="left" vertical="top" wrapText="1"/>
    </xf>
    <xf numFmtId="0" fontId="131" fillId="20" borderId="237" xfId="0" applyFont="1" applyFill="1" applyBorder="1" applyAlignment="1">
      <alignment horizontal="center" vertical="top" wrapText="1"/>
    </xf>
    <xf numFmtId="0" fontId="53" fillId="20" borderId="36" xfId="5" applyFont="1" applyFill="1" applyBorder="1" applyAlignment="1">
      <alignment vertical="center" wrapText="1"/>
    </xf>
    <xf numFmtId="0" fontId="0" fillId="0" borderId="91" xfId="0" applyBorder="1" applyAlignment="1">
      <alignment wrapText="1"/>
    </xf>
    <xf numFmtId="0" fontId="0" fillId="0" borderId="57" xfId="0" applyBorder="1" applyAlignment="1">
      <alignment wrapText="1"/>
    </xf>
    <xf numFmtId="0" fontId="0" fillId="0" borderId="43" xfId="0" applyBorder="1" applyAlignment="1">
      <alignment wrapText="1"/>
    </xf>
    <xf numFmtId="0" fontId="5" fillId="20" borderId="113" xfId="5" applyFont="1" applyFill="1" applyBorder="1" applyAlignment="1">
      <alignment vertical="top" wrapText="1"/>
    </xf>
    <xf numFmtId="0" fontId="0" fillId="0" borderId="2" xfId="0" applyBorder="1" applyAlignment="1">
      <alignment vertical="top" wrapText="1"/>
    </xf>
    <xf numFmtId="3" fontId="5" fillId="20" borderId="16" xfId="5" applyNumberFormat="1" applyFont="1" applyFill="1" applyBorder="1" applyAlignment="1">
      <alignment vertical="top" wrapText="1"/>
    </xf>
    <xf numFmtId="0" fontId="0" fillId="20" borderId="16" xfId="0" applyFill="1" applyBorder="1" applyAlignment="1">
      <alignment wrapText="1"/>
    </xf>
    <xf numFmtId="3" fontId="5" fillId="35" borderId="15" xfId="5" applyNumberFormat="1" applyFont="1" applyFill="1" applyBorder="1" applyAlignment="1">
      <alignment vertical="top" wrapText="1"/>
    </xf>
    <xf numFmtId="0" fontId="0" fillId="35" borderId="15" xfId="0" applyFill="1" applyBorder="1" applyAlignment="1">
      <alignment vertical="top" wrapText="1"/>
    </xf>
    <xf numFmtId="3" fontId="5" fillId="20" borderId="15" xfId="5" applyNumberFormat="1" applyFont="1" applyFill="1" applyBorder="1" applyAlignment="1">
      <alignment vertical="top" wrapText="1"/>
    </xf>
    <xf numFmtId="0" fontId="0" fillId="20" borderId="15" xfId="0" applyFill="1" applyBorder="1" applyAlignment="1">
      <alignment wrapText="1"/>
    </xf>
    <xf numFmtId="0" fontId="5" fillId="20" borderId="15" xfId="5" applyFont="1" applyFill="1" applyBorder="1" applyAlignment="1">
      <alignment vertical="top" wrapText="1"/>
    </xf>
    <xf numFmtId="3" fontId="5" fillId="20" borderId="153" xfId="5" applyNumberFormat="1" applyFont="1" applyFill="1" applyBorder="1" applyAlignment="1">
      <alignment vertical="center" wrapText="1"/>
    </xf>
    <xf numFmtId="0" fontId="0" fillId="20" borderId="153" xfId="0" applyFill="1" applyBorder="1" applyAlignment="1">
      <alignment vertical="center" wrapText="1"/>
    </xf>
    <xf numFmtId="3" fontId="5" fillId="20" borderId="162" xfId="5" applyNumberFormat="1" applyFont="1" applyFill="1" applyBorder="1" applyAlignment="1">
      <alignment wrapText="1"/>
    </xf>
    <xf numFmtId="0" fontId="0" fillId="20" borderId="3" xfId="0" applyFill="1" applyBorder="1" applyAlignment="1">
      <alignment wrapText="1"/>
    </xf>
    <xf numFmtId="0" fontId="0" fillId="20" borderId="153" xfId="0" applyFill="1" applyBorder="1" applyAlignment="1">
      <alignment vertical="center"/>
    </xf>
    <xf numFmtId="3" fontId="5" fillId="20" borderId="153" xfId="5" applyNumberFormat="1" applyFont="1" applyFill="1" applyBorder="1" applyAlignment="1">
      <alignment vertical="top" wrapText="1"/>
    </xf>
    <xf numFmtId="0" fontId="26" fillId="20" borderId="153" xfId="0" applyFont="1" applyFill="1" applyBorder="1" applyAlignment="1">
      <alignment vertical="top" wrapText="1"/>
    </xf>
    <xf numFmtId="0" fontId="5" fillId="20" borderId="240" xfId="0" applyFont="1" applyFill="1" applyBorder="1" applyAlignment="1">
      <alignment vertical="top" wrapText="1"/>
    </xf>
    <xf numFmtId="0" fontId="0" fillId="0" borderId="241" xfId="0" applyBorder="1" applyAlignment="1">
      <alignment vertical="top" wrapText="1"/>
    </xf>
    <xf numFmtId="3" fontId="5" fillId="20" borderId="153" xfId="0" applyNumberFormat="1" applyFont="1" applyFill="1" applyBorder="1" applyAlignment="1">
      <alignment vertical="top" wrapText="1"/>
    </xf>
    <xf numFmtId="0" fontId="26" fillId="20" borderId="170" xfId="0" applyFont="1" applyFill="1" applyBorder="1" applyAlignment="1">
      <alignment vertical="top" wrapText="1"/>
    </xf>
    <xf numFmtId="3" fontId="5" fillId="20" borderId="153" xfId="0" applyNumberFormat="1" applyFont="1" applyFill="1" applyBorder="1" applyAlignment="1">
      <alignment wrapText="1"/>
    </xf>
    <xf numFmtId="0" fontId="0" fillId="20" borderId="153" xfId="0" applyFill="1" applyBorder="1" applyAlignment="1">
      <alignment wrapText="1"/>
    </xf>
    <xf numFmtId="0" fontId="5" fillId="20" borderId="153" xfId="0" applyFont="1" applyFill="1" applyBorder="1" applyAlignment="1">
      <alignment vertical="top" wrapText="1"/>
    </xf>
    <xf numFmtId="0" fontId="0" fillId="0" borderId="153" xfId="0" applyBorder="1" applyAlignment="1">
      <alignment vertical="top" wrapText="1"/>
    </xf>
    <xf numFmtId="3" fontId="5" fillId="20" borderId="103" xfId="0" applyNumberFormat="1" applyFont="1" applyFill="1" applyBorder="1" applyAlignment="1">
      <alignment vertical="top" wrapText="1"/>
    </xf>
  </cellXfs>
  <cellStyles count="35">
    <cellStyle name="Anteckning 2" xfId="1" xr:uid="{00000000-0005-0000-0000-000000000000}"/>
    <cellStyle name="Anteckning 2 2" xfId="2" xr:uid="{00000000-0005-0000-0000-000001000000}"/>
    <cellStyle name="Anteckning 2 2 2" xfId="18" xr:uid="{980DEC4E-8892-4E84-B793-0FB55E05772C}"/>
    <cellStyle name="Anteckning 2 2 2 2" xfId="29" xr:uid="{31525B64-7FA9-4038-A6E3-90C0638E3ADB}"/>
    <cellStyle name="Anteckning 2 2 3" xfId="24" xr:uid="{D347A10E-55D5-4AD7-B262-CE666F6FB1AF}"/>
    <cellStyle name="Anteckning 2 3" xfId="17" xr:uid="{B3A94F0D-7E7F-46CA-A7D6-2DF259A641AE}"/>
    <cellStyle name="Anteckning 2 3 2" xfId="28" xr:uid="{DA27390A-DB56-48B8-B345-BC4C1A70E02B}"/>
    <cellStyle name="Anteckning 2 4" xfId="23" xr:uid="{CB3490C5-B7A0-4C1B-9D77-49D713F448A0}"/>
    <cellStyle name="Dålig 2" xfId="3" xr:uid="{00000000-0005-0000-0000-000002000000}"/>
    <cellStyle name="Följde hyperlänken" xfId="4" xr:uid="{00000000-0005-0000-0000-000003000000}"/>
    <cellStyle name="Normal" xfId="0" builtinId="0"/>
    <cellStyle name="Normal 2" xfId="5" xr:uid="{00000000-0005-0000-0000-000006000000}"/>
    <cellStyle name="Normal 3" xfId="6" xr:uid="{00000000-0005-0000-0000-000007000000}"/>
    <cellStyle name="Normal 4" xfId="7" xr:uid="{00000000-0005-0000-0000-000008000000}"/>
    <cellStyle name="Normal 4 2" xfId="8" xr:uid="{00000000-0005-0000-0000-000009000000}"/>
    <cellStyle name="Normal 4 2 2" xfId="20" xr:uid="{9427D73E-2370-485D-BAFD-63EEDD79EE4A}"/>
    <cellStyle name="Normal 4 2 2 2" xfId="31" xr:uid="{08E39255-C22D-4F04-8771-7A81E9FFD089}"/>
    <cellStyle name="Normal 4 2 3" xfId="26" xr:uid="{8457FA89-9E9B-4854-889A-F8F0B81AD3C1}"/>
    <cellStyle name="Normal 4 3" xfId="19" xr:uid="{7ACACD36-7FAF-497B-9F24-69FAECF3BC09}"/>
    <cellStyle name="Normal 4 3 2" xfId="30" xr:uid="{E61BC639-553E-46D5-8482-023BC8EE11B4}"/>
    <cellStyle name="Normal 4 4" xfId="25" xr:uid="{D9F60582-5634-4C05-B6D6-DB947B5E4DE2}"/>
    <cellStyle name="Normal 5" xfId="22" xr:uid="{692164B7-F736-4A83-BCE1-3E1D987D8461}"/>
    <cellStyle name="Normal 5 2" xfId="33" xr:uid="{2FBE9832-7E31-46E6-BFCE-B508172F7238}"/>
    <cellStyle name="Normal_Kontrollblad" xfId="9" xr:uid="{00000000-0005-0000-0000-00000A000000}"/>
    <cellStyle name="Normal_skolkostn" xfId="10" xr:uid="{00000000-0005-0000-0000-00000C000000}"/>
    <cellStyle name="Normal_skolkostn 2" xfId="11" xr:uid="{00000000-0005-0000-0000-00000D000000}"/>
    <cellStyle name="Procent" xfId="12" builtinId="5"/>
    <cellStyle name="Procent 2" xfId="13" xr:uid="{00000000-0005-0000-0000-00000F000000}"/>
    <cellStyle name="Tusental" xfId="16" builtinId="3"/>
    <cellStyle name="Tusental (0)_Kommunägda företag" xfId="14" xr:uid="{00000000-0005-0000-0000-000010000000}"/>
    <cellStyle name="Tusental 2" xfId="21" xr:uid="{25C499EC-3936-410A-9950-5D73A1A36248}"/>
    <cellStyle name="Tusental 2 2" xfId="32" xr:uid="{E16731D5-C422-485C-A337-23A59D713D4B}"/>
    <cellStyle name="Tusental 3" xfId="27" xr:uid="{0157BEA7-46E5-4895-8A35-5F78BF194AAA}"/>
    <cellStyle name="Tusental 4" xfId="34" xr:uid="{4A97E98F-5E90-47E5-8C8E-7C95C3DEB493}"/>
    <cellStyle name="Valuta (0)_Kommunägda företag" xfId="15" xr:uid="{00000000-0005-0000-0000-000011000000}"/>
  </cellStyles>
  <dxfs count="155">
    <dxf>
      <font>
        <color rgb="FFFFFFCC"/>
      </font>
    </dxf>
    <dxf>
      <font>
        <color rgb="FFFFFFCC"/>
      </font>
    </dxf>
    <dxf>
      <fill>
        <patternFill>
          <bgColor indexed="10"/>
        </patternFill>
      </fill>
    </dxf>
    <dxf>
      <fill>
        <patternFill>
          <bgColor rgb="FFFF0000"/>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color auto="1"/>
      </font>
      <fill>
        <patternFill>
          <bgColor theme="9" tint="0.39994506668294322"/>
        </patternFill>
      </fill>
    </dxf>
    <dxf>
      <font>
        <b val="0"/>
        <i val="0"/>
        <color auto="1"/>
      </font>
      <fill>
        <patternFill>
          <bgColor theme="9" tint="0.59996337778862885"/>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ndense val="0"/>
        <extend val="0"/>
        <color auto="1"/>
      </font>
      <fill>
        <patternFill>
          <bgColor indexed="10"/>
        </patternFill>
      </fill>
    </dxf>
    <dxf>
      <font>
        <b val="0"/>
        <i val="0"/>
        <condense val="0"/>
        <extend val="0"/>
        <color auto="1"/>
      </font>
      <fill>
        <patternFill>
          <bgColor indexed="10"/>
        </patternFill>
      </fill>
    </dxf>
    <dxf>
      <font>
        <b val="0"/>
        <i val="0"/>
        <condense val="0"/>
        <extend val="0"/>
        <color auto="1"/>
      </font>
      <fill>
        <patternFill>
          <bgColor indexed="10"/>
        </patternFill>
      </fill>
    </dxf>
    <dxf>
      <font>
        <b val="0"/>
        <i val="0"/>
        <condense val="0"/>
        <extend val="0"/>
        <color auto="1"/>
      </font>
      <fill>
        <patternFill>
          <bgColor indexed="10"/>
        </patternFill>
      </fill>
    </dxf>
    <dxf>
      <font>
        <color rgb="FFFF0000"/>
      </font>
    </dxf>
    <dxf>
      <font>
        <color auto="1"/>
      </font>
      <fill>
        <patternFill>
          <bgColor theme="9" tint="0.59996337778862885"/>
        </patternFill>
      </fill>
    </dxf>
    <dxf>
      <font>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ill>
        <patternFill>
          <bgColor theme="9" tint="0.59996337778862885"/>
        </patternFill>
      </fill>
    </dxf>
    <dxf>
      <font>
        <color rgb="FFFF0000"/>
      </font>
    </dxf>
    <dxf>
      <font>
        <b val="0"/>
        <i val="0"/>
        <color auto="1"/>
        <name val="Cambria"/>
        <scheme val="none"/>
      </font>
      <fill>
        <patternFill patternType="solid">
          <bgColor theme="9" tint="0.39994506668294322"/>
        </patternFill>
      </fill>
    </dxf>
    <dxf>
      <fill>
        <patternFill>
          <bgColor rgb="FFFF0000"/>
        </patternFill>
      </fill>
    </dxf>
    <dxf>
      <font>
        <color rgb="FFFF0000"/>
      </font>
    </dxf>
    <dxf>
      <font>
        <color rgb="FFFF0000"/>
      </font>
    </dxf>
    <dxf>
      <font>
        <color rgb="FFFF0000"/>
      </font>
    </dxf>
    <dxf>
      <font>
        <color rgb="FFFF0000"/>
      </font>
    </dxf>
    <dxf>
      <font>
        <color rgb="FFFF0000"/>
      </font>
    </dxf>
    <dxf>
      <font>
        <b val="0"/>
        <i val="0"/>
        <color auto="1"/>
        <name val="Cambria"/>
        <scheme val="none"/>
      </font>
      <fill>
        <patternFill>
          <bgColor theme="9" tint="0.39994506668294322"/>
        </patternFill>
      </fill>
    </dxf>
    <dxf>
      <font>
        <color rgb="FFFF0000"/>
      </font>
    </dxf>
    <dxf>
      <font>
        <b val="0"/>
        <i val="0"/>
        <color auto="1"/>
        <name val="Cambria"/>
        <scheme val="none"/>
      </font>
      <fill>
        <patternFill patternType="solid">
          <bgColor theme="9" tint="0.39994506668294322"/>
        </patternFill>
      </fill>
    </dxf>
    <dxf>
      <font>
        <b val="0"/>
        <i val="0"/>
        <color auto="1"/>
      </font>
      <fill>
        <patternFill>
          <bgColor theme="9" tint="0.39994506668294322"/>
        </patternFill>
      </fill>
    </dxf>
    <dxf>
      <font>
        <b val="0"/>
        <i val="0"/>
        <color auto="1"/>
        <name val="Cambria"/>
        <scheme val="none"/>
      </font>
      <fill>
        <patternFill>
          <bgColor theme="9" tint="0.39994506668294322"/>
        </patternFill>
      </fill>
    </dxf>
    <dxf>
      <font>
        <b val="0"/>
        <i val="0"/>
        <color auto="1"/>
        <name val="Cambria"/>
        <scheme val="none"/>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name val="Cambria"/>
        <scheme val="none"/>
      </font>
      <fill>
        <patternFill>
          <bgColor theme="9" tint="0.3999450666829432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val="0"/>
        <i val="0"/>
        <color auto="1"/>
      </font>
      <fill>
        <patternFill>
          <bgColor theme="9" tint="0.39994506668294322"/>
        </patternFill>
      </fill>
    </dxf>
    <dxf>
      <font>
        <b val="0"/>
        <i val="0"/>
        <color auto="1"/>
      </font>
      <fill>
        <patternFill>
          <bgColor theme="9" tint="0.39994506668294322"/>
        </patternFill>
      </fill>
    </dxf>
    <dxf>
      <fill>
        <patternFill>
          <bgColor rgb="FFFF0000"/>
        </patternFill>
      </fill>
    </dxf>
    <dxf>
      <font>
        <b val="0"/>
        <i val="0"/>
        <color auto="1"/>
      </font>
      <fill>
        <patternFill>
          <bgColor theme="9" tint="0.39994506668294322"/>
        </patternFill>
      </fill>
    </dxf>
    <dxf>
      <font>
        <color rgb="FFFF0000"/>
      </font>
    </dxf>
    <dxf>
      <font>
        <color rgb="FFFF0000"/>
      </font>
    </dxf>
    <dxf>
      <font>
        <color rgb="FFFF0000"/>
      </font>
    </dxf>
    <dxf>
      <font>
        <condense val="0"/>
        <extend val="0"/>
        <color indexed="10"/>
      </font>
    </dxf>
    <dxf>
      <font>
        <color rgb="FFFF0000"/>
      </font>
    </dxf>
    <dxf>
      <font>
        <condense val="0"/>
        <extend val="0"/>
        <color indexed="10"/>
      </font>
    </dxf>
    <dxf>
      <fill>
        <patternFill>
          <bgColor indexed="10"/>
        </patternFill>
      </fill>
    </dxf>
    <dxf>
      <fill>
        <patternFill>
          <bgColor rgb="FFFF0000"/>
        </patternFill>
      </fill>
    </dxf>
    <dxf>
      <fill>
        <patternFill>
          <bgColor rgb="FFFF0000"/>
        </patternFill>
      </fill>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val="0"/>
        <i val="0"/>
        <color rgb="FFFF0000"/>
      </font>
    </dxf>
    <dxf>
      <font>
        <b val="0"/>
        <i val="0"/>
        <color rgb="FFFF0000"/>
      </font>
    </dxf>
    <dxf>
      <font>
        <b val="0"/>
        <i val="0"/>
        <color rgb="FFFF0000"/>
      </font>
    </dxf>
    <dxf>
      <font>
        <b val="0"/>
        <i val="0"/>
        <color rgb="FFFF0000"/>
      </font>
    </dxf>
    <dxf>
      <font>
        <b/>
        <i val="0"/>
        <color rgb="FFFF0000"/>
      </font>
    </dxf>
    <dxf>
      <font>
        <b val="0"/>
        <i val="0"/>
        <color rgb="FFFF0000"/>
      </font>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color auto="1"/>
      </font>
      <fill>
        <patternFill>
          <bgColor theme="9" tint="0.39994506668294322"/>
        </patternFill>
      </fill>
    </dxf>
    <dxf>
      <font>
        <b/>
        <i val="0"/>
        <color rgb="FFFF0000"/>
      </font>
    </dxf>
    <dxf>
      <font>
        <b/>
        <i val="0"/>
        <color rgb="FFFF0000"/>
      </font>
    </dxf>
    <dxf>
      <fill>
        <patternFill>
          <bgColor rgb="FFFF0000"/>
        </patternFill>
      </fill>
    </dxf>
    <dxf>
      <fill>
        <patternFill>
          <bgColor indexed="10"/>
        </patternFill>
      </fill>
    </dxf>
    <dxf>
      <font>
        <b/>
        <i val="0"/>
        <condense val="0"/>
        <extend val="0"/>
        <color indexed="10"/>
      </font>
    </dxf>
    <dxf>
      <font>
        <b/>
        <i val="0"/>
        <condense val="0"/>
        <extend val="0"/>
        <color indexed="10"/>
      </font>
      <fill>
        <patternFill patternType="none">
          <bgColor indexed="65"/>
        </patternFill>
      </fill>
    </dxf>
    <dxf>
      <fill>
        <patternFill>
          <bgColor indexed="10"/>
        </patternFill>
      </fill>
    </dxf>
    <dxf>
      <fill>
        <patternFill>
          <bgColor rgb="FFFF0000"/>
        </patternFill>
      </fill>
    </dxf>
    <dxf>
      <fill>
        <patternFill>
          <bgColor rgb="FFFF0000"/>
        </patternFill>
      </fill>
    </dxf>
    <dxf>
      <fill>
        <patternFill>
          <bgColor rgb="FFFF0000"/>
        </patternFill>
      </fill>
    </dxf>
    <dxf>
      <font>
        <color rgb="FFFF0000"/>
      </font>
    </dxf>
    <dxf>
      <fill>
        <patternFill>
          <bgColor indexed="10"/>
        </patternFill>
      </fill>
    </dxf>
    <dxf>
      <font>
        <color rgb="FFFF0000"/>
      </font>
    </dxf>
    <dxf>
      <fill>
        <patternFill>
          <bgColor indexed="10"/>
        </patternFill>
      </fill>
    </dxf>
    <dxf>
      <font>
        <color rgb="FFFF0000"/>
      </font>
    </dxf>
    <dxf>
      <font>
        <color rgb="FFFF0000"/>
      </font>
    </dxf>
    <dxf>
      <fill>
        <patternFill>
          <bgColor rgb="FFFF0000"/>
        </patternFill>
      </fill>
    </dxf>
    <dxf>
      <font>
        <color auto="1"/>
      </font>
      <fill>
        <patternFill>
          <bgColor theme="9" tint="0.59996337778862885"/>
        </patternFill>
      </fill>
    </dxf>
    <dxf>
      <font>
        <b val="0"/>
        <i val="0"/>
        <color auto="1"/>
      </font>
      <fill>
        <patternFill>
          <bgColor theme="9" tint="0.39994506668294322"/>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ont>
        <color auto="1"/>
      </font>
      <fill>
        <patternFill>
          <bgColor rgb="FFFF000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FF99"/>
      <color rgb="FFCCC0DA"/>
      <color rgb="FFC0C0C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83820</xdr:colOff>
      <xdr:row>28</xdr:row>
      <xdr:rowOff>11430</xdr:rowOff>
    </xdr:from>
    <xdr:ext cx="184731" cy="262400"/>
    <xdr:sp macro="" textlink="">
      <xdr:nvSpPr>
        <xdr:cNvPr id="2" name="textruta 1">
          <a:extLst>
            <a:ext uri="{FF2B5EF4-FFF2-40B4-BE49-F238E27FC236}">
              <a16:creationId xmlns:a16="http://schemas.microsoft.com/office/drawing/2014/main" id="{00000000-0008-0000-0100-000002000000}"/>
            </a:ext>
          </a:extLst>
        </xdr:cNvPr>
        <xdr:cNvSpPr txBox="1"/>
      </xdr:nvSpPr>
      <xdr:spPr>
        <a:xfrm>
          <a:off x="5617845" y="5097780"/>
          <a:ext cx="184731" cy="26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sv-SE"/>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12</xdr:row>
      <xdr:rowOff>76200</xdr:rowOff>
    </xdr:from>
    <xdr:to>
      <xdr:col>6</xdr:col>
      <xdr:colOff>28575</xdr:colOff>
      <xdr:row>12</xdr:row>
      <xdr:rowOff>76200</xdr:rowOff>
    </xdr:to>
    <xdr:cxnSp macro="">
      <xdr:nvCxnSpPr>
        <xdr:cNvPr id="186129" name="AutoShape 242">
          <a:extLst>
            <a:ext uri="{FF2B5EF4-FFF2-40B4-BE49-F238E27FC236}">
              <a16:creationId xmlns:a16="http://schemas.microsoft.com/office/drawing/2014/main" id="{00000000-0008-0000-0200-000011D70200}"/>
            </a:ext>
          </a:extLst>
        </xdr:cNvPr>
        <xdr:cNvCxnSpPr>
          <a:cxnSpLocks noChangeShapeType="1"/>
        </xdr:cNvCxnSpPr>
      </xdr:nvCxnSpPr>
      <xdr:spPr bwMode="auto">
        <a:xfrm>
          <a:off x="4086225" y="2428875"/>
          <a:ext cx="19431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14</xdr:row>
      <xdr:rowOff>95250</xdr:rowOff>
    </xdr:from>
    <xdr:to>
      <xdr:col>6</xdr:col>
      <xdr:colOff>0</xdr:colOff>
      <xdr:row>14</xdr:row>
      <xdr:rowOff>95250</xdr:rowOff>
    </xdr:to>
    <xdr:cxnSp macro="">
      <xdr:nvCxnSpPr>
        <xdr:cNvPr id="186130" name="AutoShape 243">
          <a:extLst>
            <a:ext uri="{FF2B5EF4-FFF2-40B4-BE49-F238E27FC236}">
              <a16:creationId xmlns:a16="http://schemas.microsoft.com/office/drawing/2014/main" id="{00000000-0008-0000-0200-000012D70200}"/>
            </a:ext>
          </a:extLst>
        </xdr:cNvPr>
        <xdr:cNvCxnSpPr>
          <a:cxnSpLocks noChangeShapeType="1"/>
        </xdr:cNvCxnSpPr>
      </xdr:nvCxnSpPr>
      <xdr:spPr bwMode="auto">
        <a:xfrm>
          <a:off x="4095750" y="2809875"/>
          <a:ext cx="19050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21</xdr:row>
      <xdr:rowOff>123825</xdr:rowOff>
    </xdr:from>
    <xdr:to>
      <xdr:col>6</xdr:col>
      <xdr:colOff>9525</xdr:colOff>
      <xdr:row>21</xdr:row>
      <xdr:rowOff>123825</xdr:rowOff>
    </xdr:to>
    <xdr:cxnSp macro="">
      <xdr:nvCxnSpPr>
        <xdr:cNvPr id="186131" name="AutoShape 244">
          <a:extLst>
            <a:ext uri="{FF2B5EF4-FFF2-40B4-BE49-F238E27FC236}">
              <a16:creationId xmlns:a16="http://schemas.microsoft.com/office/drawing/2014/main" id="{00000000-0008-0000-0200-000013D70200}"/>
            </a:ext>
          </a:extLst>
        </xdr:cNvPr>
        <xdr:cNvCxnSpPr>
          <a:cxnSpLocks noChangeShapeType="1"/>
        </xdr:cNvCxnSpPr>
      </xdr:nvCxnSpPr>
      <xdr:spPr bwMode="auto">
        <a:xfrm flipV="1">
          <a:off x="4095750" y="4105275"/>
          <a:ext cx="19145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717550</xdr:colOff>
      <xdr:row>53</xdr:row>
      <xdr:rowOff>28576</xdr:rowOff>
    </xdr:from>
    <xdr:to>
      <xdr:col>8</xdr:col>
      <xdr:colOff>69850</xdr:colOff>
      <xdr:row>53</xdr:row>
      <xdr:rowOff>31750</xdr:rowOff>
    </xdr:to>
    <xdr:cxnSp macro="">
      <xdr:nvCxnSpPr>
        <xdr:cNvPr id="186132" name="AutoShape 245">
          <a:extLst>
            <a:ext uri="{FF2B5EF4-FFF2-40B4-BE49-F238E27FC236}">
              <a16:creationId xmlns:a16="http://schemas.microsoft.com/office/drawing/2014/main" id="{00000000-0008-0000-0200-000014D70200}"/>
            </a:ext>
          </a:extLst>
        </xdr:cNvPr>
        <xdr:cNvCxnSpPr>
          <a:cxnSpLocks noChangeShapeType="1"/>
        </xdr:cNvCxnSpPr>
      </xdr:nvCxnSpPr>
      <xdr:spPr bwMode="auto">
        <a:xfrm>
          <a:off x="4203700" y="8899526"/>
          <a:ext cx="3117850" cy="3174"/>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63</xdr:row>
      <xdr:rowOff>104775</xdr:rowOff>
    </xdr:from>
    <xdr:to>
      <xdr:col>6</xdr:col>
      <xdr:colOff>0</xdr:colOff>
      <xdr:row>63</xdr:row>
      <xdr:rowOff>114300</xdr:rowOff>
    </xdr:to>
    <xdr:cxnSp macro="">
      <xdr:nvCxnSpPr>
        <xdr:cNvPr id="186133" name="AutoShape 246">
          <a:extLst>
            <a:ext uri="{FF2B5EF4-FFF2-40B4-BE49-F238E27FC236}">
              <a16:creationId xmlns:a16="http://schemas.microsoft.com/office/drawing/2014/main" id="{00000000-0008-0000-0200-000015D70200}"/>
            </a:ext>
          </a:extLst>
        </xdr:cNvPr>
        <xdr:cNvCxnSpPr>
          <a:cxnSpLocks noChangeShapeType="1"/>
        </xdr:cNvCxnSpPr>
      </xdr:nvCxnSpPr>
      <xdr:spPr bwMode="auto">
        <a:xfrm>
          <a:off x="4095750" y="10420350"/>
          <a:ext cx="1905000" cy="9525"/>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0</xdr:colOff>
      <xdr:row>59</xdr:row>
      <xdr:rowOff>114300</xdr:rowOff>
    </xdr:from>
    <xdr:to>
      <xdr:col>5</xdr:col>
      <xdr:colOff>1568450</xdr:colOff>
      <xdr:row>60</xdr:row>
      <xdr:rowOff>85725</xdr:rowOff>
    </xdr:to>
    <xdr:cxnSp macro="">
      <xdr:nvCxnSpPr>
        <xdr:cNvPr id="186135" name="AutoShape 250">
          <a:extLst>
            <a:ext uri="{FF2B5EF4-FFF2-40B4-BE49-F238E27FC236}">
              <a16:creationId xmlns:a16="http://schemas.microsoft.com/office/drawing/2014/main" id="{00000000-0008-0000-0200-000017D70200}"/>
            </a:ext>
          </a:extLst>
        </xdr:cNvPr>
        <xdr:cNvCxnSpPr>
          <a:cxnSpLocks noChangeShapeType="1"/>
        </xdr:cNvCxnSpPr>
      </xdr:nvCxnSpPr>
      <xdr:spPr bwMode="auto">
        <a:xfrm flipV="1">
          <a:off x="4902200" y="10090150"/>
          <a:ext cx="1568450" cy="155575"/>
        </a:xfrm>
        <a:prstGeom prst="bentConnector3">
          <a:avLst>
            <a:gd name="adj1" fmla="val 54048"/>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352425</xdr:colOff>
      <xdr:row>19</xdr:row>
      <xdr:rowOff>57150</xdr:rowOff>
    </xdr:from>
    <xdr:to>
      <xdr:col>3</xdr:col>
      <xdr:colOff>352425</xdr:colOff>
      <xdr:row>20</xdr:row>
      <xdr:rowOff>9525</xdr:rowOff>
    </xdr:to>
    <xdr:cxnSp macro="">
      <xdr:nvCxnSpPr>
        <xdr:cNvPr id="186137" name="AutoShape 245">
          <a:extLst>
            <a:ext uri="{FF2B5EF4-FFF2-40B4-BE49-F238E27FC236}">
              <a16:creationId xmlns:a16="http://schemas.microsoft.com/office/drawing/2014/main" id="{00000000-0008-0000-0200-000019D70200}"/>
            </a:ext>
          </a:extLst>
        </xdr:cNvPr>
        <xdr:cNvCxnSpPr>
          <a:cxnSpLocks noChangeShapeType="1"/>
        </xdr:cNvCxnSpPr>
      </xdr:nvCxnSpPr>
      <xdr:spPr bwMode="auto">
        <a:xfrm flipH="1" flipV="1">
          <a:off x="3733800" y="3676650"/>
          <a:ext cx="0" cy="133350"/>
        </a:xfrm>
        <a:prstGeom prst="straightConnector1">
          <a:avLst/>
        </a:prstGeom>
        <a:noFill/>
        <a:ln w="19050">
          <a:solidFill>
            <a:srgbClr val="0070C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352425</xdr:colOff>
      <xdr:row>19</xdr:row>
      <xdr:rowOff>66675</xdr:rowOff>
    </xdr:from>
    <xdr:to>
      <xdr:col>6</xdr:col>
      <xdr:colOff>0</xdr:colOff>
      <xdr:row>19</xdr:row>
      <xdr:rowOff>66675</xdr:rowOff>
    </xdr:to>
    <xdr:cxnSp macro="">
      <xdr:nvCxnSpPr>
        <xdr:cNvPr id="186138" name="AutoShape 244">
          <a:extLst>
            <a:ext uri="{FF2B5EF4-FFF2-40B4-BE49-F238E27FC236}">
              <a16:creationId xmlns:a16="http://schemas.microsoft.com/office/drawing/2014/main" id="{00000000-0008-0000-0200-00001AD70200}"/>
            </a:ext>
          </a:extLst>
        </xdr:cNvPr>
        <xdr:cNvCxnSpPr>
          <a:cxnSpLocks noChangeShapeType="1"/>
        </xdr:cNvCxnSpPr>
      </xdr:nvCxnSpPr>
      <xdr:spPr bwMode="auto">
        <a:xfrm flipV="1">
          <a:off x="3733800" y="3686175"/>
          <a:ext cx="226695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885825</xdr:colOff>
      <xdr:row>61</xdr:row>
      <xdr:rowOff>76200</xdr:rowOff>
    </xdr:from>
    <xdr:to>
      <xdr:col>6</xdr:col>
      <xdr:colOff>9525</xdr:colOff>
      <xdr:row>62</xdr:row>
      <xdr:rowOff>104775</xdr:rowOff>
    </xdr:to>
    <xdr:cxnSp macro="">
      <xdr:nvCxnSpPr>
        <xdr:cNvPr id="186140" name="AutoShape 250">
          <a:extLst>
            <a:ext uri="{FF2B5EF4-FFF2-40B4-BE49-F238E27FC236}">
              <a16:creationId xmlns:a16="http://schemas.microsoft.com/office/drawing/2014/main" id="{00000000-0008-0000-0200-00001CD70200}"/>
            </a:ext>
          </a:extLst>
        </xdr:cNvPr>
        <xdr:cNvCxnSpPr>
          <a:cxnSpLocks noChangeShapeType="1"/>
        </xdr:cNvCxnSpPr>
      </xdr:nvCxnSpPr>
      <xdr:spPr bwMode="auto">
        <a:xfrm flipV="1">
          <a:off x="5648325" y="10029825"/>
          <a:ext cx="361950" cy="209550"/>
        </a:xfrm>
        <a:prstGeom prst="bentConnector3">
          <a:avLst>
            <a:gd name="adj1" fmla="val -5179"/>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9525</xdr:colOff>
      <xdr:row>62</xdr:row>
      <xdr:rowOff>104776</xdr:rowOff>
    </xdr:from>
    <xdr:to>
      <xdr:col>5</xdr:col>
      <xdr:colOff>1568450</xdr:colOff>
      <xdr:row>62</xdr:row>
      <xdr:rowOff>120650</xdr:rowOff>
    </xdr:to>
    <xdr:cxnSp macro="">
      <xdr:nvCxnSpPr>
        <xdr:cNvPr id="186141" name="AutoShape 248">
          <a:extLst>
            <a:ext uri="{FF2B5EF4-FFF2-40B4-BE49-F238E27FC236}">
              <a16:creationId xmlns:a16="http://schemas.microsoft.com/office/drawing/2014/main" id="{00000000-0008-0000-0200-00001DD70200}"/>
            </a:ext>
          </a:extLst>
        </xdr:cNvPr>
        <xdr:cNvCxnSpPr>
          <a:cxnSpLocks noChangeShapeType="1"/>
        </xdr:cNvCxnSpPr>
      </xdr:nvCxnSpPr>
      <xdr:spPr bwMode="auto">
        <a:xfrm>
          <a:off x="4911725" y="10690226"/>
          <a:ext cx="1558925" cy="15874"/>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698500</xdr:colOff>
      <xdr:row>22</xdr:row>
      <xdr:rowOff>103188</xdr:rowOff>
    </xdr:from>
    <xdr:to>
      <xdr:col>6</xdr:col>
      <xdr:colOff>25400</xdr:colOff>
      <xdr:row>23</xdr:row>
      <xdr:rowOff>112712</xdr:rowOff>
    </xdr:to>
    <xdr:cxnSp macro="">
      <xdr:nvCxnSpPr>
        <xdr:cNvPr id="186142" name="AutoShape 249">
          <a:extLst>
            <a:ext uri="{FF2B5EF4-FFF2-40B4-BE49-F238E27FC236}">
              <a16:creationId xmlns:a16="http://schemas.microsoft.com/office/drawing/2014/main" id="{00000000-0008-0000-0200-00001ED70200}"/>
            </a:ext>
          </a:extLst>
        </xdr:cNvPr>
        <xdr:cNvCxnSpPr>
          <a:cxnSpLocks noChangeShapeType="1"/>
        </xdr:cNvCxnSpPr>
      </xdr:nvCxnSpPr>
      <xdr:spPr bwMode="auto">
        <a:xfrm>
          <a:off x="4079875" y="4278313"/>
          <a:ext cx="2239963" cy="192087"/>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657225</xdr:colOff>
      <xdr:row>73</xdr:row>
      <xdr:rowOff>41275</xdr:rowOff>
    </xdr:from>
    <xdr:to>
      <xdr:col>6</xdr:col>
      <xdr:colOff>19050</xdr:colOff>
      <xdr:row>73</xdr:row>
      <xdr:rowOff>41275</xdr:rowOff>
    </xdr:to>
    <xdr:cxnSp macro="">
      <xdr:nvCxnSpPr>
        <xdr:cNvPr id="186143" name="AutoShape 248">
          <a:extLst>
            <a:ext uri="{FF2B5EF4-FFF2-40B4-BE49-F238E27FC236}">
              <a16:creationId xmlns:a16="http://schemas.microsoft.com/office/drawing/2014/main" id="{00000000-0008-0000-0200-00001FD70200}"/>
            </a:ext>
          </a:extLst>
        </xdr:cNvPr>
        <xdr:cNvCxnSpPr>
          <a:cxnSpLocks noChangeShapeType="1"/>
        </xdr:cNvCxnSpPr>
      </xdr:nvCxnSpPr>
      <xdr:spPr bwMode="auto">
        <a:xfrm>
          <a:off x="4867275" y="12512675"/>
          <a:ext cx="162877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800100</xdr:colOff>
      <xdr:row>63</xdr:row>
      <xdr:rowOff>114300</xdr:rowOff>
    </xdr:from>
    <xdr:to>
      <xdr:col>6</xdr:col>
      <xdr:colOff>0</xdr:colOff>
      <xdr:row>64</xdr:row>
      <xdr:rowOff>104775</xdr:rowOff>
    </xdr:to>
    <xdr:cxnSp macro="">
      <xdr:nvCxnSpPr>
        <xdr:cNvPr id="186144" name="AutoShape 249">
          <a:extLst>
            <a:ext uri="{FF2B5EF4-FFF2-40B4-BE49-F238E27FC236}">
              <a16:creationId xmlns:a16="http://schemas.microsoft.com/office/drawing/2014/main" id="{00000000-0008-0000-0200-000020D70200}"/>
            </a:ext>
          </a:extLst>
        </xdr:cNvPr>
        <xdr:cNvCxnSpPr>
          <a:cxnSpLocks noChangeShapeType="1"/>
        </xdr:cNvCxnSpPr>
      </xdr:nvCxnSpPr>
      <xdr:spPr bwMode="auto">
        <a:xfrm>
          <a:off x="5562600" y="10429875"/>
          <a:ext cx="438150" cy="219075"/>
        </a:xfrm>
        <a:prstGeom prst="bentConnector3">
          <a:avLst>
            <a:gd name="adj1" fmla="val 15704"/>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39687</xdr:colOff>
      <xdr:row>64</xdr:row>
      <xdr:rowOff>111125</xdr:rowOff>
    </xdr:from>
    <xdr:to>
      <xdr:col>5</xdr:col>
      <xdr:colOff>1524000</xdr:colOff>
      <xdr:row>66</xdr:row>
      <xdr:rowOff>95250</xdr:rowOff>
    </xdr:to>
    <xdr:cxnSp macro="">
      <xdr:nvCxnSpPr>
        <xdr:cNvPr id="186145" name="AutoShape 249">
          <a:extLst>
            <a:ext uri="{FF2B5EF4-FFF2-40B4-BE49-F238E27FC236}">
              <a16:creationId xmlns:a16="http://schemas.microsoft.com/office/drawing/2014/main" id="{00000000-0008-0000-0200-000021D70200}"/>
            </a:ext>
          </a:extLst>
        </xdr:cNvPr>
        <xdr:cNvCxnSpPr>
          <a:cxnSpLocks noChangeShapeType="1"/>
        </xdr:cNvCxnSpPr>
      </xdr:nvCxnSpPr>
      <xdr:spPr bwMode="auto">
        <a:xfrm>
          <a:off x="4127500" y="11072813"/>
          <a:ext cx="2159000" cy="349250"/>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12700</xdr:colOff>
      <xdr:row>81</xdr:row>
      <xdr:rowOff>76200</xdr:rowOff>
    </xdr:from>
    <xdr:to>
      <xdr:col>6</xdr:col>
      <xdr:colOff>31750</xdr:colOff>
      <xdr:row>86</xdr:row>
      <xdr:rowOff>95250</xdr:rowOff>
    </xdr:to>
    <xdr:cxnSp macro="">
      <xdr:nvCxnSpPr>
        <xdr:cNvPr id="186146" name="AutoShape 249">
          <a:extLst>
            <a:ext uri="{FF2B5EF4-FFF2-40B4-BE49-F238E27FC236}">
              <a16:creationId xmlns:a16="http://schemas.microsoft.com/office/drawing/2014/main" id="{00000000-0008-0000-0200-000022D70200}"/>
            </a:ext>
          </a:extLst>
        </xdr:cNvPr>
        <xdr:cNvCxnSpPr>
          <a:cxnSpLocks noChangeShapeType="1"/>
        </xdr:cNvCxnSpPr>
      </xdr:nvCxnSpPr>
      <xdr:spPr bwMode="auto">
        <a:xfrm>
          <a:off x="4914900" y="14249400"/>
          <a:ext cx="1593850" cy="1143000"/>
        </a:xfrm>
        <a:prstGeom prst="bentConnector3">
          <a:avLst>
            <a:gd name="adj1" fmla="val 67611"/>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647700</xdr:colOff>
      <xdr:row>83</xdr:row>
      <xdr:rowOff>85725</xdr:rowOff>
    </xdr:from>
    <xdr:to>
      <xdr:col>4</xdr:col>
      <xdr:colOff>647700</xdr:colOff>
      <xdr:row>83</xdr:row>
      <xdr:rowOff>85725</xdr:rowOff>
    </xdr:to>
    <xdr:cxnSp macro="">
      <xdr:nvCxnSpPr>
        <xdr:cNvPr id="186147" name="AutoShape 249">
          <a:extLst>
            <a:ext uri="{FF2B5EF4-FFF2-40B4-BE49-F238E27FC236}">
              <a16:creationId xmlns:a16="http://schemas.microsoft.com/office/drawing/2014/main" id="{00000000-0008-0000-0200-000023D70200}"/>
            </a:ext>
          </a:extLst>
        </xdr:cNvPr>
        <xdr:cNvCxnSpPr>
          <a:cxnSpLocks noChangeShapeType="1"/>
        </xdr:cNvCxnSpPr>
      </xdr:nvCxnSpPr>
      <xdr:spPr bwMode="auto">
        <a:xfrm flipV="1">
          <a:off x="4733925" y="14173200"/>
          <a:ext cx="0" cy="0"/>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4</xdr:col>
      <xdr:colOff>657225</xdr:colOff>
      <xdr:row>82</xdr:row>
      <xdr:rowOff>66675</xdr:rowOff>
    </xdr:from>
    <xdr:to>
      <xdr:col>5</xdr:col>
      <xdr:colOff>1076325</xdr:colOff>
      <xdr:row>82</xdr:row>
      <xdr:rowOff>66676</xdr:rowOff>
    </xdr:to>
    <xdr:cxnSp macro="">
      <xdr:nvCxnSpPr>
        <xdr:cNvPr id="186148" name="AutoShape 249">
          <a:extLst>
            <a:ext uri="{FF2B5EF4-FFF2-40B4-BE49-F238E27FC236}">
              <a16:creationId xmlns:a16="http://schemas.microsoft.com/office/drawing/2014/main" id="{00000000-0008-0000-0200-000024D70200}"/>
            </a:ext>
          </a:extLst>
        </xdr:cNvPr>
        <xdr:cNvCxnSpPr>
          <a:cxnSpLocks noChangeShapeType="1"/>
        </xdr:cNvCxnSpPr>
      </xdr:nvCxnSpPr>
      <xdr:spPr bwMode="auto">
        <a:xfrm flipV="1">
          <a:off x="4867275" y="14455775"/>
          <a:ext cx="1111250" cy="1"/>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0</xdr:colOff>
      <xdr:row>83</xdr:row>
      <xdr:rowOff>95250</xdr:rowOff>
    </xdr:from>
    <xdr:to>
      <xdr:col>5</xdr:col>
      <xdr:colOff>1095375</xdr:colOff>
      <xdr:row>83</xdr:row>
      <xdr:rowOff>95251</xdr:rowOff>
    </xdr:to>
    <xdr:cxnSp macro="">
      <xdr:nvCxnSpPr>
        <xdr:cNvPr id="33" name="AutoShape 249">
          <a:extLst>
            <a:ext uri="{FF2B5EF4-FFF2-40B4-BE49-F238E27FC236}">
              <a16:creationId xmlns:a16="http://schemas.microsoft.com/office/drawing/2014/main" id="{00000000-0008-0000-0200-000021000000}"/>
            </a:ext>
          </a:extLst>
        </xdr:cNvPr>
        <xdr:cNvCxnSpPr>
          <a:cxnSpLocks noChangeShapeType="1"/>
        </xdr:cNvCxnSpPr>
      </xdr:nvCxnSpPr>
      <xdr:spPr bwMode="auto">
        <a:xfrm flipV="1">
          <a:off x="4762500" y="14182725"/>
          <a:ext cx="1095375" cy="1"/>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9525</xdr:colOff>
      <xdr:row>84</xdr:row>
      <xdr:rowOff>114300</xdr:rowOff>
    </xdr:from>
    <xdr:to>
      <xdr:col>5</xdr:col>
      <xdr:colOff>1047750</xdr:colOff>
      <xdr:row>84</xdr:row>
      <xdr:rowOff>114303</xdr:rowOff>
    </xdr:to>
    <xdr:cxnSp macro="">
      <xdr:nvCxnSpPr>
        <xdr:cNvPr id="34" name="AutoShape 249">
          <a:extLst>
            <a:ext uri="{FF2B5EF4-FFF2-40B4-BE49-F238E27FC236}">
              <a16:creationId xmlns:a16="http://schemas.microsoft.com/office/drawing/2014/main" id="{00000000-0008-0000-0200-000022000000}"/>
            </a:ext>
          </a:extLst>
        </xdr:cNvPr>
        <xdr:cNvCxnSpPr>
          <a:cxnSpLocks noChangeShapeType="1"/>
        </xdr:cNvCxnSpPr>
      </xdr:nvCxnSpPr>
      <xdr:spPr bwMode="auto">
        <a:xfrm flipV="1">
          <a:off x="4772025" y="14439900"/>
          <a:ext cx="1038225" cy="3"/>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476250</xdr:colOff>
      <xdr:row>23</xdr:row>
      <xdr:rowOff>111125</xdr:rowOff>
    </xdr:from>
    <xdr:to>
      <xdr:col>6</xdr:col>
      <xdr:colOff>25400</xdr:colOff>
      <xdr:row>24</xdr:row>
      <xdr:rowOff>112712</xdr:rowOff>
    </xdr:to>
    <xdr:cxnSp macro="">
      <xdr:nvCxnSpPr>
        <xdr:cNvPr id="24" name="AutoShape 249">
          <a:extLst>
            <a:ext uri="{FF2B5EF4-FFF2-40B4-BE49-F238E27FC236}">
              <a16:creationId xmlns:a16="http://schemas.microsoft.com/office/drawing/2014/main" id="{00000000-0008-0000-0200-000018000000}"/>
            </a:ext>
          </a:extLst>
        </xdr:cNvPr>
        <xdr:cNvCxnSpPr>
          <a:cxnSpLocks noChangeShapeType="1"/>
        </xdr:cNvCxnSpPr>
      </xdr:nvCxnSpPr>
      <xdr:spPr bwMode="auto">
        <a:xfrm>
          <a:off x="5238750" y="4468813"/>
          <a:ext cx="1081088" cy="184149"/>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687161</xdr:colOff>
      <xdr:row>69</xdr:row>
      <xdr:rowOff>53975</xdr:rowOff>
    </xdr:from>
    <xdr:to>
      <xdr:col>6</xdr:col>
      <xdr:colOff>6350</xdr:colOff>
      <xdr:row>69</xdr:row>
      <xdr:rowOff>54428</xdr:rowOff>
    </xdr:to>
    <xdr:cxnSp macro="">
      <xdr:nvCxnSpPr>
        <xdr:cNvPr id="25" name="AutoShape 249">
          <a:extLst>
            <a:ext uri="{FF2B5EF4-FFF2-40B4-BE49-F238E27FC236}">
              <a16:creationId xmlns:a16="http://schemas.microsoft.com/office/drawing/2014/main" id="{00000000-0008-0000-0200-000019000000}"/>
            </a:ext>
          </a:extLst>
        </xdr:cNvPr>
        <xdr:cNvCxnSpPr>
          <a:cxnSpLocks noChangeShapeType="1"/>
        </xdr:cNvCxnSpPr>
      </xdr:nvCxnSpPr>
      <xdr:spPr bwMode="auto">
        <a:xfrm flipV="1">
          <a:off x="4061732" y="11994243"/>
          <a:ext cx="2231118" cy="453"/>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914400</xdr:colOff>
      <xdr:row>64</xdr:row>
      <xdr:rowOff>114300</xdr:rowOff>
    </xdr:from>
    <xdr:to>
      <xdr:col>5</xdr:col>
      <xdr:colOff>1568450</xdr:colOff>
      <xdr:row>65</xdr:row>
      <xdr:rowOff>114300</xdr:rowOff>
    </xdr:to>
    <xdr:cxnSp macro="">
      <xdr:nvCxnSpPr>
        <xdr:cNvPr id="26" name="AutoShape 249">
          <a:extLst>
            <a:ext uri="{FF2B5EF4-FFF2-40B4-BE49-F238E27FC236}">
              <a16:creationId xmlns:a16="http://schemas.microsoft.com/office/drawing/2014/main" id="{00000000-0008-0000-0200-00001A000000}"/>
            </a:ext>
          </a:extLst>
        </xdr:cNvPr>
        <xdr:cNvCxnSpPr>
          <a:cxnSpLocks noChangeShapeType="1"/>
        </xdr:cNvCxnSpPr>
      </xdr:nvCxnSpPr>
      <xdr:spPr bwMode="auto">
        <a:xfrm>
          <a:off x="5816600" y="11112500"/>
          <a:ext cx="654050" cy="184150"/>
        </a:xfrm>
        <a:prstGeom prst="bentConnector3">
          <a:avLst>
            <a:gd name="adj1" fmla="val 1456"/>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762000</xdr:colOff>
      <xdr:row>41</xdr:row>
      <xdr:rowOff>0</xdr:rowOff>
    </xdr:from>
    <xdr:to>
      <xdr:col>5</xdr:col>
      <xdr:colOff>9525</xdr:colOff>
      <xdr:row>41</xdr:row>
      <xdr:rowOff>123825</xdr:rowOff>
    </xdr:to>
    <xdr:cxnSp macro="">
      <xdr:nvCxnSpPr>
        <xdr:cNvPr id="2" name="AutoShape 187">
          <a:extLst>
            <a:ext uri="{FF2B5EF4-FFF2-40B4-BE49-F238E27FC236}">
              <a16:creationId xmlns:a16="http://schemas.microsoft.com/office/drawing/2014/main" id="{00000000-0008-0000-0300-000002000000}"/>
            </a:ext>
          </a:extLst>
        </xdr:cNvPr>
        <xdr:cNvCxnSpPr>
          <a:cxnSpLocks noChangeShapeType="1"/>
        </xdr:cNvCxnSpPr>
      </xdr:nvCxnSpPr>
      <xdr:spPr bwMode="auto">
        <a:xfrm flipV="1">
          <a:off x="4200525" y="8086725"/>
          <a:ext cx="1495425" cy="123825"/>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28</xdr:row>
      <xdr:rowOff>70139</xdr:rowOff>
    </xdr:from>
    <xdr:to>
      <xdr:col>5</xdr:col>
      <xdr:colOff>9525</xdr:colOff>
      <xdr:row>28</xdr:row>
      <xdr:rowOff>70139</xdr:rowOff>
    </xdr:to>
    <xdr:cxnSp macro="">
      <xdr:nvCxnSpPr>
        <xdr:cNvPr id="3" name="AutoShape 197">
          <a:extLst>
            <a:ext uri="{FF2B5EF4-FFF2-40B4-BE49-F238E27FC236}">
              <a16:creationId xmlns:a16="http://schemas.microsoft.com/office/drawing/2014/main" id="{00000000-0008-0000-0300-000003000000}"/>
            </a:ext>
          </a:extLst>
        </xdr:cNvPr>
        <xdr:cNvCxnSpPr>
          <a:cxnSpLocks noChangeShapeType="1"/>
        </xdr:cNvCxnSpPr>
      </xdr:nvCxnSpPr>
      <xdr:spPr bwMode="auto">
        <a:xfrm>
          <a:off x="4210050" y="4975514"/>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26</xdr:row>
      <xdr:rowOff>112568</xdr:rowOff>
    </xdr:from>
    <xdr:to>
      <xdr:col>5</xdr:col>
      <xdr:colOff>0</xdr:colOff>
      <xdr:row>26</xdr:row>
      <xdr:rowOff>112568</xdr:rowOff>
    </xdr:to>
    <xdr:cxnSp macro="">
      <xdr:nvCxnSpPr>
        <xdr:cNvPr id="4" name="AutoShape 197">
          <a:extLst>
            <a:ext uri="{FF2B5EF4-FFF2-40B4-BE49-F238E27FC236}">
              <a16:creationId xmlns:a16="http://schemas.microsoft.com/office/drawing/2014/main" id="{00000000-0008-0000-0300-000004000000}"/>
            </a:ext>
          </a:extLst>
        </xdr:cNvPr>
        <xdr:cNvCxnSpPr>
          <a:cxnSpLocks noChangeShapeType="1"/>
        </xdr:cNvCxnSpPr>
      </xdr:nvCxnSpPr>
      <xdr:spPr bwMode="auto">
        <a:xfrm>
          <a:off x="4199659" y="4658591"/>
          <a:ext cx="15153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44</xdr:row>
      <xdr:rowOff>159327</xdr:rowOff>
    </xdr:from>
    <xdr:to>
      <xdr:col>5</xdr:col>
      <xdr:colOff>19050</xdr:colOff>
      <xdr:row>44</xdr:row>
      <xdr:rowOff>159327</xdr:rowOff>
    </xdr:to>
    <xdr:cxnSp macro="">
      <xdr:nvCxnSpPr>
        <xdr:cNvPr id="5" name="AutoShape 191">
          <a:extLst>
            <a:ext uri="{FF2B5EF4-FFF2-40B4-BE49-F238E27FC236}">
              <a16:creationId xmlns:a16="http://schemas.microsoft.com/office/drawing/2014/main" id="{00000000-0008-0000-0300-000005000000}"/>
            </a:ext>
          </a:extLst>
        </xdr:cNvPr>
        <xdr:cNvCxnSpPr>
          <a:cxnSpLocks noChangeShapeType="1"/>
        </xdr:cNvCxnSpPr>
      </xdr:nvCxnSpPr>
      <xdr:spPr bwMode="auto">
        <a:xfrm>
          <a:off x="4219575" y="8903277"/>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54</xdr:row>
      <xdr:rowOff>95250</xdr:rowOff>
    </xdr:from>
    <xdr:to>
      <xdr:col>5</xdr:col>
      <xdr:colOff>9525</xdr:colOff>
      <xdr:row>54</xdr:row>
      <xdr:rowOff>95250</xdr:rowOff>
    </xdr:to>
    <xdr:cxnSp macro="">
      <xdr:nvCxnSpPr>
        <xdr:cNvPr id="6" name="AutoShape 191">
          <a:extLst>
            <a:ext uri="{FF2B5EF4-FFF2-40B4-BE49-F238E27FC236}">
              <a16:creationId xmlns:a16="http://schemas.microsoft.com/office/drawing/2014/main" id="{00000000-0008-0000-0300-000006000000}"/>
            </a:ext>
          </a:extLst>
        </xdr:cNvPr>
        <xdr:cNvCxnSpPr>
          <a:cxnSpLocks noChangeShapeType="1"/>
        </xdr:cNvCxnSpPr>
      </xdr:nvCxnSpPr>
      <xdr:spPr bwMode="auto">
        <a:xfrm>
          <a:off x="4210050" y="10544175"/>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57</xdr:row>
      <xdr:rowOff>76200</xdr:rowOff>
    </xdr:from>
    <xdr:to>
      <xdr:col>5</xdr:col>
      <xdr:colOff>9525</xdr:colOff>
      <xdr:row>58</xdr:row>
      <xdr:rowOff>0</xdr:rowOff>
    </xdr:to>
    <xdr:cxnSp macro="">
      <xdr:nvCxnSpPr>
        <xdr:cNvPr id="7" name="AutoShape 250">
          <a:extLst>
            <a:ext uri="{FF2B5EF4-FFF2-40B4-BE49-F238E27FC236}">
              <a16:creationId xmlns:a16="http://schemas.microsoft.com/office/drawing/2014/main" id="{00000000-0008-0000-0300-000007000000}"/>
            </a:ext>
          </a:extLst>
        </xdr:cNvPr>
        <xdr:cNvCxnSpPr>
          <a:cxnSpLocks noChangeShapeType="1"/>
        </xdr:cNvCxnSpPr>
      </xdr:nvCxnSpPr>
      <xdr:spPr bwMode="auto">
        <a:xfrm>
          <a:off x="4210050" y="11010900"/>
          <a:ext cx="1485900" cy="857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42</xdr:row>
      <xdr:rowOff>66675</xdr:rowOff>
    </xdr:from>
    <xdr:to>
      <xdr:col>5</xdr:col>
      <xdr:colOff>9525</xdr:colOff>
      <xdr:row>43</xdr:row>
      <xdr:rowOff>9525</xdr:rowOff>
    </xdr:to>
    <xdr:cxnSp macro="">
      <xdr:nvCxnSpPr>
        <xdr:cNvPr id="8" name="AutoShape 250">
          <a:extLst>
            <a:ext uri="{FF2B5EF4-FFF2-40B4-BE49-F238E27FC236}">
              <a16:creationId xmlns:a16="http://schemas.microsoft.com/office/drawing/2014/main" id="{00000000-0008-0000-0300-000008000000}"/>
            </a:ext>
          </a:extLst>
        </xdr:cNvPr>
        <xdr:cNvCxnSpPr>
          <a:cxnSpLocks noChangeShapeType="1"/>
        </xdr:cNvCxnSpPr>
      </xdr:nvCxnSpPr>
      <xdr:spPr bwMode="auto">
        <a:xfrm>
          <a:off x="4219575" y="8382000"/>
          <a:ext cx="1476375" cy="200025"/>
        </a:xfrm>
        <a:prstGeom prst="bentConnector3">
          <a:avLst>
            <a:gd name="adj1" fmla="val 83513"/>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755072</xdr:colOff>
      <xdr:row>49</xdr:row>
      <xdr:rowOff>17319</xdr:rowOff>
    </xdr:from>
    <xdr:to>
      <xdr:col>5</xdr:col>
      <xdr:colOff>25977</xdr:colOff>
      <xdr:row>49</xdr:row>
      <xdr:rowOff>103044</xdr:rowOff>
    </xdr:to>
    <xdr:cxnSp macro="">
      <xdr:nvCxnSpPr>
        <xdr:cNvPr id="9" name="AutoShape 250">
          <a:extLst>
            <a:ext uri="{FF2B5EF4-FFF2-40B4-BE49-F238E27FC236}">
              <a16:creationId xmlns:a16="http://schemas.microsoft.com/office/drawing/2014/main" id="{00000000-0008-0000-0300-000009000000}"/>
            </a:ext>
          </a:extLst>
        </xdr:cNvPr>
        <xdr:cNvCxnSpPr>
          <a:cxnSpLocks noChangeShapeType="1"/>
        </xdr:cNvCxnSpPr>
      </xdr:nvCxnSpPr>
      <xdr:spPr bwMode="auto">
        <a:xfrm flipV="1">
          <a:off x="4192731" y="9862705"/>
          <a:ext cx="1522269" cy="857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67</xdr:row>
      <xdr:rowOff>6615</xdr:rowOff>
    </xdr:from>
    <xdr:to>
      <xdr:col>5</xdr:col>
      <xdr:colOff>6614</xdr:colOff>
      <xdr:row>69</xdr:row>
      <xdr:rowOff>112448</xdr:rowOff>
    </xdr:to>
    <xdr:cxnSp macro="">
      <xdr:nvCxnSpPr>
        <xdr:cNvPr id="10" name="AutoShape 250">
          <a:extLst>
            <a:ext uri="{FF2B5EF4-FFF2-40B4-BE49-F238E27FC236}">
              <a16:creationId xmlns:a16="http://schemas.microsoft.com/office/drawing/2014/main" id="{00000000-0008-0000-0300-00000A000000}"/>
            </a:ext>
          </a:extLst>
        </xdr:cNvPr>
        <xdr:cNvCxnSpPr>
          <a:cxnSpLocks noChangeShapeType="1"/>
        </xdr:cNvCxnSpPr>
      </xdr:nvCxnSpPr>
      <xdr:spPr bwMode="auto">
        <a:xfrm flipV="1">
          <a:off x="4921250" y="12607396"/>
          <a:ext cx="1838854" cy="502708"/>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27</xdr:row>
      <xdr:rowOff>69273</xdr:rowOff>
    </xdr:from>
    <xdr:to>
      <xdr:col>5</xdr:col>
      <xdr:colOff>8659</xdr:colOff>
      <xdr:row>27</xdr:row>
      <xdr:rowOff>69273</xdr:rowOff>
    </xdr:to>
    <xdr:cxnSp macro="">
      <xdr:nvCxnSpPr>
        <xdr:cNvPr id="11" name="AutoShape 197">
          <a:extLst>
            <a:ext uri="{FF2B5EF4-FFF2-40B4-BE49-F238E27FC236}">
              <a16:creationId xmlns:a16="http://schemas.microsoft.com/office/drawing/2014/main" id="{00000000-0008-0000-0300-00000B000000}"/>
            </a:ext>
          </a:extLst>
        </xdr:cNvPr>
        <xdr:cNvCxnSpPr>
          <a:cxnSpLocks noChangeShapeType="1"/>
        </xdr:cNvCxnSpPr>
      </xdr:nvCxnSpPr>
      <xdr:spPr bwMode="auto">
        <a:xfrm>
          <a:off x="4210050" y="4812723"/>
          <a:ext cx="1485034"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39</xdr:row>
      <xdr:rowOff>112569</xdr:rowOff>
    </xdr:from>
    <xdr:to>
      <xdr:col>5</xdr:col>
      <xdr:colOff>9525</xdr:colOff>
      <xdr:row>39</xdr:row>
      <xdr:rowOff>112569</xdr:rowOff>
    </xdr:to>
    <xdr:cxnSp macro="">
      <xdr:nvCxnSpPr>
        <xdr:cNvPr id="12" name="AutoShape 197">
          <a:extLst>
            <a:ext uri="{FF2B5EF4-FFF2-40B4-BE49-F238E27FC236}">
              <a16:creationId xmlns:a16="http://schemas.microsoft.com/office/drawing/2014/main" id="{00000000-0008-0000-0300-00000C000000}"/>
            </a:ext>
          </a:extLst>
        </xdr:cNvPr>
        <xdr:cNvCxnSpPr>
          <a:cxnSpLocks noChangeShapeType="1"/>
        </xdr:cNvCxnSpPr>
      </xdr:nvCxnSpPr>
      <xdr:spPr bwMode="auto">
        <a:xfrm>
          <a:off x="4210050" y="7808769"/>
          <a:ext cx="14859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800100</xdr:colOff>
      <xdr:row>18</xdr:row>
      <xdr:rowOff>21359</xdr:rowOff>
    </xdr:from>
    <xdr:to>
      <xdr:col>5</xdr:col>
      <xdr:colOff>2309</xdr:colOff>
      <xdr:row>18</xdr:row>
      <xdr:rowOff>21359</xdr:rowOff>
    </xdr:to>
    <xdr:cxnSp macro="">
      <xdr:nvCxnSpPr>
        <xdr:cNvPr id="15" name="AutoShape 197">
          <a:extLst>
            <a:ext uri="{FF2B5EF4-FFF2-40B4-BE49-F238E27FC236}">
              <a16:creationId xmlns:a16="http://schemas.microsoft.com/office/drawing/2014/main" id="{00000000-0008-0000-0300-00000F000000}"/>
            </a:ext>
          </a:extLst>
        </xdr:cNvPr>
        <xdr:cNvCxnSpPr>
          <a:cxnSpLocks noChangeShapeType="1"/>
        </xdr:cNvCxnSpPr>
      </xdr:nvCxnSpPr>
      <xdr:spPr bwMode="auto">
        <a:xfrm>
          <a:off x="4391025" y="3297959"/>
          <a:ext cx="1583459"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24</xdr:row>
      <xdr:rowOff>138545</xdr:rowOff>
    </xdr:from>
    <xdr:to>
      <xdr:col>5</xdr:col>
      <xdr:colOff>0</xdr:colOff>
      <xdr:row>24</xdr:row>
      <xdr:rowOff>138545</xdr:rowOff>
    </xdr:to>
    <xdr:cxnSp macro="">
      <xdr:nvCxnSpPr>
        <xdr:cNvPr id="16" name="AutoShape 197">
          <a:extLst>
            <a:ext uri="{FF2B5EF4-FFF2-40B4-BE49-F238E27FC236}">
              <a16:creationId xmlns:a16="http://schemas.microsoft.com/office/drawing/2014/main" id="{00000000-0008-0000-0300-000010000000}"/>
            </a:ext>
          </a:extLst>
        </xdr:cNvPr>
        <xdr:cNvCxnSpPr>
          <a:cxnSpLocks noChangeShapeType="1"/>
        </xdr:cNvCxnSpPr>
      </xdr:nvCxnSpPr>
      <xdr:spPr bwMode="auto">
        <a:xfrm>
          <a:off x="4199659" y="4320886"/>
          <a:ext cx="2034886"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27</xdr:row>
      <xdr:rowOff>70139</xdr:rowOff>
    </xdr:from>
    <xdr:to>
      <xdr:col>5</xdr:col>
      <xdr:colOff>9525</xdr:colOff>
      <xdr:row>27</xdr:row>
      <xdr:rowOff>70139</xdr:rowOff>
    </xdr:to>
    <xdr:cxnSp macro="">
      <xdr:nvCxnSpPr>
        <xdr:cNvPr id="17" name="AutoShape 197">
          <a:extLst>
            <a:ext uri="{FF2B5EF4-FFF2-40B4-BE49-F238E27FC236}">
              <a16:creationId xmlns:a16="http://schemas.microsoft.com/office/drawing/2014/main" id="{00000000-0008-0000-0300-000011000000}"/>
            </a:ext>
          </a:extLst>
        </xdr:cNvPr>
        <xdr:cNvCxnSpPr>
          <a:cxnSpLocks noChangeShapeType="1"/>
        </xdr:cNvCxnSpPr>
      </xdr:nvCxnSpPr>
      <xdr:spPr bwMode="auto">
        <a:xfrm>
          <a:off x="4208318" y="4979844"/>
          <a:ext cx="149023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45</xdr:row>
      <xdr:rowOff>129886</xdr:rowOff>
    </xdr:from>
    <xdr:to>
      <xdr:col>5</xdr:col>
      <xdr:colOff>9525</xdr:colOff>
      <xdr:row>45</xdr:row>
      <xdr:rowOff>129886</xdr:rowOff>
    </xdr:to>
    <xdr:cxnSp macro="">
      <xdr:nvCxnSpPr>
        <xdr:cNvPr id="27" name="AutoShape 191">
          <a:extLst>
            <a:ext uri="{FF2B5EF4-FFF2-40B4-BE49-F238E27FC236}">
              <a16:creationId xmlns:a16="http://schemas.microsoft.com/office/drawing/2014/main" id="{00000000-0008-0000-0300-00001B000000}"/>
            </a:ext>
          </a:extLst>
        </xdr:cNvPr>
        <xdr:cNvCxnSpPr>
          <a:cxnSpLocks noChangeShapeType="1"/>
        </xdr:cNvCxnSpPr>
      </xdr:nvCxnSpPr>
      <xdr:spPr bwMode="auto">
        <a:xfrm>
          <a:off x="4328160" y="9212926"/>
          <a:ext cx="155638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29</xdr:row>
      <xdr:rowOff>69273</xdr:rowOff>
    </xdr:from>
    <xdr:to>
      <xdr:col>5</xdr:col>
      <xdr:colOff>8659</xdr:colOff>
      <xdr:row>29</xdr:row>
      <xdr:rowOff>69273</xdr:rowOff>
    </xdr:to>
    <xdr:cxnSp macro="">
      <xdr:nvCxnSpPr>
        <xdr:cNvPr id="18" name="AutoShape 197">
          <a:extLst>
            <a:ext uri="{FF2B5EF4-FFF2-40B4-BE49-F238E27FC236}">
              <a16:creationId xmlns:a16="http://schemas.microsoft.com/office/drawing/2014/main" id="{00000000-0008-0000-0300-000012000000}"/>
            </a:ext>
          </a:extLst>
        </xdr:cNvPr>
        <xdr:cNvCxnSpPr>
          <a:cxnSpLocks noChangeShapeType="1"/>
        </xdr:cNvCxnSpPr>
      </xdr:nvCxnSpPr>
      <xdr:spPr bwMode="auto">
        <a:xfrm>
          <a:off x="4329545" y="4786746"/>
          <a:ext cx="15534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29</xdr:row>
      <xdr:rowOff>70139</xdr:rowOff>
    </xdr:from>
    <xdr:to>
      <xdr:col>5</xdr:col>
      <xdr:colOff>9525</xdr:colOff>
      <xdr:row>29</xdr:row>
      <xdr:rowOff>70139</xdr:rowOff>
    </xdr:to>
    <xdr:cxnSp macro="">
      <xdr:nvCxnSpPr>
        <xdr:cNvPr id="19" name="AutoShape 197">
          <a:extLst>
            <a:ext uri="{FF2B5EF4-FFF2-40B4-BE49-F238E27FC236}">
              <a16:creationId xmlns:a16="http://schemas.microsoft.com/office/drawing/2014/main" id="{00000000-0008-0000-0300-000013000000}"/>
            </a:ext>
          </a:extLst>
        </xdr:cNvPr>
        <xdr:cNvCxnSpPr>
          <a:cxnSpLocks noChangeShapeType="1"/>
        </xdr:cNvCxnSpPr>
      </xdr:nvCxnSpPr>
      <xdr:spPr bwMode="auto">
        <a:xfrm>
          <a:off x="4329545" y="4787612"/>
          <a:ext cx="1554307"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782783</xdr:colOff>
      <xdr:row>31</xdr:row>
      <xdr:rowOff>6929</xdr:rowOff>
    </xdr:from>
    <xdr:to>
      <xdr:col>5</xdr:col>
      <xdr:colOff>1733</xdr:colOff>
      <xdr:row>31</xdr:row>
      <xdr:rowOff>6929</xdr:rowOff>
    </xdr:to>
    <xdr:cxnSp macro="">
      <xdr:nvCxnSpPr>
        <xdr:cNvPr id="20" name="AutoShape 197">
          <a:extLst>
            <a:ext uri="{FF2B5EF4-FFF2-40B4-BE49-F238E27FC236}">
              <a16:creationId xmlns:a16="http://schemas.microsoft.com/office/drawing/2014/main" id="{00000000-0008-0000-0300-000014000000}"/>
            </a:ext>
          </a:extLst>
        </xdr:cNvPr>
        <xdr:cNvCxnSpPr>
          <a:cxnSpLocks noChangeShapeType="1"/>
        </xdr:cNvCxnSpPr>
      </xdr:nvCxnSpPr>
      <xdr:spPr bwMode="auto">
        <a:xfrm>
          <a:off x="4322619" y="5437911"/>
          <a:ext cx="1553441"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796924</xdr:colOff>
      <xdr:row>50</xdr:row>
      <xdr:rowOff>66279</xdr:rowOff>
    </xdr:from>
    <xdr:to>
      <xdr:col>5</xdr:col>
      <xdr:colOff>0</xdr:colOff>
      <xdr:row>52</xdr:row>
      <xdr:rowOff>92472</xdr:rowOff>
    </xdr:to>
    <xdr:cxnSp macro="">
      <xdr:nvCxnSpPr>
        <xdr:cNvPr id="13" name="AutoShape 249">
          <a:extLst>
            <a:ext uri="{FF2B5EF4-FFF2-40B4-BE49-F238E27FC236}">
              <a16:creationId xmlns:a16="http://schemas.microsoft.com/office/drawing/2014/main" id="{4F1C9B1D-5D0E-45FB-A1FC-74DA6DFE79A7}"/>
            </a:ext>
          </a:extLst>
        </xdr:cNvPr>
        <xdr:cNvCxnSpPr>
          <a:cxnSpLocks noChangeShapeType="1"/>
        </xdr:cNvCxnSpPr>
      </xdr:nvCxnSpPr>
      <xdr:spPr bwMode="auto">
        <a:xfrm>
          <a:off x="4914502" y="9859170"/>
          <a:ext cx="1852217" cy="343693"/>
        </a:xfrm>
        <a:prstGeom prst="bentConnector3">
          <a:avLst>
            <a:gd name="adj1" fmla="val 80534"/>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390525</xdr:colOff>
      <xdr:row>6</xdr:row>
      <xdr:rowOff>38100</xdr:rowOff>
    </xdr:from>
    <xdr:to>
      <xdr:col>13</xdr:col>
      <xdr:colOff>9525</xdr:colOff>
      <xdr:row>7</xdr:row>
      <xdr:rowOff>57150</xdr:rowOff>
    </xdr:to>
    <xdr:cxnSp macro="">
      <xdr:nvCxnSpPr>
        <xdr:cNvPr id="4" name="AutoShape 250">
          <a:extLst>
            <a:ext uri="{FF2B5EF4-FFF2-40B4-BE49-F238E27FC236}">
              <a16:creationId xmlns:a16="http://schemas.microsoft.com/office/drawing/2014/main" id="{00000000-0008-0000-0400-000004000000}"/>
            </a:ext>
          </a:extLst>
        </xdr:cNvPr>
        <xdr:cNvCxnSpPr>
          <a:cxnSpLocks noChangeShapeType="1"/>
        </xdr:cNvCxnSpPr>
      </xdr:nvCxnSpPr>
      <xdr:spPr bwMode="auto">
        <a:xfrm>
          <a:off x="10591800" y="1133475"/>
          <a:ext cx="1943100" cy="209550"/>
        </a:xfrm>
        <a:prstGeom prst="bentConnector3">
          <a:avLst>
            <a:gd name="adj1" fmla="val 80139"/>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400050</xdr:colOff>
      <xdr:row>6</xdr:row>
      <xdr:rowOff>38100</xdr:rowOff>
    </xdr:from>
    <xdr:to>
      <xdr:col>10</xdr:col>
      <xdr:colOff>400050</xdr:colOff>
      <xdr:row>6</xdr:row>
      <xdr:rowOff>180975</xdr:rowOff>
    </xdr:to>
    <xdr:cxnSp macro="">
      <xdr:nvCxnSpPr>
        <xdr:cNvPr id="5" name="AutoShape 191">
          <a:extLst>
            <a:ext uri="{FF2B5EF4-FFF2-40B4-BE49-F238E27FC236}">
              <a16:creationId xmlns:a16="http://schemas.microsoft.com/office/drawing/2014/main" id="{00000000-0008-0000-0400-000005000000}"/>
            </a:ext>
          </a:extLst>
        </xdr:cNvPr>
        <xdr:cNvCxnSpPr>
          <a:cxnSpLocks noChangeShapeType="1"/>
        </xdr:cNvCxnSpPr>
      </xdr:nvCxnSpPr>
      <xdr:spPr bwMode="auto">
        <a:xfrm flipV="1">
          <a:off x="10601325" y="1133475"/>
          <a:ext cx="0" cy="142875"/>
        </a:xfrm>
        <a:prstGeom prst="straightConnector1">
          <a:avLst/>
        </a:prstGeom>
        <a:noFill/>
        <a:ln w="19050">
          <a:solidFill>
            <a:srgbClr val="0070C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28575</xdr:colOff>
      <xdr:row>14</xdr:row>
      <xdr:rowOff>76200</xdr:rowOff>
    </xdr:from>
    <xdr:to>
      <xdr:col>13</xdr:col>
      <xdr:colOff>9525</xdr:colOff>
      <xdr:row>15</xdr:row>
      <xdr:rowOff>85725</xdr:rowOff>
    </xdr:to>
    <xdr:cxnSp macro="">
      <xdr:nvCxnSpPr>
        <xdr:cNvPr id="14" name="AutoShape 250">
          <a:extLst>
            <a:ext uri="{FF2B5EF4-FFF2-40B4-BE49-F238E27FC236}">
              <a16:creationId xmlns:a16="http://schemas.microsoft.com/office/drawing/2014/main" id="{00000000-0008-0000-0400-00000E000000}"/>
            </a:ext>
          </a:extLst>
        </xdr:cNvPr>
        <xdr:cNvCxnSpPr>
          <a:cxnSpLocks noChangeShapeType="1"/>
        </xdr:cNvCxnSpPr>
      </xdr:nvCxnSpPr>
      <xdr:spPr bwMode="auto">
        <a:xfrm>
          <a:off x="10944225" y="2619375"/>
          <a:ext cx="1590675" cy="180975"/>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12</xdr:col>
      <xdr:colOff>0</xdr:colOff>
      <xdr:row>14</xdr:row>
      <xdr:rowOff>66675</xdr:rowOff>
    </xdr:from>
    <xdr:to>
      <xdr:col>13</xdr:col>
      <xdr:colOff>9525</xdr:colOff>
      <xdr:row>14</xdr:row>
      <xdr:rowOff>66675</xdr:rowOff>
    </xdr:to>
    <xdr:cxnSp macro="">
      <xdr:nvCxnSpPr>
        <xdr:cNvPr id="16" name="AutoShape 191">
          <a:extLst>
            <a:ext uri="{FF2B5EF4-FFF2-40B4-BE49-F238E27FC236}">
              <a16:creationId xmlns:a16="http://schemas.microsoft.com/office/drawing/2014/main" id="{00000000-0008-0000-0400-000010000000}"/>
            </a:ext>
          </a:extLst>
        </xdr:cNvPr>
        <xdr:cNvCxnSpPr>
          <a:cxnSpLocks noChangeShapeType="1"/>
        </xdr:cNvCxnSpPr>
      </xdr:nvCxnSpPr>
      <xdr:spPr bwMode="auto">
        <a:xfrm>
          <a:off x="11630025" y="2609850"/>
          <a:ext cx="90487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18</xdr:row>
      <xdr:rowOff>47625</xdr:rowOff>
    </xdr:from>
    <xdr:to>
      <xdr:col>0</xdr:col>
      <xdr:colOff>19050</xdr:colOff>
      <xdr:row>18</xdr:row>
      <xdr:rowOff>167640</xdr:rowOff>
    </xdr:to>
    <xdr:sp macro="" textlink="">
      <xdr:nvSpPr>
        <xdr:cNvPr id="3" name="Text 1">
          <a:extLst>
            <a:ext uri="{FF2B5EF4-FFF2-40B4-BE49-F238E27FC236}">
              <a16:creationId xmlns:a16="http://schemas.microsoft.com/office/drawing/2014/main" id="{00000000-0008-0000-0500-000003000000}"/>
            </a:ext>
          </a:extLst>
        </xdr:cNvPr>
        <xdr:cNvSpPr txBox="1">
          <a:spLocks noChangeArrowheads="1"/>
        </xdr:cNvSpPr>
      </xdr:nvSpPr>
      <xdr:spPr bwMode="auto">
        <a:xfrm>
          <a:off x="19050" y="3248025"/>
          <a:ext cx="0" cy="1809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u="none" strike="noStrike" baseline="0">
              <a:solidFill>
                <a:srgbClr val="000000"/>
              </a:solidFill>
              <a:latin typeface="Arial"/>
              <a:cs typeface="Arial"/>
            </a:rPr>
            <a:t>Gå till avd:</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47625</xdr:rowOff>
    </xdr:from>
    <xdr:to>
      <xdr:col>1</xdr:col>
      <xdr:colOff>0</xdr:colOff>
      <xdr:row>3</xdr:row>
      <xdr:rowOff>31115</xdr:rowOff>
    </xdr:to>
    <xdr:sp macro="" textlink="">
      <xdr:nvSpPr>
        <xdr:cNvPr id="2" name="txtGoTo">
          <a:extLst>
            <a:ext uri="{FF2B5EF4-FFF2-40B4-BE49-F238E27FC236}">
              <a16:creationId xmlns:a16="http://schemas.microsoft.com/office/drawing/2014/main" id="{00000000-0008-0000-0900-000002000000}"/>
            </a:ext>
          </a:extLst>
        </xdr:cNvPr>
        <xdr:cNvSpPr txBox="1">
          <a:spLocks noChangeArrowheads="1"/>
        </xdr:cNvSpPr>
      </xdr:nvSpPr>
      <xdr:spPr bwMode="auto">
        <a:xfrm>
          <a:off x="342900" y="60007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twoCellAnchor editAs="oneCell">
    <xdr:from>
      <xdr:col>0</xdr:col>
      <xdr:colOff>38100</xdr:colOff>
      <xdr:row>2</xdr:row>
      <xdr:rowOff>47625</xdr:rowOff>
    </xdr:from>
    <xdr:to>
      <xdr:col>0</xdr:col>
      <xdr:colOff>38100</xdr:colOff>
      <xdr:row>3</xdr:row>
      <xdr:rowOff>31115</xdr:rowOff>
    </xdr:to>
    <xdr:sp macro="" textlink="">
      <xdr:nvSpPr>
        <xdr:cNvPr id="3" name="txtGoTo">
          <a:extLst>
            <a:ext uri="{FF2B5EF4-FFF2-40B4-BE49-F238E27FC236}">
              <a16:creationId xmlns:a16="http://schemas.microsoft.com/office/drawing/2014/main" id="{00000000-0008-0000-0900-000003000000}"/>
            </a:ext>
          </a:extLst>
        </xdr:cNvPr>
        <xdr:cNvSpPr txBox="1">
          <a:spLocks noChangeArrowheads="1"/>
        </xdr:cNvSpPr>
      </xdr:nvSpPr>
      <xdr:spPr bwMode="auto">
        <a:xfrm>
          <a:off x="38100" y="60007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2</xdr:row>
      <xdr:rowOff>47625</xdr:rowOff>
    </xdr:from>
    <xdr:to>
      <xdr:col>0</xdr:col>
      <xdr:colOff>38100</xdr:colOff>
      <xdr:row>3</xdr:row>
      <xdr:rowOff>21590</xdr:rowOff>
    </xdr:to>
    <xdr:sp macro="" textlink="">
      <xdr:nvSpPr>
        <xdr:cNvPr id="2" name="txtGoTo">
          <a:extLst>
            <a:ext uri="{FF2B5EF4-FFF2-40B4-BE49-F238E27FC236}">
              <a16:creationId xmlns:a16="http://schemas.microsoft.com/office/drawing/2014/main" id="{00000000-0008-0000-0A00-000002000000}"/>
            </a:ext>
          </a:extLst>
        </xdr:cNvPr>
        <xdr:cNvSpPr txBox="1">
          <a:spLocks noChangeArrowheads="1"/>
        </xdr:cNvSpPr>
      </xdr:nvSpPr>
      <xdr:spPr bwMode="auto">
        <a:xfrm>
          <a:off x="38100" y="27622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twoCellAnchor>
    <xdr:from>
      <xdr:col>19</xdr:col>
      <xdr:colOff>0</xdr:colOff>
      <xdr:row>65535</xdr:row>
      <xdr:rowOff>0</xdr:rowOff>
    </xdr:from>
    <xdr:to>
      <xdr:col>19</xdr:col>
      <xdr:colOff>0</xdr:colOff>
      <xdr:row>65535</xdr:row>
      <xdr:rowOff>0</xdr:rowOff>
    </xdr:to>
    <xdr:sp macro="" textlink="">
      <xdr:nvSpPr>
        <xdr:cNvPr id="172907" name="Entreprenad">
          <a:extLst>
            <a:ext uri="{FF2B5EF4-FFF2-40B4-BE49-F238E27FC236}">
              <a16:creationId xmlns:a16="http://schemas.microsoft.com/office/drawing/2014/main" id="{00000000-0008-0000-0A00-00006BA30200}"/>
            </a:ext>
          </a:extLst>
        </xdr:cNvPr>
        <xdr:cNvSpPr txBox="1">
          <a:spLocks noChangeArrowheads="1"/>
        </xdr:cNvSpPr>
      </xdr:nvSpPr>
      <xdr:spPr bwMode="auto">
        <a:xfrm>
          <a:off x="14478000" y="7000875"/>
          <a:ext cx="0" cy="0"/>
        </a:xfrm>
        <a:prstGeom prst="rect">
          <a:avLst/>
        </a:prstGeom>
        <a:solidFill>
          <a:srgbClr val="FFFFFF"/>
        </a:solidFill>
        <a:ln w="9525">
          <a:solidFill>
            <a:srgbClr val="C0C0C0"/>
          </a:solidFill>
          <a:miter lim="800000"/>
          <a:headEnd/>
          <a:tailEnd/>
        </a:ln>
      </xdr:spPr>
    </xdr:sp>
    <xdr:clientData/>
  </xdr:twoCellAnchor>
  <xdr:twoCellAnchor>
    <xdr:from>
      <xdr:col>19</xdr:col>
      <xdr:colOff>0</xdr:colOff>
      <xdr:row>65535</xdr:row>
      <xdr:rowOff>0</xdr:rowOff>
    </xdr:from>
    <xdr:to>
      <xdr:col>19</xdr:col>
      <xdr:colOff>0</xdr:colOff>
      <xdr:row>65535</xdr:row>
      <xdr:rowOff>0</xdr:rowOff>
    </xdr:to>
    <xdr:sp macro="" textlink="">
      <xdr:nvSpPr>
        <xdr:cNvPr id="172908" name="Entreprenad">
          <a:extLst>
            <a:ext uri="{FF2B5EF4-FFF2-40B4-BE49-F238E27FC236}">
              <a16:creationId xmlns:a16="http://schemas.microsoft.com/office/drawing/2014/main" id="{00000000-0008-0000-0A00-00006CA30200}"/>
            </a:ext>
          </a:extLst>
        </xdr:cNvPr>
        <xdr:cNvSpPr txBox="1">
          <a:spLocks noChangeArrowheads="1"/>
        </xdr:cNvSpPr>
      </xdr:nvSpPr>
      <xdr:spPr bwMode="auto">
        <a:xfrm>
          <a:off x="14478000" y="7000875"/>
          <a:ext cx="0" cy="0"/>
        </a:xfrm>
        <a:prstGeom prst="rect">
          <a:avLst/>
        </a:prstGeom>
        <a:solidFill>
          <a:srgbClr val="FFFFFF"/>
        </a:solidFill>
        <a:ln w="9525">
          <a:solidFill>
            <a:srgbClr val="C0C0C0"/>
          </a:solidFill>
          <a:miter lim="800000"/>
          <a:headEnd/>
          <a:tailEnd/>
        </a:ln>
      </xdr:spPr>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BCBCBC"/>
          </a:solidFill>
          <a:miter lim="800000"/>
          <a:headEnd/>
          <a:tailEnd/>
        </a:ln>
      </a:spPr>
      <a:bodyPr/>
      <a:lstStyle>
        <a:defPPr>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7" Type="http://schemas.openxmlformats.org/officeDocument/2006/relationships/comments" Target="../comments5.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vmlDrawing" Target="../drawings/vmlDrawing5.vml"/><Relationship Id="rId5" Type="http://schemas.openxmlformats.org/officeDocument/2006/relationships/drawing" Target="../drawings/drawing6.xml"/><Relationship Id="rId4" Type="http://schemas.openxmlformats.org/officeDocument/2006/relationships/printerSettings" Target="../printerSettings/printerSettings3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drawing" Target="../drawings/drawing7.xml"/><Relationship Id="rId4"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openxmlformats.org/officeDocument/2006/relationships/comments" Target="../comments1.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drawing" Target="../drawings/drawing5.xml"/><Relationship Id="rId4" Type="http://schemas.openxmlformats.org/officeDocument/2006/relationships/printerSettings" Target="../printerSettings/printerSettings1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printerSettings" Target="../printerSettings/printerSettings2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pageSetUpPr fitToPage="1"/>
  </sheetPr>
  <dimension ref="A1:E50"/>
  <sheetViews>
    <sheetView tabSelected="1" zoomScaleNormal="100" workbookViewId="0">
      <selection sqref="A1:D1"/>
    </sheetView>
  </sheetViews>
  <sheetFormatPr defaultColWidth="0" defaultRowHeight="12.75" zeroHeight="1"/>
  <cols>
    <col min="1" max="1" width="22.5703125" customWidth="1"/>
    <col min="2" max="2" width="26.5703125" customWidth="1"/>
    <col min="3" max="3" width="20.5703125" customWidth="1"/>
    <col min="4" max="4" width="26.5703125" customWidth="1"/>
    <col min="5" max="5" width="12.42578125" style="343" customWidth="1"/>
  </cols>
  <sheetData>
    <row r="1" spans="1:5" s="344" customFormat="1">
      <c r="A1" s="2392"/>
      <c r="B1" s="2393"/>
      <c r="C1" s="2393"/>
      <c r="D1" s="2393"/>
      <c r="E1" s="1977"/>
    </row>
    <row r="2" spans="1:5" ht="15.75">
      <c r="A2" s="1978" t="s">
        <v>1245</v>
      </c>
      <c r="B2" s="1979"/>
      <c r="C2" s="1980"/>
      <c r="D2" s="1980"/>
      <c r="E2" s="1724"/>
    </row>
    <row r="3" spans="1:5" ht="15.75">
      <c r="A3" s="1981"/>
      <c r="B3" s="1982"/>
      <c r="C3" s="1980"/>
      <c r="D3" s="1980"/>
      <c r="E3" s="1724"/>
    </row>
    <row r="4" spans="1:5" ht="15.75">
      <c r="A4" s="1723" t="str">
        <f>"Invånare 30 nov. "&amp;År&amp;""</f>
        <v>Invånare 30 nov. 2025</v>
      </c>
      <c r="B4" s="1983">
        <v>10608.003000000001</v>
      </c>
      <c r="C4" s="1984">
        <v>10608003</v>
      </c>
      <c r="D4" s="1980"/>
      <c r="E4" s="1724"/>
    </row>
    <row r="5" spans="1:5" ht="19.5" customHeight="1">
      <c r="A5" s="1723" t="str">
        <f>"Inv. 7-15 år 30 nov. "&amp;År&amp;""</f>
        <v>Inv. 7-15 år 30 nov. 2025</v>
      </c>
      <c r="B5" s="1983">
        <v>1120.0609999999999</v>
      </c>
      <c r="C5" s="1984">
        <v>1120061</v>
      </c>
      <c r="D5" s="1980"/>
      <c r="E5" s="1724"/>
    </row>
    <row r="6" spans="1:5">
      <c r="A6" s="1724"/>
      <c r="B6" s="1724"/>
      <c r="C6" s="1724"/>
      <c r="D6" s="1724"/>
      <c r="E6" s="1724"/>
    </row>
    <row r="7" spans="1:5">
      <c r="A7" s="1724"/>
      <c r="B7" s="1724"/>
      <c r="C7" s="1724"/>
      <c r="D7" s="1724"/>
      <c r="E7" s="1724"/>
    </row>
    <row r="8" spans="1:5" ht="22.5" customHeight="1">
      <c r="A8" s="1724"/>
      <c r="B8" s="1724"/>
      <c r="C8" s="1724"/>
      <c r="D8" s="1724"/>
      <c r="E8" s="1724"/>
    </row>
    <row r="9" spans="1:5" ht="12.75" customHeight="1">
      <c r="A9" s="1724"/>
      <c r="B9" s="1724"/>
      <c r="C9" s="1724"/>
      <c r="D9" s="1724"/>
      <c r="E9" s="1724"/>
    </row>
    <row r="10" spans="1:5">
      <c r="A10" s="1724"/>
      <c r="B10" s="1724"/>
      <c r="C10" s="1724"/>
      <c r="D10" s="1724"/>
      <c r="E10" s="1724"/>
    </row>
    <row r="11" spans="1:5">
      <c r="A11" s="1724"/>
      <c r="B11" s="1724"/>
      <c r="C11" s="1724"/>
      <c r="D11" s="1724"/>
      <c r="E11" s="1724"/>
    </row>
    <row r="12" spans="1:5" ht="33">
      <c r="A12" s="1985" t="s">
        <v>1246</v>
      </c>
      <c r="B12" s="1724"/>
      <c r="C12" s="1724"/>
      <c r="D12" s="1724"/>
      <c r="E12" s="1724"/>
    </row>
    <row r="13" spans="1:5">
      <c r="A13" s="1724"/>
      <c r="B13" s="1724"/>
      <c r="C13" s="1724"/>
      <c r="D13" s="1724"/>
      <c r="E13" s="1724"/>
    </row>
    <row r="14" spans="1:5" ht="33">
      <c r="A14" s="1985" t="s">
        <v>1247</v>
      </c>
      <c r="B14" s="1724"/>
      <c r="C14" s="1724"/>
      <c r="D14" s="1724"/>
      <c r="E14" s="1724"/>
    </row>
    <row r="15" spans="1:5">
      <c r="A15" s="1724"/>
      <c r="B15" s="1724"/>
      <c r="C15" s="1724"/>
      <c r="D15" s="1724"/>
      <c r="E15" s="1724"/>
    </row>
    <row r="16" spans="1:5">
      <c r="A16" s="1724"/>
      <c r="B16" s="1724"/>
      <c r="C16" s="1724"/>
      <c r="D16" s="1724"/>
      <c r="E16" s="1724"/>
    </row>
    <row r="17" spans="1:5">
      <c r="A17" s="1724"/>
      <c r="B17" s="1724"/>
      <c r="C17" s="1724"/>
      <c r="D17" s="1724"/>
      <c r="E17" s="1724"/>
    </row>
    <row r="18" spans="1:5" ht="13.35" customHeight="1">
      <c r="A18" s="1724"/>
      <c r="B18" s="1724"/>
      <c r="C18" s="1724"/>
      <c r="D18" s="1724"/>
      <c r="E18" s="1724"/>
    </row>
    <row r="19" spans="1:5">
      <c r="A19" s="1724"/>
      <c r="B19" s="1724"/>
      <c r="C19" s="1724"/>
      <c r="D19" s="1724"/>
      <c r="E19" s="1724"/>
    </row>
    <row r="20" spans="1:5">
      <c r="A20" s="1724"/>
      <c r="B20" s="1724"/>
      <c r="C20" s="1724"/>
      <c r="D20" s="1724"/>
      <c r="E20" s="1724"/>
    </row>
    <row r="21" spans="1:5">
      <c r="A21" s="1724"/>
      <c r="B21" s="1724"/>
      <c r="C21" s="1724"/>
      <c r="D21" s="1724"/>
      <c r="E21" s="1724"/>
    </row>
    <row r="22" spans="1:5">
      <c r="A22" s="1724"/>
      <c r="B22" s="1724"/>
      <c r="C22" s="1724"/>
      <c r="D22" s="1724"/>
      <c r="E22" s="1724"/>
    </row>
    <row r="23" spans="1:5">
      <c r="A23" s="1724"/>
      <c r="B23" s="1724"/>
      <c r="C23" s="1724"/>
      <c r="D23" s="1724"/>
      <c r="E23" s="1724"/>
    </row>
    <row r="24" spans="1:5">
      <c r="A24" s="1724"/>
      <c r="B24" s="1724"/>
      <c r="C24" s="1724"/>
      <c r="D24" s="1724"/>
      <c r="E24" s="1724"/>
    </row>
    <row r="25" spans="1:5">
      <c r="A25" s="1724"/>
      <c r="B25" s="1724"/>
      <c r="C25" s="1724"/>
      <c r="D25" s="1724"/>
      <c r="E25" s="1724"/>
    </row>
    <row r="26" spans="1:5">
      <c r="A26" s="1724"/>
      <c r="B26" s="1724"/>
      <c r="C26" s="1724"/>
      <c r="D26" s="1724"/>
      <c r="E26" s="1724"/>
    </row>
    <row r="27" spans="1:5">
      <c r="A27" s="1724"/>
      <c r="B27" s="1724"/>
      <c r="C27" s="1724"/>
      <c r="D27" s="1724"/>
      <c r="E27" s="1724"/>
    </row>
    <row r="28" spans="1:5">
      <c r="A28" s="1724"/>
      <c r="B28" s="1724"/>
      <c r="C28" s="1724"/>
      <c r="D28" s="1724"/>
      <c r="E28" s="1724"/>
    </row>
    <row r="29" spans="1:5">
      <c r="A29" s="1724"/>
      <c r="B29" s="1724"/>
      <c r="C29" s="1724"/>
      <c r="D29" s="1724"/>
      <c r="E29" s="1724"/>
    </row>
    <row r="30" spans="1:5">
      <c r="A30" s="1724"/>
      <c r="B30" s="1724"/>
      <c r="C30" s="1724"/>
      <c r="D30" s="1724"/>
      <c r="E30" s="1724"/>
    </row>
    <row r="31" spans="1:5">
      <c r="A31" s="1724"/>
      <c r="B31" s="1724"/>
      <c r="C31" s="1724"/>
      <c r="D31" s="1724"/>
      <c r="E31" s="1724"/>
    </row>
    <row r="32" spans="1:5">
      <c r="A32" s="1724"/>
      <c r="B32" s="1724"/>
      <c r="C32" s="1724"/>
      <c r="D32" s="1724"/>
      <c r="E32" s="1724"/>
    </row>
    <row r="33" spans="1:5">
      <c r="A33" s="1724"/>
      <c r="B33" s="1724"/>
      <c r="C33" s="1724"/>
      <c r="D33" s="1724"/>
      <c r="E33" s="1724"/>
    </row>
    <row r="34" spans="1:5">
      <c r="A34" s="1724"/>
      <c r="B34" s="1724"/>
      <c r="C34" s="1724"/>
      <c r="D34" s="1724"/>
      <c r="E34" s="1724"/>
    </row>
    <row r="35" spans="1:5">
      <c r="A35" s="1724"/>
      <c r="B35" s="1724"/>
      <c r="C35" s="1724"/>
      <c r="D35" s="1724"/>
      <c r="E35" s="1724"/>
    </row>
    <row r="36" spans="1:5">
      <c r="A36" s="1724"/>
      <c r="B36" s="1724"/>
      <c r="C36" s="1724"/>
      <c r="D36" s="1724"/>
      <c r="E36" s="1724"/>
    </row>
    <row r="37" spans="1:5">
      <c r="A37" s="1724"/>
      <c r="B37" s="1724"/>
      <c r="C37" s="1724"/>
      <c r="D37" s="1724"/>
      <c r="E37" s="1724"/>
    </row>
    <row r="38" spans="1:5">
      <c r="A38" s="1724"/>
      <c r="B38" s="1724"/>
      <c r="C38" s="1724"/>
      <c r="D38" s="1724"/>
      <c r="E38" s="1724"/>
    </row>
    <row r="39" spans="1:5">
      <c r="A39" s="1724"/>
      <c r="B39" s="1724"/>
      <c r="C39" s="1724"/>
      <c r="D39" s="1724"/>
      <c r="E39" s="1724"/>
    </row>
    <row r="40" spans="1:5">
      <c r="A40" s="1724"/>
      <c r="B40" s="1724"/>
      <c r="C40" s="1724"/>
      <c r="D40" s="1724"/>
      <c r="E40" s="1724"/>
    </row>
    <row r="41" spans="1:5">
      <c r="A41" s="1724"/>
      <c r="B41" s="1724"/>
      <c r="C41" s="1724"/>
      <c r="D41" s="1724"/>
      <c r="E41" s="1724"/>
    </row>
    <row r="42" spans="1:5">
      <c r="A42" s="1724"/>
      <c r="B42" s="1724"/>
      <c r="C42" s="1724"/>
      <c r="D42" s="1724"/>
      <c r="E42" s="1724"/>
    </row>
    <row r="43" spans="1:5">
      <c r="A43" s="1724"/>
      <c r="B43" s="1724"/>
      <c r="C43" s="1724"/>
      <c r="D43" s="1724"/>
      <c r="E43" s="1724"/>
    </row>
    <row r="44" spans="1:5">
      <c r="A44" s="1724"/>
      <c r="B44" s="1724"/>
      <c r="C44" s="1724"/>
      <c r="D44" s="1724"/>
      <c r="E44" s="1724"/>
    </row>
    <row r="45" spans="1:5">
      <c r="A45" s="1724"/>
      <c r="B45" s="1724"/>
      <c r="C45" s="1724"/>
      <c r="D45" s="1724"/>
      <c r="E45" s="1724"/>
    </row>
    <row r="46" spans="1:5">
      <c r="A46" s="1724"/>
      <c r="B46" s="1724"/>
      <c r="C46" s="1724"/>
      <c r="D46" s="1724"/>
      <c r="E46" s="1724"/>
    </row>
    <row r="47" spans="1:5">
      <c r="A47" s="1724"/>
      <c r="B47" s="1724"/>
      <c r="C47" s="1724"/>
      <c r="D47" s="1724"/>
      <c r="E47" s="1724"/>
    </row>
    <row r="48" spans="1:5">
      <c r="A48" s="1724"/>
      <c r="B48" s="1724"/>
      <c r="C48" s="1724"/>
      <c r="D48" s="1724"/>
      <c r="E48" s="1724"/>
    </row>
    <row r="49" spans="1:5">
      <c r="A49" s="1986"/>
      <c r="B49" s="1724"/>
      <c r="C49" s="1724"/>
      <c r="D49" s="1724"/>
      <c r="E49" s="1724"/>
    </row>
    <row r="50" spans="1:5" s="250" customFormat="1" ht="54.75" customHeight="1">
      <c r="A50" s="1987" t="s">
        <v>1250</v>
      </c>
      <c r="B50" s="1988"/>
      <c r="C50" s="1988"/>
      <c r="D50" s="1988"/>
      <c r="E50" s="1988"/>
    </row>
  </sheetData>
  <customSheetViews>
    <customSheetView guid="{97D6DB71-3F4C-4C5F-8C5B-51E3EBF78932}" showPageBreaks="1" fitToPage="1" hiddenRows="1" hiddenColumns="1">
      <selection activeCell="B4" sqref="B4"/>
      <pageMargins left="0.70866141732283472" right="0.70866141732283472" top="0.74803149606299213" bottom="0.74803149606299213" header="0.31496062992125984" footer="0.31496062992125984"/>
      <pageSetup paperSize="9" scale="71" orientation="portrait" r:id="rId1"/>
    </customSheetView>
    <customSheetView guid="{99FBDEB7-DD08-4F57-81F4-3C180403E153}" fitToPage="1" hiddenRows="1" hiddenColumns="1">
      <selection activeCell="B4" sqref="B4"/>
      <pageMargins left="0.70866141732283472" right="0.70866141732283472" top="0.74803149606299213" bottom="0.74803149606299213" header="0.31496062992125984" footer="0.31496062992125984"/>
      <pageSetup paperSize="9" scale="65" orientation="portrait" r:id="rId2"/>
    </customSheetView>
    <customSheetView guid="{27C9E95B-0E2B-454F-B637-1CECC9579A10}" fitToPage="1" hiddenRows="1" hiddenColumns="1" showRuler="0">
      <selection activeCell="D3" sqref="D3"/>
      <pageMargins left="0.70866141732283472" right="0.70866141732283472" top="0.74803149606299213" bottom="0.74803149606299213" header="0.31496062992125984" footer="0.31496062992125984"/>
      <pageSetup paperSize="9" scale="65" orientation="portrait" r:id="rId3"/>
      <headerFooter alignWithMargins="0"/>
    </customSheetView>
  </customSheetViews>
  <mergeCells count="1">
    <mergeCell ref="A1:D1"/>
  </mergeCells>
  <phoneticPr fontId="90" type="noConversion"/>
  <pageMargins left="0.70866141732283472" right="0.48" top="0.74803149606299213" bottom="0.74803149606299213" header="0.31496062992125984" footer="0.31496062992125984"/>
  <pageSetup paperSize="9" scale="84" orientation="portrait"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2">
    <tabColor rgb="FFFFFF00"/>
  </sheetPr>
  <dimension ref="A1:V62"/>
  <sheetViews>
    <sheetView showGridLines="0" zoomScaleNormal="100" workbookViewId="0">
      <pane xSplit="2" ySplit="11" topLeftCell="C12" activePane="bottomRight" state="frozen"/>
      <selection activeCell="F36" sqref="F36"/>
      <selection pane="topRight" activeCell="F36" sqref="F36"/>
      <selection pane="bottomLeft" activeCell="F36" sqref="F36"/>
      <selection pane="bottomRight"/>
    </sheetView>
  </sheetViews>
  <sheetFormatPr defaultColWidth="0" defaultRowHeight="0" customHeight="1" zeroHeight="1"/>
  <cols>
    <col min="1" max="1" width="5.42578125" style="226" customWidth="1"/>
    <col min="2" max="2" width="32.5703125" style="227" customWidth="1"/>
    <col min="3" max="3" width="11.42578125" style="226" customWidth="1"/>
    <col min="4" max="4" width="9.42578125" style="226" customWidth="1"/>
    <col min="5" max="7" width="8.5703125" style="226" customWidth="1"/>
    <col min="8" max="8" width="10" style="226" customWidth="1"/>
    <col min="9" max="9" width="9.5703125" style="226" customWidth="1"/>
    <col min="10" max="10" width="10" style="226" customWidth="1"/>
    <col min="11" max="11" width="9.5703125" style="226" customWidth="1"/>
    <col min="12" max="14" width="10.42578125" style="226" customWidth="1"/>
    <col min="15" max="15" width="8" style="229" customWidth="1"/>
    <col min="16" max="16" width="2.5703125" style="226" customWidth="1"/>
    <col min="17" max="17" width="7" style="230" customWidth="1"/>
    <col min="18" max="18" width="18.5703125" style="226" customWidth="1"/>
    <col min="19" max="19" width="4.42578125" style="226" customWidth="1"/>
    <col min="20" max="20" width="14.5703125" style="226" customWidth="1"/>
    <col min="21" max="22" width="9.42578125" style="226" customWidth="1"/>
    <col min="23" max="16384" width="0" style="226" hidden="1"/>
  </cols>
  <sheetData>
    <row r="1" spans="1:22" ht="21.75">
      <c r="A1" s="118" t="str">
        <f>"Specificering vård och omsorg om äldre och personer med funktionsnedsättning "&amp;År&amp;", miljoner kronor"</f>
        <v>Specificering vård och omsorg om äldre och personer med funktionsnedsättning 2025, miljoner kronor</v>
      </c>
      <c r="B1" s="119"/>
      <c r="C1" s="119"/>
      <c r="D1" s="224"/>
      <c r="E1" s="224"/>
      <c r="F1" s="224"/>
      <c r="G1" s="224"/>
      <c r="H1" s="224"/>
      <c r="I1" s="224"/>
      <c r="J1" s="224"/>
      <c r="K1" s="224"/>
      <c r="L1" s="224"/>
      <c r="M1" s="224"/>
      <c r="N1" s="224"/>
      <c r="O1" s="438" t="s">
        <v>446</v>
      </c>
      <c r="P1" s="439" t="str">
        <f>Information!A2</f>
        <v>RIKSTOTAL</v>
      </c>
      <c r="Q1" s="225"/>
      <c r="R1" s="224"/>
      <c r="S1" s="224"/>
      <c r="T1" s="224"/>
      <c r="U1" s="224"/>
    </row>
    <row r="2" spans="1:22" ht="12.75">
      <c r="A2" s="1989"/>
      <c r="B2" s="1989"/>
      <c r="C2" s="1989"/>
      <c r="D2" s="1989"/>
      <c r="E2" s="1989"/>
      <c r="F2" s="1989"/>
      <c r="G2" s="1989"/>
      <c r="H2" s="1989"/>
      <c r="I2" s="1989"/>
      <c r="J2" s="1989"/>
      <c r="K2" s="1989"/>
      <c r="L2" s="1989"/>
      <c r="M2" s="1989"/>
      <c r="N2" s="1989"/>
      <c r="O2" s="1989"/>
      <c r="P2" s="1989"/>
      <c r="Q2" s="1989"/>
      <c r="R2" s="1989"/>
      <c r="S2" s="1989"/>
      <c r="T2" s="1989"/>
      <c r="U2" s="1989"/>
      <c r="V2" s="1989"/>
    </row>
    <row r="3" spans="1:22" ht="12.6" customHeight="1" thickBot="1">
      <c r="A3" s="1989"/>
      <c r="B3" s="1989"/>
      <c r="C3" s="1989"/>
      <c r="D3" s="1989"/>
      <c r="E3" s="1989"/>
      <c r="F3" s="1989"/>
      <c r="G3" s="1989"/>
      <c r="H3" s="1989"/>
      <c r="I3" s="1989"/>
      <c r="J3" s="1989"/>
      <c r="K3" s="1989"/>
      <c r="L3" s="1989"/>
      <c r="M3" s="1989"/>
      <c r="N3" s="1989"/>
      <c r="O3" s="1989"/>
      <c r="P3" s="1989"/>
      <c r="Q3" s="1989"/>
      <c r="R3" s="1989"/>
      <c r="S3" s="1989"/>
      <c r="T3" s="1989"/>
      <c r="U3" s="1989"/>
      <c r="V3" s="1989"/>
    </row>
    <row r="4" spans="1:22" ht="12.75">
      <c r="A4" s="990" t="s">
        <v>604</v>
      </c>
      <c r="B4" s="991" t="s">
        <v>13</v>
      </c>
      <c r="C4" s="1369" t="s">
        <v>897</v>
      </c>
      <c r="D4" s="1369"/>
      <c r="E4" s="1561"/>
      <c r="F4" s="1204" t="s">
        <v>37</v>
      </c>
      <c r="G4" s="993"/>
      <c r="H4" s="993"/>
      <c r="I4" s="992"/>
      <c r="J4" s="1206" t="s">
        <v>38</v>
      </c>
      <c r="K4" s="1205" t="s">
        <v>895</v>
      </c>
      <c r="L4" s="1705" t="s">
        <v>964</v>
      </c>
      <c r="M4" s="1419" t="s">
        <v>904</v>
      </c>
      <c r="N4" s="1416"/>
      <c r="O4" s="2511" t="str">
        <f>"Förändring kostnader för eget åtagande "&amp;År-1&amp;"-"&amp;År&amp;" procent"</f>
        <v>Förändring kostnader för eget åtagande 2024-2025 procent</v>
      </c>
      <c r="P4" s="1989"/>
      <c r="Q4" s="2301"/>
      <c r="R4" s="2319"/>
      <c r="S4" s="1989"/>
      <c r="T4" s="1989"/>
      <c r="U4" s="1989"/>
      <c r="V4" s="1989"/>
    </row>
    <row r="5" spans="1:22" ht="17.100000000000001" customHeight="1">
      <c r="A5" s="994" t="s">
        <v>606</v>
      </c>
      <c r="B5" s="995"/>
      <c r="C5" s="1164" t="s">
        <v>41</v>
      </c>
      <c r="D5" s="1164"/>
      <c r="E5" s="999"/>
      <c r="F5" s="996"/>
      <c r="G5" s="2338"/>
      <c r="H5" s="997"/>
      <c r="I5" s="998"/>
      <c r="J5" s="1207" t="s">
        <v>40</v>
      </c>
      <c r="K5" s="1434" t="s">
        <v>910</v>
      </c>
      <c r="L5" s="1706" t="s">
        <v>42</v>
      </c>
      <c r="M5" s="1418" t="s">
        <v>903</v>
      </c>
      <c r="N5" s="1417"/>
      <c r="O5" s="2512"/>
      <c r="P5" s="1989"/>
      <c r="Q5" s="2302"/>
      <c r="R5" s="2320"/>
      <c r="S5" s="1989"/>
      <c r="T5" s="1989"/>
      <c r="U5" s="1989"/>
      <c r="V5" s="1989"/>
    </row>
    <row r="6" spans="1:22" ht="30.95" customHeight="1">
      <c r="A6" s="1001"/>
      <c r="B6" s="1002"/>
      <c r="C6" s="1395"/>
      <c r="D6" s="2535" t="s">
        <v>963</v>
      </c>
      <c r="E6" s="2535" t="s">
        <v>990</v>
      </c>
      <c r="F6" s="2528" t="s">
        <v>664</v>
      </c>
      <c r="G6" s="2530" t="s">
        <v>788</v>
      </c>
      <c r="H6" s="2532" t="s">
        <v>456</v>
      </c>
      <c r="I6" s="2537" t="s">
        <v>1024</v>
      </c>
      <c r="J6" s="999"/>
      <c r="K6" s="1433" t="s">
        <v>909</v>
      </c>
      <c r="L6" s="1562"/>
      <c r="M6" s="1664"/>
      <c r="N6" s="1430"/>
      <c r="O6" s="2512"/>
      <c r="P6" s="1989"/>
      <c r="Q6" s="2513" t="str">
        <f>"Nämnare nyckeltal"</f>
        <v>Nämnare nyckeltal</v>
      </c>
      <c r="R6" s="2514"/>
      <c r="S6" s="1989"/>
      <c r="T6" s="1989"/>
      <c r="U6" s="1989"/>
      <c r="V6" s="1989"/>
    </row>
    <row r="7" spans="1:22" ht="21" customHeight="1">
      <c r="A7" s="1004"/>
      <c r="B7" s="1002"/>
      <c r="C7" s="1164"/>
      <c r="D7" s="2539"/>
      <c r="E7" s="2536"/>
      <c r="F7" s="2529"/>
      <c r="G7" s="2531"/>
      <c r="H7" s="2533"/>
      <c r="I7" s="2538"/>
      <c r="J7" s="999"/>
      <c r="K7" s="1422" t="s">
        <v>905</v>
      </c>
      <c r="L7" s="1567" t="s">
        <v>901</v>
      </c>
      <c r="M7" s="1568" t="s">
        <v>908</v>
      </c>
      <c r="N7" s="1429" t="s">
        <v>908</v>
      </c>
      <c r="O7" s="2289"/>
      <c r="P7" s="1989"/>
      <c r="Q7" s="2515"/>
      <c r="R7" s="2514"/>
      <c r="S7" s="1989"/>
      <c r="T7" s="1989"/>
      <c r="U7" s="1989"/>
      <c r="V7" s="1989"/>
    </row>
    <row r="8" spans="1:22" ht="11.25" customHeight="1">
      <c r="A8" s="1004"/>
      <c r="B8" s="1005"/>
      <c r="C8" s="999"/>
      <c r="D8" s="999"/>
      <c r="E8" s="999"/>
      <c r="F8" s="1003"/>
      <c r="G8" s="1689"/>
      <c r="H8" s="1689"/>
      <c r="I8" s="1210"/>
      <c r="J8" s="999"/>
      <c r="K8" s="1163" t="s">
        <v>1025</v>
      </c>
      <c r="L8" s="1569"/>
      <c r="M8" s="1570">
        <f>År</f>
        <v>2025</v>
      </c>
      <c r="N8" s="1421">
        <f>År-1</f>
        <v>2024</v>
      </c>
      <c r="O8" s="2290"/>
      <c r="P8" s="1989"/>
      <c r="Q8" s="2303"/>
      <c r="R8" s="2321"/>
      <c r="S8" s="1989"/>
      <c r="T8" s="1989"/>
      <c r="U8" s="1989"/>
      <c r="V8" s="1989"/>
    </row>
    <row r="9" spans="1:22" ht="20.25" customHeight="1">
      <c r="A9" s="1004"/>
      <c r="B9" s="1002"/>
      <c r="C9" s="999"/>
      <c r="D9" s="2540" t="s">
        <v>1046</v>
      </c>
      <c r="E9" s="1405" t="s">
        <v>767</v>
      </c>
      <c r="F9" s="1404" t="s">
        <v>797</v>
      </c>
      <c r="G9" s="1403" t="s">
        <v>45</v>
      </c>
      <c r="H9" s="2534" t="s">
        <v>787</v>
      </c>
      <c r="I9" s="1850" t="s">
        <v>1027</v>
      </c>
      <c r="J9" s="1000"/>
      <c r="K9" s="1774" t="s">
        <v>1026</v>
      </c>
      <c r="L9" s="1690"/>
      <c r="M9" s="1571"/>
      <c r="N9" s="1420"/>
      <c r="O9" s="2290"/>
      <c r="P9" s="1989"/>
      <c r="Q9" s="2304"/>
      <c r="R9" s="2322"/>
      <c r="S9" s="1989"/>
      <c r="T9" s="1989"/>
      <c r="U9" s="1989"/>
      <c r="V9" s="1989"/>
    </row>
    <row r="10" spans="1:22" ht="12.75" customHeight="1">
      <c r="A10" s="1004"/>
      <c r="B10" s="1007"/>
      <c r="C10" s="999"/>
      <c r="D10" s="2541"/>
      <c r="E10" s="999"/>
      <c r="F10" s="1220"/>
      <c r="G10" s="1406"/>
      <c r="H10" s="2495"/>
      <c r="I10" s="1397"/>
      <c r="J10" s="1000"/>
      <c r="K10" s="1163" t="s">
        <v>1022</v>
      </c>
      <c r="L10" s="1563"/>
      <c r="M10" s="1431"/>
      <c r="N10" s="1432"/>
      <c r="O10" s="2291"/>
      <c r="P10" s="1989"/>
      <c r="Q10" s="2305"/>
      <c r="R10" s="2323"/>
      <c r="S10" s="1989"/>
      <c r="T10" s="1989"/>
      <c r="U10" s="1989"/>
      <c r="V10" s="1989"/>
    </row>
    <row r="11" spans="1:22" ht="12.75">
      <c r="A11" s="1008"/>
      <c r="B11" s="1221"/>
      <c r="C11" s="1009"/>
      <c r="D11" s="1009"/>
      <c r="E11" s="1396"/>
      <c r="F11" s="1220"/>
      <c r="G11" s="1407"/>
      <c r="H11" s="2496"/>
      <c r="I11" s="1398"/>
      <c r="J11" s="1010"/>
      <c r="K11" s="1791" t="s">
        <v>1023</v>
      </c>
      <c r="L11" s="1564"/>
      <c r="M11" s="1559"/>
      <c r="N11" s="1560"/>
      <c r="O11" s="2292"/>
      <c r="P11" s="1989"/>
      <c r="Q11" s="2306"/>
      <c r="R11" s="2292"/>
      <c r="S11" s="1989"/>
      <c r="T11" s="1989"/>
      <c r="U11" s="1989"/>
      <c r="V11" s="1989"/>
    </row>
    <row r="12" spans="1:22" ht="12.75">
      <c r="A12" s="1011">
        <v>510</v>
      </c>
      <c r="B12" s="1012" t="s">
        <v>476</v>
      </c>
      <c r="C12" s="269">
        <f>Drift!P73</f>
        <v>183467.13199999998</v>
      </c>
      <c r="D12" s="269">
        <f>SUM(Drift!C73:D73)</f>
        <v>102886.05</v>
      </c>
      <c r="E12" s="269">
        <f>Drift!F73</f>
        <v>26867.627</v>
      </c>
      <c r="F12" s="269">
        <f>Drift!R73</f>
        <v>7630.058</v>
      </c>
      <c r="G12" s="269">
        <f>Drift!S73</f>
        <v>5320.62</v>
      </c>
      <c r="H12" s="269">
        <f>Drift!T73</f>
        <v>13484.147000000001</v>
      </c>
      <c r="I12" s="269">
        <f>Motpart!Y29+Motpart!Z29</f>
        <v>619.09</v>
      </c>
      <c r="J12" s="269">
        <f>Drift!V73</f>
        <v>13551.65</v>
      </c>
      <c r="K12" s="1558">
        <f t="shared" ref="K12:K19" si="0">C12-I12-J12</f>
        <v>169296.39199999999</v>
      </c>
      <c r="L12" s="1028">
        <f t="shared" ref="L12:L19" si="1">C12-SUM(F12:H12,J12)</f>
        <v>143480.65699999998</v>
      </c>
      <c r="M12" s="1029">
        <f>IF(C12&gt;0,K12*1000000/Q12,"")</f>
        <v>75470.32522028622</v>
      </c>
      <c r="N12" s="1566">
        <v>75268.534</v>
      </c>
      <c r="O12" s="2293"/>
      <c r="P12" s="1989"/>
      <c r="Q12" s="2307">
        <v>2243218</v>
      </c>
      <c r="R12" s="2324" t="s">
        <v>984</v>
      </c>
      <c r="S12" s="1989"/>
      <c r="T12" s="1989"/>
      <c r="U12" s="1989"/>
      <c r="V12" s="1989"/>
    </row>
    <row r="13" spans="1:22" ht="13.5" customHeight="1">
      <c r="A13" s="1013">
        <v>5101</v>
      </c>
      <c r="B13" s="1014" t="s">
        <v>433</v>
      </c>
      <c r="C13" s="120">
        <v>64271.788999999997</v>
      </c>
      <c r="D13" s="120">
        <v>39757.517</v>
      </c>
      <c r="E13" s="120">
        <v>8580.3529999999992</v>
      </c>
      <c r="F13" s="120">
        <v>3706.7649999999999</v>
      </c>
      <c r="G13" s="1039"/>
      <c r="H13" s="120">
        <v>3881.0340000000001</v>
      </c>
      <c r="I13" s="120">
        <v>226.46899999999999</v>
      </c>
      <c r="J13" s="120">
        <v>5149.1149999999998</v>
      </c>
      <c r="K13" s="1028">
        <f t="shared" si="0"/>
        <v>58896.205000000002</v>
      </c>
      <c r="L13" s="1028">
        <f t="shared" si="1"/>
        <v>51534.875</v>
      </c>
      <c r="M13" s="1029">
        <f>IF(C13&gt;0,K13*1000000/Q12,"")</f>
        <v>26255.230209458019</v>
      </c>
      <c r="N13" s="1029">
        <v>26115.307000000001</v>
      </c>
      <c r="O13" s="2294">
        <f t="shared" ref="O13:O18" si="2">IF(ISERROR((M13-N13)/N13),"",((M13-N13)/N13))</f>
        <v>5.3579002329177438E-3</v>
      </c>
      <c r="P13" s="1989"/>
      <c r="Q13" s="2308"/>
      <c r="R13" s="2325"/>
      <c r="S13" s="1989"/>
      <c r="T13" s="1989"/>
      <c r="U13" s="1989"/>
      <c r="V13" s="1989"/>
    </row>
    <row r="14" spans="1:22" ht="13.5" customHeight="1">
      <c r="A14" s="1013">
        <v>5103</v>
      </c>
      <c r="B14" s="1014" t="s">
        <v>723</v>
      </c>
      <c r="C14" s="231">
        <v>8697.1440000000002</v>
      </c>
      <c r="D14" s="120">
        <v>5192.5159999999996</v>
      </c>
      <c r="E14" s="231">
        <v>696.49400000000003</v>
      </c>
      <c r="F14" s="120">
        <v>254.59800000000001</v>
      </c>
      <c r="G14" s="231">
        <v>44.402000000000001</v>
      </c>
      <c r="H14" s="120">
        <v>578.43899999999996</v>
      </c>
      <c r="I14" s="231">
        <v>44.26</v>
      </c>
      <c r="J14" s="120">
        <v>635.51099999999997</v>
      </c>
      <c r="K14" s="1028">
        <f>C14-I14-J14</f>
        <v>8017.3729999999996</v>
      </c>
      <c r="L14" s="1028">
        <f t="shared" si="1"/>
        <v>7184.1940000000004</v>
      </c>
      <c r="M14" s="1030">
        <f>IF(C14&gt;0,K14*1000000/Q12,"")</f>
        <v>3574.0498694286512</v>
      </c>
      <c r="N14" s="1030">
        <v>3626.35</v>
      </c>
      <c r="O14" s="2294">
        <f t="shared" si="2"/>
        <v>-1.4422251181311442E-2</v>
      </c>
      <c r="P14" s="1989"/>
      <c r="Q14" s="2309"/>
      <c r="R14" s="2521" t="str">
        <f>"För minst en delv-ht inom v-het 510 redovisades kostnader föregående år men inte i år. Har kommunen inte verksamheten(-erna)? Lämna förklarande kommentar"</f>
        <v>För minst en delv-ht inom v-het 510 redovisades kostnader föregående år men inte i år. Har kommunen inte verksamheten(-erna)? Lämna förklarande kommentar</v>
      </c>
      <c r="S14" s="1989"/>
      <c r="T14" s="1989"/>
      <c r="U14" s="1989"/>
      <c r="V14" s="1989"/>
    </row>
    <row r="15" spans="1:22" ht="13.5" customHeight="1">
      <c r="A15" s="1013">
        <v>5104</v>
      </c>
      <c r="B15" s="1014" t="s">
        <v>434</v>
      </c>
      <c r="C15" s="231">
        <v>1769.0250000000001</v>
      </c>
      <c r="D15" s="231">
        <v>1036.01</v>
      </c>
      <c r="E15" s="231">
        <v>89.817999999999998</v>
      </c>
      <c r="F15" s="231">
        <v>57.167999999999999</v>
      </c>
      <c r="G15" s="1039"/>
      <c r="H15" s="231">
        <v>120.17</v>
      </c>
      <c r="I15" s="231">
        <v>1.141</v>
      </c>
      <c r="J15" s="231">
        <v>110.893</v>
      </c>
      <c r="K15" s="1028">
        <f>C15-I15-J15</f>
        <v>1656.991</v>
      </c>
      <c r="L15" s="1028">
        <f t="shared" si="1"/>
        <v>1480.7940000000001</v>
      </c>
      <c r="M15" s="1030">
        <f>IF(C15&gt;0,K15*1000000/Q12,"")</f>
        <v>738.66695078231362</v>
      </c>
      <c r="N15" s="1030">
        <v>735.57799999999997</v>
      </c>
      <c r="O15" s="2294">
        <f>IF(ISERROR((M15-N15)/N15),"",((M15-N15)/N15))</f>
        <v>4.1993517782120257E-3</v>
      </c>
      <c r="P15" s="1989"/>
      <c r="Q15" s="2309"/>
      <c r="R15" s="2521"/>
      <c r="S15" s="1989"/>
      <c r="T15" s="1989"/>
      <c r="U15" s="1989"/>
      <c r="V15" s="1989"/>
    </row>
    <row r="16" spans="1:22" ht="13.5" customHeight="1">
      <c r="A16" s="2333">
        <v>5102</v>
      </c>
      <c r="B16" s="2099" t="s">
        <v>1191</v>
      </c>
      <c r="C16" s="120">
        <v>103756.444</v>
      </c>
      <c r="D16" s="120">
        <v>55176.499000000003</v>
      </c>
      <c r="E16" s="120">
        <v>16980.297999999999</v>
      </c>
      <c r="F16" s="120">
        <v>3526.5419999999999</v>
      </c>
      <c r="G16" s="120">
        <v>5103.018</v>
      </c>
      <c r="H16" s="120">
        <v>8415.6309999999994</v>
      </c>
      <c r="I16" s="120">
        <v>325.959</v>
      </c>
      <c r="J16" s="120">
        <v>7234.6949999999997</v>
      </c>
      <c r="K16" s="1028">
        <f>C16-I16-J16</f>
        <v>96195.790000000008</v>
      </c>
      <c r="L16" s="1028">
        <f t="shared" si="1"/>
        <v>79476.558000000005</v>
      </c>
      <c r="M16" s="1030">
        <f>IF(C16&gt;0,K16*1000000/Q12,"")</f>
        <v>42882.943164685741</v>
      </c>
      <c r="N16" s="1030"/>
      <c r="O16" s="2294" t="str">
        <f>IF(ISERROR((M16-N16)/N16),"",((M16-N16)/N16))</f>
        <v/>
      </c>
      <c r="P16" s="1989"/>
      <c r="Q16" s="2310"/>
      <c r="R16" s="2521"/>
      <c r="S16" s="1989"/>
      <c r="T16" s="1989"/>
      <c r="U16" s="1989"/>
      <c r="V16" s="1989"/>
    </row>
    <row r="17" spans="1:22" ht="13.5" customHeight="1">
      <c r="A17" s="2333">
        <v>5107</v>
      </c>
      <c r="B17" s="2099" t="s">
        <v>1192</v>
      </c>
      <c r="C17" s="231">
        <v>938.69</v>
      </c>
      <c r="D17" s="120">
        <v>191.39599999999999</v>
      </c>
      <c r="E17" s="120">
        <v>339.53899999999999</v>
      </c>
      <c r="F17" s="120">
        <v>21.707999999999998</v>
      </c>
      <c r="G17" s="120">
        <v>63.018000000000001</v>
      </c>
      <c r="H17" s="120">
        <v>77.167000000000002</v>
      </c>
      <c r="I17" s="120">
        <v>0.83199999999999996</v>
      </c>
      <c r="J17" s="120">
        <v>185.256</v>
      </c>
      <c r="K17" s="1028">
        <f>C17-I17-J17</f>
        <v>752.60200000000009</v>
      </c>
      <c r="L17" s="1028">
        <f t="shared" si="1"/>
        <v>591.54100000000005</v>
      </c>
      <c r="M17" s="1030">
        <f>IF(C17&gt;0,K17*1000000/Q12,"")</f>
        <v>335.50105250581981</v>
      </c>
      <c r="N17" s="1030"/>
      <c r="O17" s="2294" t="str">
        <f>IF(ISERROR((M17-N17)/N17),"",((M17-N17)/N17))</f>
        <v/>
      </c>
      <c r="P17" s="1989"/>
      <c r="Q17" s="2310"/>
      <c r="R17" s="2521"/>
      <c r="S17" s="1989"/>
      <c r="T17" s="1989"/>
      <c r="U17" s="1989"/>
      <c r="V17" s="1989"/>
    </row>
    <row r="18" spans="1:22" ht="13.5" customHeight="1">
      <c r="A18" s="1013">
        <v>5106</v>
      </c>
      <c r="B18" s="1015" t="s">
        <v>100</v>
      </c>
      <c r="C18" s="231">
        <v>2100.1959999999999</v>
      </c>
      <c r="D18" s="120">
        <v>995.57799999999997</v>
      </c>
      <c r="E18" s="120">
        <v>53.82</v>
      </c>
      <c r="F18" s="120">
        <v>35.289000000000001</v>
      </c>
      <c r="G18" s="120">
        <v>11.667</v>
      </c>
      <c r="H18" s="120">
        <v>268.399</v>
      </c>
      <c r="I18" s="120">
        <v>3.01</v>
      </c>
      <c r="J18" s="120">
        <v>169.661</v>
      </c>
      <c r="K18" s="1028">
        <f t="shared" si="0"/>
        <v>1927.5249999999996</v>
      </c>
      <c r="L18" s="1028">
        <f t="shared" si="1"/>
        <v>1615.1799999999998</v>
      </c>
      <c r="M18" s="1029">
        <f>IF(C18&gt;0,K18*1000000/Q12,"")</f>
        <v>859.26780188104749</v>
      </c>
      <c r="N18" s="1029">
        <v>688</v>
      </c>
      <c r="O18" s="2294">
        <f t="shared" si="2"/>
        <v>0.24893575854803415</v>
      </c>
      <c r="P18" s="1989"/>
      <c r="Q18" s="2310"/>
      <c r="R18" s="2521"/>
      <c r="S18" s="1989"/>
      <c r="T18" s="1989"/>
      <c r="U18" s="1989"/>
      <c r="V18" s="1989"/>
    </row>
    <row r="19" spans="1:22" ht="13.5" customHeight="1">
      <c r="A19" s="1013">
        <v>5109</v>
      </c>
      <c r="B19" s="1014" t="s">
        <v>357</v>
      </c>
      <c r="C19" s="231">
        <v>1933.8430000000001</v>
      </c>
      <c r="D19" s="120">
        <v>536.53399999999999</v>
      </c>
      <c r="E19" s="120">
        <v>127.30500000000001</v>
      </c>
      <c r="F19" s="120">
        <v>27.988</v>
      </c>
      <c r="G19" s="120">
        <v>98.516000000000005</v>
      </c>
      <c r="H19" s="120">
        <v>143.30799999999999</v>
      </c>
      <c r="I19" s="120">
        <v>17.419</v>
      </c>
      <c r="J19" s="231">
        <v>66.519000000000005</v>
      </c>
      <c r="K19" s="1028">
        <f t="shared" si="0"/>
        <v>1849.905</v>
      </c>
      <c r="L19" s="1028">
        <f t="shared" si="1"/>
        <v>1597.5120000000002</v>
      </c>
      <c r="M19" s="1031"/>
      <c r="N19" s="1031"/>
      <c r="O19" s="2295"/>
      <c r="P19" s="1989"/>
      <c r="Q19" s="2310"/>
      <c r="R19" s="2521"/>
      <c r="S19" s="1989"/>
      <c r="T19" s="1989"/>
      <c r="U19" s="1989"/>
      <c r="V19" s="1989"/>
    </row>
    <row r="20" spans="1:22" ht="12.75">
      <c r="A20" s="1016">
        <v>51099</v>
      </c>
      <c r="B20" s="1017" t="s">
        <v>154</v>
      </c>
      <c r="C20" s="263">
        <f t="shared" ref="C20:J20" si="3">SUM(C13:C19)</f>
        <v>183467.13099999999</v>
      </c>
      <c r="D20" s="263">
        <f t="shared" si="3"/>
        <v>102886.04999999999</v>
      </c>
      <c r="E20" s="263">
        <f t="shared" si="3"/>
        <v>26867.626999999997</v>
      </c>
      <c r="F20" s="263">
        <f t="shared" si="3"/>
        <v>7630.058</v>
      </c>
      <c r="G20" s="263">
        <f t="shared" si="3"/>
        <v>5320.6210000000001</v>
      </c>
      <c r="H20" s="263">
        <f t="shared" si="3"/>
        <v>13484.147999999997</v>
      </c>
      <c r="I20" s="263">
        <f t="shared" si="3"/>
        <v>619.08999999999992</v>
      </c>
      <c r="J20" s="263">
        <f t="shared" si="3"/>
        <v>13551.65</v>
      </c>
      <c r="K20" s="1032"/>
      <c r="L20" s="1565"/>
      <c r="M20" s="1033"/>
      <c r="N20" s="1033"/>
      <c r="O20" s="2296"/>
      <c r="P20" s="1989"/>
      <c r="Q20" s="2309"/>
      <c r="R20" s="2326"/>
      <c r="S20" s="1989"/>
      <c r="T20" s="1989"/>
      <c r="U20" s="1989"/>
      <c r="V20" s="1989"/>
    </row>
    <row r="21" spans="1:22" ht="13.5" thickBot="1">
      <c r="A21" s="1018"/>
      <c r="B21" s="1497"/>
      <c r="C21" s="264"/>
      <c r="D21" s="264"/>
      <c r="E21" s="264"/>
      <c r="F21" s="264"/>
      <c r="G21" s="264"/>
      <c r="H21" s="264"/>
      <c r="I21" s="264"/>
      <c r="J21" s="264"/>
      <c r="K21" s="1034"/>
      <c r="L21" s="1573"/>
      <c r="M21" s="1035"/>
      <c r="N21" s="1035"/>
      <c r="O21" s="2297"/>
      <c r="P21" s="1989"/>
      <c r="Q21" s="2311"/>
      <c r="R21" s="2327"/>
      <c r="S21" s="1989"/>
      <c r="T21" s="1989"/>
      <c r="U21" s="1989"/>
      <c r="V21" s="1989"/>
    </row>
    <row r="22" spans="1:22" ht="22.5" customHeight="1">
      <c r="A22" s="1019">
        <v>520</v>
      </c>
      <c r="B22" s="1020" t="s">
        <v>109</v>
      </c>
      <c r="C22" s="270">
        <f>Drift!P74</f>
        <v>18511.229000000003</v>
      </c>
      <c r="D22" s="269">
        <f>SUM(Drift!C74:D74)</f>
        <v>9594.7170000000006</v>
      </c>
      <c r="E22" s="270">
        <f>Drift!F74</f>
        <v>4025.7080000000001</v>
      </c>
      <c r="F22" s="270">
        <f>Drift!R74</f>
        <v>375.60399999999998</v>
      </c>
      <c r="G22" s="270"/>
      <c r="H22" s="270">
        <f>Drift!T74</f>
        <v>1053.067</v>
      </c>
      <c r="I22" s="270">
        <f>Motpart!Y30+Motpart!Z30</f>
        <v>47.818000000000005</v>
      </c>
      <c r="J22" s="270">
        <f>Drift!V74</f>
        <v>968.09799999999996</v>
      </c>
      <c r="K22" s="1036">
        <f t="shared" ref="K22:K29" si="4">C22-I22-J22</f>
        <v>17495.313000000002</v>
      </c>
      <c r="L22" s="1036">
        <f t="shared" ref="L22:L29" si="5">C22-SUM(F22:H22,J22)</f>
        <v>16114.460000000003</v>
      </c>
      <c r="M22" s="1037">
        <f>IF(C22&gt;0,K22*1000000/Q22,"")</f>
        <v>2091.5439059753371</v>
      </c>
      <c r="N22" s="1037">
        <v>2096.3009999999999</v>
      </c>
      <c r="O22" s="2298"/>
      <c r="P22" s="1989"/>
      <c r="Q22" s="2312">
        <v>8364784</v>
      </c>
      <c r="R22" s="2328" t="s">
        <v>985</v>
      </c>
      <c r="S22" s="1989"/>
      <c r="T22" s="1989"/>
      <c r="U22" s="1989"/>
      <c r="V22" s="1989"/>
    </row>
    <row r="23" spans="1:22" ht="12.75">
      <c r="A23" s="1013">
        <v>5201</v>
      </c>
      <c r="B23" s="1014" t="s">
        <v>435</v>
      </c>
      <c r="C23" s="120">
        <v>4202.4110000000001</v>
      </c>
      <c r="D23" s="120">
        <v>2269.4319999999998</v>
      </c>
      <c r="E23" s="120">
        <v>689.04</v>
      </c>
      <c r="F23" s="120">
        <v>201.61099999999999</v>
      </c>
      <c r="G23" s="1039"/>
      <c r="H23" s="120">
        <v>220.226</v>
      </c>
      <c r="I23" s="120">
        <v>9.5709999999999997</v>
      </c>
      <c r="J23" s="120">
        <v>321.92399999999998</v>
      </c>
      <c r="K23" s="1038">
        <f t="shared" si="4"/>
        <v>3870.9160000000002</v>
      </c>
      <c r="L23" s="1028">
        <f t="shared" si="5"/>
        <v>3458.65</v>
      </c>
      <c r="M23" s="1030">
        <f>IF(C23&gt;0,K23*1000000/Q22,"")</f>
        <v>462.76341385503798</v>
      </c>
      <c r="N23" s="1030">
        <v>477.84100000000001</v>
      </c>
      <c r="O23" s="2294">
        <f t="shared" ref="O23:O28" si="6">IF(ISERROR((M23-N23)/N23),"",((M23-N23)/N23))</f>
        <v>-3.155356309936156E-2</v>
      </c>
      <c r="P23" s="1989"/>
      <c r="Q23" s="2308"/>
      <c r="R23" s="2329"/>
      <c r="S23" s="1989"/>
      <c r="T23" s="1989"/>
      <c r="U23" s="1989"/>
      <c r="V23" s="1989"/>
    </row>
    <row r="24" spans="1:22" ht="12.75">
      <c r="A24" s="1013">
        <v>5202</v>
      </c>
      <c r="B24" s="1014" t="s">
        <v>436</v>
      </c>
      <c r="C24" s="231">
        <v>3292.373</v>
      </c>
      <c r="D24" s="120">
        <v>2359.7040000000002</v>
      </c>
      <c r="E24" s="120">
        <v>277.64600000000002</v>
      </c>
      <c r="F24" s="120">
        <v>20.064</v>
      </c>
      <c r="G24" s="1039"/>
      <c r="H24" s="120">
        <v>97.281999999999996</v>
      </c>
      <c r="I24" s="120">
        <v>3.302</v>
      </c>
      <c r="J24" s="120">
        <v>142.66399999999999</v>
      </c>
      <c r="K24" s="1038">
        <f t="shared" si="4"/>
        <v>3146.4070000000002</v>
      </c>
      <c r="L24" s="1028">
        <f t="shared" si="5"/>
        <v>3032.3630000000003</v>
      </c>
      <c r="M24" s="1030">
        <f>IF(C24&gt;0,K24*1000000/Q22,"")</f>
        <v>376.14922274143601</v>
      </c>
      <c r="N24" s="1030">
        <v>377.24299999999999</v>
      </c>
      <c r="O24" s="2294">
        <f t="shared" si="6"/>
        <v>-2.8993970956757028E-3</v>
      </c>
      <c r="P24" s="1989"/>
      <c r="Q24" s="2313"/>
      <c r="R24" s="2516" t="str">
        <f>"För minst en delv-ht inom v-het 520 redovisades kostnader föregående år men inte i år. Har kommunen inte verksamheten(-erna)? Lämna förklarande kommentar"</f>
        <v>För minst en delv-ht inom v-het 520 redovisades kostnader föregående år men inte i år. Har kommunen inte verksamheten(-erna)? Lämna förklarande kommentar</v>
      </c>
      <c r="S24" s="1989"/>
      <c r="T24" s="1989"/>
      <c r="U24" s="1989"/>
      <c r="V24" s="1989"/>
    </row>
    <row r="25" spans="1:22" ht="12.75">
      <c r="A25" s="1013">
        <v>5203</v>
      </c>
      <c r="B25" s="1014" t="s">
        <v>723</v>
      </c>
      <c r="C25" s="231">
        <v>971.32799999999997</v>
      </c>
      <c r="D25" s="120">
        <v>435.95600000000002</v>
      </c>
      <c r="E25" s="120">
        <v>376.86500000000001</v>
      </c>
      <c r="F25" s="120">
        <v>13.182</v>
      </c>
      <c r="G25" s="120"/>
      <c r="H25" s="120">
        <v>52.817999999999998</v>
      </c>
      <c r="I25" s="120">
        <v>1.6659999999999999</v>
      </c>
      <c r="J25" s="231">
        <v>25.931000000000001</v>
      </c>
      <c r="K25" s="1038">
        <f>C25-I25-J25</f>
        <v>943.73099999999988</v>
      </c>
      <c r="L25" s="1028">
        <f t="shared" si="5"/>
        <v>879.39699999999993</v>
      </c>
      <c r="M25" s="1030">
        <f>IF(C25&gt;0,K25*1000000/Q22,"")</f>
        <v>112.82192104422539</v>
      </c>
      <c r="N25" s="1030">
        <v>107.658</v>
      </c>
      <c r="O25" s="2294">
        <f t="shared" si="6"/>
        <v>4.7965976000161524E-2</v>
      </c>
      <c r="P25" s="1989"/>
      <c r="Q25" s="2314"/>
      <c r="R25" s="2517"/>
      <c r="S25" s="1989"/>
      <c r="T25" s="1989"/>
      <c r="U25" s="1989"/>
      <c r="V25" s="1989"/>
    </row>
    <row r="26" spans="1:22" ht="12.75">
      <c r="A26" s="1710">
        <v>5204</v>
      </c>
      <c r="B26" s="1014" t="s">
        <v>965</v>
      </c>
      <c r="C26" s="231">
        <v>624.93299999999999</v>
      </c>
      <c r="D26" s="120">
        <v>377.98599999999999</v>
      </c>
      <c r="E26" s="120">
        <v>45.683</v>
      </c>
      <c r="F26" s="120">
        <v>1.179</v>
      </c>
      <c r="G26" s="1039"/>
      <c r="H26" s="120">
        <v>48.515000000000001</v>
      </c>
      <c r="I26" s="120">
        <v>3.7890000000000001</v>
      </c>
      <c r="J26" s="120">
        <v>43.158999999999999</v>
      </c>
      <c r="K26" s="1038">
        <f t="shared" si="4"/>
        <v>577.98500000000001</v>
      </c>
      <c r="L26" s="1028">
        <f t="shared" si="5"/>
        <v>532.07999999999993</v>
      </c>
      <c r="M26" s="1030">
        <f>IF(C26&gt;0,K26*1000000/Q22,"")</f>
        <v>69.097420806084173</v>
      </c>
      <c r="N26" s="1030">
        <v>67.022000000000006</v>
      </c>
      <c r="O26" s="2294">
        <f t="shared" si="6"/>
        <v>3.0966261915254208E-2</v>
      </c>
      <c r="P26" s="1989"/>
      <c r="Q26" s="2314"/>
      <c r="R26" s="2517"/>
      <c r="S26" s="1989"/>
      <c r="T26" s="1989"/>
      <c r="U26" s="1989"/>
      <c r="V26" s="1989"/>
    </row>
    <row r="27" spans="1:22" ht="12.75">
      <c r="A27" s="1013">
        <v>5205</v>
      </c>
      <c r="B27" s="1014" t="s">
        <v>467</v>
      </c>
      <c r="C27" s="231">
        <v>7336.6940000000004</v>
      </c>
      <c r="D27" s="120">
        <v>3254.6950000000002</v>
      </c>
      <c r="E27" s="120">
        <v>2406.44</v>
      </c>
      <c r="F27" s="120">
        <v>135.667</v>
      </c>
      <c r="G27" s="120">
        <v>306.52999999999997</v>
      </c>
      <c r="H27" s="120">
        <v>400.649</v>
      </c>
      <c r="I27" s="120">
        <v>11.381</v>
      </c>
      <c r="J27" s="120">
        <v>344.51900000000001</v>
      </c>
      <c r="K27" s="1038">
        <f t="shared" si="4"/>
        <v>6980.7939999999999</v>
      </c>
      <c r="L27" s="1028">
        <f t="shared" si="5"/>
        <v>6149.3290000000006</v>
      </c>
      <c r="M27" s="1030">
        <f>IF(C27&gt;0,K27*1000000/Q22,"")</f>
        <v>834.54563799854247</v>
      </c>
      <c r="N27" s="1030">
        <v>834.79600000000005</v>
      </c>
      <c r="O27" s="2294">
        <f t="shared" si="6"/>
        <v>-2.9990800322183441E-4</v>
      </c>
      <c r="P27" s="1989"/>
      <c r="Q27" s="2314"/>
      <c r="R27" s="2517"/>
      <c r="S27" s="1989"/>
      <c r="T27" s="1989"/>
      <c r="U27" s="1989"/>
      <c r="V27" s="1989"/>
    </row>
    <row r="28" spans="1:22" ht="12.75">
      <c r="A28" s="1013">
        <v>5206</v>
      </c>
      <c r="B28" s="1014" t="s">
        <v>100</v>
      </c>
      <c r="C28" s="231">
        <v>863.63</v>
      </c>
      <c r="D28" s="120">
        <v>476.93599999999998</v>
      </c>
      <c r="E28" s="120">
        <v>45.578000000000003</v>
      </c>
      <c r="F28" s="120">
        <v>0.80600000000000005</v>
      </c>
      <c r="G28" s="120">
        <v>4.1710000000000003</v>
      </c>
      <c r="H28" s="120">
        <v>124.83</v>
      </c>
      <c r="I28" s="120">
        <v>4.4409999999999998</v>
      </c>
      <c r="J28" s="120">
        <v>55.405999999999999</v>
      </c>
      <c r="K28" s="1039">
        <f t="shared" si="4"/>
        <v>803.78300000000002</v>
      </c>
      <c r="L28" s="1028">
        <f t="shared" si="5"/>
        <v>678.41700000000003</v>
      </c>
      <c r="M28" s="1029">
        <f>IF(C28&gt;0,K28*1000000/Q22,"")</f>
        <v>96.091303732409585</v>
      </c>
      <c r="N28" s="1029">
        <v>94.53</v>
      </c>
      <c r="O28" s="2294">
        <f t="shared" si="6"/>
        <v>1.651648928815809E-2</v>
      </c>
      <c r="P28" s="1989"/>
      <c r="Q28" s="2314"/>
      <c r="R28" s="2517"/>
      <c r="S28" s="1989"/>
      <c r="T28" s="1989"/>
      <c r="U28" s="1989"/>
      <c r="V28" s="1989"/>
    </row>
    <row r="29" spans="1:22" ht="12.75">
      <c r="A29" s="1013">
        <v>5209</v>
      </c>
      <c r="B29" s="1014" t="s">
        <v>357</v>
      </c>
      <c r="C29" s="231">
        <v>1219.8579999999999</v>
      </c>
      <c r="D29" s="120">
        <v>420.005</v>
      </c>
      <c r="E29" s="120">
        <v>184.45599999999999</v>
      </c>
      <c r="F29" s="120">
        <v>3.0939999999999999</v>
      </c>
      <c r="G29" s="120">
        <v>40.372</v>
      </c>
      <c r="H29" s="120">
        <v>108.747</v>
      </c>
      <c r="I29" s="120">
        <v>13.667999999999999</v>
      </c>
      <c r="J29" s="120">
        <v>34.494999999999997</v>
      </c>
      <c r="K29" s="1038">
        <f t="shared" si="4"/>
        <v>1171.6950000000002</v>
      </c>
      <c r="L29" s="1028">
        <f t="shared" si="5"/>
        <v>1033.1499999999999</v>
      </c>
      <c r="M29" s="1032"/>
      <c r="N29" s="1031"/>
      <c r="O29" s="2295"/>
      <c r="P29" s="1989"/>
      <c r="Q29" s="2314"/>
      <c r="R29" s="2517"/>
      <c r="S29" s="1989"/>
      <c r="T29" s="1989"/>
      <c r="U29" s="1989"/>
      <c r="V29" s="1989"/>
    </row>
    <row r="30" spans="1:22" ht="21.75" customHeight="1">
      <c r="A30" s="1016">
        <v>52099</v>
      </c>
      <c r="B30" s="1021" t="s">
        <v>597</v>
      </c>
      <c r="C30" s="1909">
        <f>SUM(C23:C29)</f>
        <v>18511.226999999999</v>
      </c>
      <c r="D30" s="1909">
        <f t="shared" ref="D30:J30" si="7">SUM(D23:D29)</f>
        <v>9594.7139999999999</v>
      </c>
      <c r="E30" s="1909">
        <f t="shared" si="7"/>
        <v>4025.7080000000001</v>
      </c>
      <c r="F30" s="1909">
        <f t="shared" si="7"/>
        <v>375.60299999999995</v>
      </c>
      <c r="G30" s="1909">
        <f t="shared" si="7"/>
        <v>351.07299999999998</v>
      </c>
      <c r="H30" s="1909">
        <f t="shared" si="7"/>
        <v>1053.067</v>
      </c>
      <c r="I30" s="1909">
        <f t="shared" si="7"/>
        <v>47.817999999999998</v>
      </c>
      <c r="J30" s="1909">
        <f t="shared" si="7"/>
        <v>968.09799999999996</v>
      </c>
      <c r="K30" s="1032"/>
      <c r="L30" s="1565"/>
      <c r="M30" s="1033"/>
      <c r="N30" s="1033"/>
      <c r="O30" s="2296"/>
      <c r="P30" s="1989"/>
      <c r="Q30" s="2308"/>
      <c r="R30" s="2517"/>
      <c r="S30" s="1989"/>
      <c r="T30" s="1989"/>
      <c r="U30" s="1989"/>
      <c r="V30" s="1989"/>
    </row>
    <row r="31" spans="1:22" ht="13.5" thickBot="1">
      <c r="A31" s="1022"/>
      <c r="B31" s="1497"/>
      <c r="C31" s="262"/>
      <c r="D31" s="262"/>
      <c r="E31" s="262"/>
      <c r="F31" s="262"/>
      <c r="G31" s="262"/>
      <c r="H31" s="262"/>
      <c r="I31" s="262"/>
      <c r="J31" s="262"/>
      <c r="K31" s="1034"/>
      <c r="L31" s="1573"/>
      <c r="M31" s="1035"/>
      <c r="N31" s="1035"/>
      <c r="O31" s="2297"/>
      <c r="P31" s="1989"/>
      <c r="Q31" s="2311"/>
      <c r="R31" s="2327"/>
      <c r="S31" s="1989"/>
      <c r="T31" s="1989"/>
      <c r="U31" s="1989"/>
      <c r="V31" s="1989"/>
    </row>
    <row r="32" spans="1:22" ht="12.75">
      <c r="A32" s="1023">
        <v>513</v>
      </c>
      <c r="B32" s="1024" t="s">
        <v>598</v>
      </c>
      <c r="C32" s="269">
        <f>Drift!P75</f>
        <v>85689.736000000004</v>
      </c>
      <c r="D32" s="269">
        <f>SUM(Drift!C75:D75)</f>
        <v>46733.145000000004</v>
      </c>
      <c r="E32" s="269">
        <f>Drift!F75</f>
        <v>16755.786</v>
      </c>
      <c r="F32" s="269">
        <f>Drift!R75</f>
        <v>146.46100000000001</v>
      </c>
      <c r="G32" s="269">
        <f>Drift!S75</f>
        <v>1731.961</v>
      </c>
      <c r="H32" s="270">
        <f>Drift!T75</f>
        <v>7946.116</v>
      </c>
      <c r="I32" s="2332">
        <f>Motpart!Y31+Motpart!Z31</f>
        <v>281.04599999999999</v>
      </c>
      <c r="J32" s="269">
        <f>Drift!V75</f>
        <v>3480.152</v>
      </c>
      <c r="K32" s="1040">
        <f>C32-I32-J32-G42-G44</f>
        <v>77057.237000000008</v>
      </c>
      <c r="L32" s="1572">
        <f t="shared" ref="L32:L37" si="8">C32-SUM(F32:H32,J32)</f>
        <v>72385.046000000002</v>
      </c>
      <c r="M32" s="1665">
        <f>IF(C32&gt;0,K32*1000000/Q32,"")</f>
        <v>7264.0662903281618</v>
      </c>
      <c r="N32" s="1665">
        <v>7140.2820000000002</v>
      </c>
      <c r="O32" s="2294">
        <f>IF(ISERROR((M32-N32)/N32),"",((M32-N32)/N32))</f>
        <v>1.7336050638918975E-2</v>
      </c>
      <c r="P32" s="1989"/>
      <c r="Q32" s="2315">
        <v>10608003</v>
      </c>
      <c r="R32" s="2328" t="s">
        <v>504</v>
      </c>
      <c r="S32" s="1989"/>
      <c r="T32" s="1989"/>
      <c r="U32" s="1989"/>
      <c r="V32" s="1989"/>
    </row>
    <row r="33" spans="1:22" ht="12.75">
      <c r="A33" s="1025">
        <v>5131</v>
      </c>
      <c r="B33" s="1026" t="s">
        <v>189</v>
      </c>
      <c r="C33" s="231">
        <v>44320.54</v>
      </c>
      <c r="D33" s="120">
        <v>27016.378000000001</v>
      </c>
      <c r="E33" s="120">
        <v>7993.8810000000003</v>
      </c>
      <c r="F33" s="120">
        <v>81.427999999999997</v>
      </c>
      <c r="G33" s="120">
        <v>1698.18</v>
      </c>
      <c r="H33" s="120">
        <v>1486.0920000000001</v>
      </c>
      <c r="I33" s="120">
        <v>53.145000000000003</v>
      </c>
      <c r="J33" s="120">
        <v>1806.808</v>
      </c>
      <c r="K33" s="1038">
        <f>C33-I33-J33</f>
        <v>42460.587000000007</v>
      </c>
      <c r="L33" s="1565">
        <f t="shared" si="8"/>
        <v>39248.031999999999</v>
      </c>
      <c r="M33" s="1030">
        <f>IF(C33&gt;0,K33*1000000/Q33,"")</f>
        <v>5394.5353071012123</v>
      </c>
      <c r="N33" s="1030">
        <v>5296.8029999999999</v>
      </c>
      <c r="O33" s="2294">
        <f>IF(ISERROR((M33-N33)/N33),"",((M33-N33)/N33))</f>
        <v>1.8451187839383952E-2</v>
      </c>
      <c r="P33" s="1989"/>
      <c r="Q33" s="2316">
        <v>7871037</v>
      </c>
      <c r="R33" s="2330" t="s">
        <v>986</v>
      </c>
      <c r="S33" s="1989"/>
      <c r="T33" s="1989"/>
      <c r="U33" s="1989"/>
      <c r="V33" s="1989"/>
    </row>
    <row r="34" spans="1:22" ht="12.75">
      <c r="A34" s="1025">
        <v>5132</v>
      </c>
      <c r="B34" s="1027" t="s">
        <v>521</v>
      </c>
      <c r="C34" s="231">
        <v>2612.7559999999999</v>
      </c>
      <c r="D34" s="120">
        <v>817.72699999999998</v>
      </c>
      <c r="E34" s="120">
        <v>1378.9939999999999</v>
      </c>
      <c r="F34" s="120">
        <v>7.867</v>
      </c>
      <c r="G34" s="120">
        <v>4.1360000000000001</v>
      </c>
      <c r="H34" s="120">
        <v>195.68100000000001</v>
      </c>
      <c r="I34" s="120">
        <v>99.936999999999998</v>
      </c>
      <c r="J34" s="231">
        <v>57.597999999999999</v>
      </c>
      <c r="K34" s="1038">
        <f>C34-I34-J34</f>
        <v>2455.221</v>
      </c>
      <c r="L34" s="1565">
        <f t="shared" si="8"/>
        <v>2347.4739999999997</v>
      </c>
      <c r="M34" s="1030">
        <f>IF(C34&gt;0,K34*1000000/Q34,"")</f>
        <v>897.05937158152494</v>
      </c>
      <c r="N34" s="1030">
        <v>925.25400000000002</v>
      </c>
      <c r="O34" s="2294">
        <f>IF(ISERROR((M34-N34)/N34),"",((M34-N34)/N34))</f>
        <v>-3.0472311839208559E-2</v>
      </c>
      <c r="P34" s="1989"/>
      <c r="Q34" s="2316">
        <v>2736966</v>
      </c>
      <c r="R34" s="2331" t="s">
        <v>987</v>
      </c>
      <c r="S34" s="1989"/>
      <c r="T34" s="1989"/>
      <c r="U34" s="1989"/>
      <c r="V34" s="1989"/>
    </row>
    <row r="35" spans="1:22" ht="12.75">
      <c r="A35" s="1025">
        <v>5133</v>
      </c>
      <c r="B35" s="1026" t="s">
        <v>599</v>
      </c>
      <c r="C35" s="231">
        <v>18877.13</v>
      </c>
      <c r="D35" s="120">
        <v>8310.3279999999995</v>
      </c>
      <c r="E35" s="120">
        <v>4269.1760000000004</v>
      </c>
      <c r="F35" s="120">
        <v>9.5920000000000005</v>
      </c>
      <c r="G35" s="120">
        <v>15.08</v>
      </c>
      <c r="H35" s="120">
        <v>5213.3090000000002</v>
      </c>
      <c r="I35" s="120">
        <v>10.769</v>
      </c>
      <c r="J35" s="120">
        <v>221.95699999999999</v>
      </c>
      <c r="K35" s="1038">
        <f>C35-I35-J35</f>
        <v>18644.404000000002</v>
      </c>
      <c r="L35" s="1565">
        <f t="shared" si="8"/>
        <v>13417.192000000001</v>
      </c>
      <c r="M35" s="1030">
        <f>IF(C35&gt;0,K35*1000000/Q35,"")</f>
        <v>1757.5790655413657</v>
      </c>
      <c r="N35" s="1030">
        <v>1778.1790000000001</v>
      </c>
      <c r="O35" s="2294">
        <f>IF(ISERROR((M35-N35)/N35),"",((M35-N35)/N35))</f>
        <v>-1.1584848577468511E-2</v>
      </c>
      <c r="P35" s="1989"/>
      <c r="Q35" s="2316">
        <v>10608003</v>
      </c>
      <c r="R35" s="2331" t="s">
        <v>504</v>
      </c>
      <c r="S35" s="1989"/>
      <c r="T35" s="1989"/>
      <c r="U35" s="1989"/>
      <c r="V35" s="1989"/>
    </row>
    <row r="36" spans="1:22" ht="12.75">
      <c r="A36" s="1025">
        <v>5135</v>
      </c>
      <c r="B36" s="1014" t="s">
        <v>155</v>
      </c>
      <c r="C36" s="231">
        <v>13319.091</v>
      </c>
      <c r="D36" s="120">
        <v>6498.3450000000003</v>
      </c>
      <c r="E36" s="120">
        <v>2425.009</v>
      </c>
      <c r="F36" s="120">
        <v>27.626000000000001</v>
      </c>
      <c r="G36" s="120">
        <v>8.1709999999999994</v>
      </c>
      <c r="H36" s="120">
        <v>812.55100000000004</v>
      </c>
      <c r="I36" s="120">
        <v>37.171999999999997</v>
      </c>
      <c r="J36" s="120">
        <v>974.447</v>
      </c>
      <c r="K36" s="1038">
        <f>C36-I36-J36</f>
        <v>12307.472</v>
      </c>
      <c r="L36" s="1565">
        <f t="shared" si="8"/>
        <v>11496.296</v>
      </c>
      <c r="M36" s="1030">
        <f>IF(C36&gt;0,K36*1000000/Q36,"")</f>
        <v>2186.8998227909683</v>
      </c>
      <c r="N36" s="1030">
        <v>2076.1480000000001</v>
      </c>
      <c r="O36" s="2294">
        <f>IF(ISERROR((M36-N36)/N36),"",((M36-N36)/N36))</f>
        <v>5.3344859225338541E-2</v>
      </c>
      <c r="P36" s="1989"/>
      <c r="Q36" s="2316">
        <v>5627817</v>
      </c>
      <c r="R36" s="2331" t="s">
        <v>988</v>
      </c>
      <c r="S36" s="1989"/>
      <c r="T36" s="1989"/>
      <c r="U36" s="1989"/>
      <c r="V36" s="1989"/>
    </row>
    <row r="37" spans="1:22" ht="12.75">
      <c r="A37" s="1025">
        <v>5139</v>
      </c>
      <c r="B37" s="1014" t="s">
        <v>156</v>
      </c>
      <c r="C37" s="231">
        <v>6560.2179999999998</v>
      </c>
      <c r="D37" s="120">
        <v>4090.3670000000002</v>
      </c>
      <c r="E37" s="120">
        <v>688.72400000000005</v>
      </c>
      <c r="F37" s="120">
        <v>19.948</v>
      </c>
      <c r="G37" s="120">
        <v>6.3949999999999996</v>
      </c>
      <c r="H37" s="120">
        <v>238.48400000000001</v>
      </c>
      <c r="I37" s="120">
        <v>80.022999999999996</v>
      </c>
      <c r="J37" s="120">
        <v>419.34</v>
      </c>
      <c r="K37" s="1038">
        <f>C37-I37-J37</f>
        <v>6060.8549999999996</v>
      </c>
      <c r="L37" s="1565">
        <f t="shared" si="8"/>
        <v>5876.0509999999995</v>
      </c>
      <c r="M37" s="1032"/>
      <c r="N37" s="1031"/>
      <c r="O37" s="2295"/>
      <c r="P37" s="1989"/>
      <c r="Q37" s="2313" t="str">
        <f>"På minst en delv-ht inom v-het 513 redovisas varken detta år eller året innan lämnat några kostnader. Har kommunen inte denna/dessa verksamhet(er)? Lämna förklarande kommentar"</f>
        <v>På minst en delv-ht inom v-het 513 redovisas varken detta år eller året innan lämnat några kostnader. Har kommunen inte denna/dessa verksamhet(er)? Lämna förklarande kommentar</v>
      </c>
      <c r="R37" s="2518" t="str">
        <f>"För minst en delv-ht inom v-het 513 redovisades kostnader föregående år men inte i år. Har kommunen inte verksamheten(-erna)? Lämna förklarande kommentar"</f>
        <v>För minst en delv-ht inom v-het 513 redovisades kostnader föregående år men inte i år. Har kommunen inte verksamheten(-erna)? Lämna förklarande kommentar</v>
      </c>
      <c r="S37" s="1989"/>
      <c r="T37" s="1989"/>
      <c r="U37" s="1989"/>
      <c r="V37" s="1989"/>
    </row>
    <row r="38" spans="1:22" ht="17.25" customHeight="1">
      <c r="A38" s="1016">
        <v>51399</v>
      </c>
      <c r="B38" s="1017" t="s">
        <v>600</v>
      </c>
      <c r="C38" s="1909">
        <f>SUM(C33:C37)</f>
        <v>85689.735000000001</v>
      </c>
      <c r="D38" s="1909">
        <f t="shared" ref="D38:J38" si="9">SUM(D33:D37)</f>
        <v>46733.144999999997</v>
      </c>
      <c r="E38" s="1909">
        <f t="shared" si="9"/>
        <v>16755.784</v>
      </c>
      <c r="F38" s="1909">
        <f t="shared" si="9"/>
        <v>146.46100000000001</v>
      </c>
      <c r="G38" s="1909">
        <f t="shared" si="9"/>
        <v>1731.962</v>
      </c>
      <c r="H38" s="1909">
        <f t="shared" si="9"/>
        <v>7946.1170000000011</v>
      </c>
      <c r="I38" s="1909">
        <f t="shared" si="9"/>
        <v>281.04599999999999</v>
      </c>
      <c r="J38" s="1909">
        <f t="shared" si="9"/>
        <v>3480.15</v>
      </c>
      <c r="K38" s="1032"/>
      <c r="L38" s="1033"/>
      <c r="M38" s="1033"/>
      <c r="N38" s="1033"/>
      <c r="O38" s="2296"/>
      <c r="P38" s="1989"/>
      <c r="Q38" s="2317"/>
      <c r="R38" s="2519"/>
      <c r="S38" s="1989"/>
      <c r="T38" s="1989"/>
      <c r="U38" s="1989"/>
      <c r="V38" s="1989"/>
    </row>
    <row r="39" spans="1:22" ht="13.5" thickBot="1">
      <c r="A39" s="1018"/>
      <c r="B39" s="1497"/>
      <c r="C39" s="262"/>
      <c r="D39" s="262"/>
      <c r="E39" s="262"/>
      <c r="F39" s="262"/>
      <c r="G39" s="262"/>
      <c r="H39" s="262"/>
      <c r="I39" s="265"/>
      <c r="J39" s="262"/>
      <c r="K39" s="1034"/>
      <c r="L39" s="1035"/>
      <c r="M39" s="1035"/>
      <c r="N39" s="1035"/>
      <c r="O39" s="2297"/>
      <c r="P39" s="2299"/>
      <c r="Q39" s="2318"/>
      <c r="R39" s="2520"/>
      <c r="S39" s="228"/>
    </row>
    <row r="40" spans="1:22" ht="12.75">
      <c r="A40" s="227"/>
      <c r="B40" s="248" t="s">
        <v>602</v>
      </c>
      <c r="C40" s="248"/>
      <c r="D40" s="248"/>
      <c r="E40" s="248"/>
      <c r="F40" s="248"/>
      <c r="G40" s="248"/>
      <c r="H40" s="248"/>
      <c r="I40" s="248"/>
      <c r="J40" s="1595"/>
      <c r="K40" s="1595"/>
      <c r="L40" s="1595"/>
      <c r="M40" s="1595"/>
      <c r="N40" s="1595"/>
      <c r="O40" s="2288"/>
      <c r="P40" s="1989"/>
      <c r="Q40" s="2300"/>
      <c r="R40" s="228"/>
    </row>
    <row r="41" spans="1:22" ht="12.75">
      <c r="B41" s="248" t="s">
        <v>601</v>
      </c>
      <c r="C41" s="249"/>
      <c r="D41" s="249"/>
      <c r="E41" s="249"/>
      <c r="F41" s="249"/>
      <c r="K41" s="227"/>
      <c r="L41" s="227"/>
      <c r="M41" s="227"/>
      <c r="N41" s="227"/>
    </row>
    <row r="42" spans="1:22" ht="12.75">
      <c r="B42" s="1041" t="s">
        <v>160</v>
      </c>
      <c r="C42" s="1042"/>
      <c r="D42" s="1042"/>
      <c r="E42" s="1043"/>
      <c r="F42" s="1042"/>
      <c r="G42" s="121">
        <f>'Verks int o kostn'!D21</f>
        <v>4869.3429999999998</v>
      </c>
      <c r="H42" s="1741"/>
      <c r="I42" s="227"/>
      <c r="J42" s="227"/>
      <c r="K42" s="227"/>
      <c r="L42" s="227"/>
      <c r="M42" s="227"/>
      <c r="N42" s="227"/>
    </row>
    <row r="43" spans="1:22" ht="12.75">
      <c r="B43" s="1041" t="s">
        <v>161</v>
      </c>
      <c r="C43" s="1042"/>
      <c r="D43" s="1042"/>
      <c r="E43" s="1043"/>
      <c r="F43" s="1042"/>
      <c r="G43" s="121">
        <f>'Verks int o kostn'!I41</f>
        <v>4749.6859999999997</v>
      </c>
      <c r="H43" s="1741" t="str">
        <f>IF(C32=0,"",IF(AND(G43&lt;&gt;0,G43&lt;100),"Lågt belopp",IF(G43&gt;C35,"Ersättningen till FK ska ovan ingå på rad 5133, kol C","")))</f>
        <v/>
      </c>
      <c r="I43" s="227"/>
      <c r="J43" s="227"/>
      <c r="K43" s="227"/>
      <c r="L43" s="227"/>
      <c r="M43" s="227"/>
      <c r="N43" s="227"/>
    </row>
    <row r="44" spans="1:22" ht="12.75">
      <c r="A44" s="357">
        <v>51398</v>
      </c>
      <c r="B44" s="1041" t="s">
        <v>186</v>
      </c>
      <c r="C44" s="1042"/>
      <c r="D44" s="1042"/>
      <c r="E44" s="1043"/>
      <c r="F44" s="1042"/>
      <c r="G44" s="120">
        <v>1.958</v>
      </c>
      <c r="H44" s="261"/>
      <c r="I44" s="227"/>
      <c r="J44" s="227"/>
      <c r="K44" s="227"/>
      <c r="L44" s="227"/>
      <c r="M44" s="227"/>
      <c r="N44" s="227"/>
    </row>
    <row r="45" spans="1:22" ht="13.5" thickBot="1">
      <c r="E45" s="352" t="s">
        <v>697</v>
      </c>
      <c r="F45" s="352" t="s">
        <v>698</v>
      </c>
      <c r="G45" s="352" t="s">
        <v>699</v>
      </c>
      <c r="H45" s="352" t="s">
        <v>700</v>
      </c>
      <c r="I45" s="352" t="s">
        <v>701</v>
      </c>
      <c r="J45" s="352" t="s">
        <v>702</v>
      </c>
      <c r="K45" s="352" t="s">
        <v>703</v>
      </c>
      <c r="L45" s="352" t="s">
        <v>704</v>
      </c>
      <c r="M45" s="352" t="s">
        <v>705</v>
      </c>
      <c r="R45" s="1989"/>
      <c r="S45" s="1989"/>
      <c r="T45" s="1989"/>
      <c r="U45" s="1989"/>
      <c r="V45" s="1989"/>
    </row>
    <row r="46" spans="1:22" ht="14.25" customHeight="1">
      <c r="A46" s="2522" t="s">
        <v>775</v>
      </c>
      <c r="B46" s="2523"/>
      <c r="C46" s="1155" t="s">
        <v>759</v>
      </c>
      <c r="D46" s="991" t="s">
        <v>126</v>
      </c>
      <c r="E46" s="992" t="s">
        <v>191</v>
      </c>
      <c r="F46" s="992" t="s">
        <v>480</v>
      </c>
      <c r="G46" s="992" t="s">
        <v>192</v>
      </c>
      <c r="H46" s="992" t="s">
        <v>123</v>
      </c>
      <c r="I46" s="991" t="s">
        <v>1010</v>
      </c>
      <c r="J46" s="992" t="s">
        <v>125</v>
      </c>
      <c r="K46" s="2526" t="s">
        <v>785</v>
      </c>
      <c r="L46" s="993" t="s">
        <v>124</v>
      </c>
      <c r="M46" s="2278" t="s">
        <v>148</v>
      </c>
      <c r="N46" s="1989"/>
      <c r="O46" s="1989"/>
      <c r="P46" s="1989"/>
      <c r="R46" s="1989"/>
      <c r="S46" s="1989"/>
      <c r="T46" s="1989"/>
      <c r="U46" s="1989"/>
      <c r="V46" s="1989"/>
    </row>
    <row r="47" spans="1:22" ht="12.75">
      <c r="A47" s="2524"/>
      <c r="B47" s="2525"/>
      <c r="C47" s="1208" t="s">
        <v>769</v>
      </c>
      <c r="D47" s="995"/>
      <c r="E47" s="1044" t="s">
        <v>127</v>
      </c>
      <c r="F47" s="1044" t="s">
        <v>190</v>
      </c>
      <c r="G47" s="1044" t="s">
        <v>128</v>
      </c>
      <c r="H47" s="1044"/>
      <c r="I47" s="995"/>
      <c r="J47" s="1044" t="s">
        <v>130</v>
      </c>
      <c r="K47" s="2527"/>
      <c r="L47" s="2271" t="s">
        <v>129</v>
      </c>
      <c r="M47" s="2279"/>
      <c r="N47" s="1989"/>
      <c r="O47" s="1989"/>
      <c r="P47" s="1989"/>
      <c r="R47" s="1989"/>
      <c r="S47" s="1989"/>
      <c r="T47" s="1989"/>
      <c r="U47" s="1989"/>
      <c r="V47" s="1989"/>
    </row>
    <row r="48" spans="1:22" ht="30" customHeight="1">
      <c r="A48" s="2524"/>
      <c r="B48" s="2525"/>
      <c r="C48" s="1399"/>
      <c r="D48" s="1156"/>
      <c r="E48" s="1400" t="s">
        <v>748</v>
      </c>
      <c r="F48" s="1388" t="s">
        <v>749</v>
      </c>
      <c r="G48" s="1388" t="s">
        <v>750</v>
      </c>
      <c r="H48" s="1388" t="s">
        <v>751</v>
      </c>
      <c r="I48" s="1388" t="s">
        <v>752</v>
      </c>
      <c r="J48" s="1388" t="s">
        <v>753</v>
      </c>
      <c r="K48" s="1388" t="s">
        <v>754</v>
      </c>
      <c r="L48" s="2272" t="s">
        <v>755</v>
      </c>
      <c r="M48" s="2280" t="s">
        <v>756</v>
      </c>
      <c r="N48" s="1989"/>
      <c r="O48" s="1989"/>
      <c r="P48" s="1989"/>
      <c r="R48" s="1989"/>
      <c r="S48" s="1989"/>
      <c r="T48" s="1989"/>
      <c r="U48" s="1989"/>
      <c r="V48" s="1989"/>
    </row>
    <row r="49" spans="1:22" ht="6.75" customHeight="1">
      <c r="A49" s="1340"/>
      <c r="B49" s="1341"/>
      <c r="C49" s="1401"/>
      <c r="D49" s="1402"/>
      <c r="E49" s="1044"/>
      <c r="F49" s="1044"/>
      <c r="G49" s="1044"/>
      <c r="H49" s="1044"/>
      <c r="I49" s="995"/>
      <c r="J49" s="1044"/>
      <c r="K49" s="995"/>
      <c r="L49" s="2271"/>
      <c r="M49" s="2279"/>
      <c r="N49" s="1989"/>
      <c r="O49" s="1989"/>
      <c r="P49" s="1989"/>
      <c r="R49" s="1989"/>
      <c r="S49" s="1989"/>
      <c r="T49" s="1989"/>
      <c r="U49" s="1989"/>
      <c r="V49" s="1989"/>
    </row>
    <row r="50" spans="1:22" ht="12" customHeight="1">
      <c r="A50" s="1045">
        <v>510</v>
      </c>
      <c r="B50" s="1046" t="s">
        <v>500</v>
      </c>
      <c r="C50" s="353">
        <f>E12</f>
        <v>26867.627</v>
      </c>
      <c r="D50" s="242"/>
      <c r="E50" s="353">
        <f>Motpart!D29</f>
        <v>2745.9720000000002</v>
      </c>
      <c r="F50" s="353">
        <f>Motpart!E29</f>
        <v>1031.7529999999999</v>
      </c>
      <c r="G50" s="353">
        <f>Motpart!F29</f>
        <v>21452.506000000001</v>
      </c>
      <c r="H50" s="353">
        <f>Motpart!G29</f>
        <v>361.1</v>
      </c>
      <c r="I50" s="353">
        <f>Motpart!H29</f>
        <v>205.51</v>
      </c>
      <c r="J50" s="353">
        <f>Motpart!I29</f>
        <v>1.9019999999999999</v>
      </c>
      <c r="K50" s="1681"/>
      <c r="L50" s="2273">
        <f>Motpart!K29</f>
        <v>1068.491</v>
      </c>
      <c r="M50" s="2281">
        <f>Motpart!L29</f>
        <v>0.39200000000000002</v>
      </c>
      <c r="N50" s="1989"/>
      <c r="O50" s="1989"/>
      <c r="P50" s="1989"/>
      <c r="R50" s="1989"/>
      <c r="S50" s="1989"/>
      <c r="T50" s="1989"/>
      <c r="U50" s="1989"/>
      <c r="V50" s="1989"/>
    </row>
    <row r="51" spans="1:22" ht="12.75">
      <c r="A51" s="1025">
        <v>5101</v>
      </c>
      <c r="B51" s="1047" t="s">
        <v>433</v>
      </c>
      <c r="C51" s="354">
        <f>E13</f>
        <v>8580.3529999999992</v>
      </c>
      <c r="D51" s="123"/>
      <c r="E51" s="120">
        <v>372.60899999999998</v>
      </c>
      <c r="F51" s="120">
        <v>442.16500000000002</v>
      </c>
      <c r="G51" s="120">
        <v>7406.6139999999996</v>
      </c>
      <c r="H51" s="120">
        <v>70.710999999999999</v>
      </c>
      <c r="I51" s="120">
        <v>28.149000000000001</v>
      </c>
      <c r="J51" s="120">
        <v>0.34799999999999998</v>
      </c>
      <c r="K51" s="1682"/>
      <c r="L51" s="2274">
        <v>259.46499999999997</v>
      </c>
      <c r="M51" s="2282">
        <v>0.28899999999999998</v>
      </c>
      <c r="N51" s="1989"/>
      <c r="O51" s="1989"/>
      <c r="P51" s="1989"/>
      <c r="R51" s="1989"/>
      <c r="S51" s="1989"/>
      <c r="T51" s="1989"/>
      <c r="U51" s="1989"/>
      <c r="V51" s="1989"/>
    </row>
    <row r="52" spans="1:22" ht="12.75">
      <c r="A52" s="1025">
        <v>5103</v>
      </c>
      <c r="B52" s="1048" t="s">
        <v>432</v>
      </c>
      <c r="C52" s="354">
        <f>E14</f>
        <v>696.49400000000003</v>
      </c>
      <c r="D52" s="123"/>
      <c r="E52" s="120">
        <v>35.500999999999998</v>
      </c>
      <c r="F52" s="120">
        <v>51.978000000000002</v>
      </c>
      <c r="G52" s="120">
        <v>419.66699999999997</v>
      </c>
      <c r="H52" s="120">
        <v>32.468000000000004</v>
      </c>
      <c r="I52" s="120">
        <v>130.37100000000001</v>
      </c>
      <c r="J52" s="120">
        <v>0.06</v>
      </c>
      <c r="K52" s="1682"/>
      <c r="L52" s="2274">
        <v>26.437000000000001</v>
      </c>
      <c r="M52" s="2283">
        <v>0</v>
      </c>
      <c r="N52" s="1989"/>
      <c r="O52" s="1989"/>
      <c r="P52" s="1989"/>
      <c r="R52" s="1989"/>
      <c r="S52" s="1989"/>
      <c r="T52" s="1989"/>
      <c r="U52" s="1989"/>
      <c r="V52" s="1989"/>
    </row>
    <row r="53" spans="1:22" ht="12.75">
      <c r="A53" s="2334">
        <v>5102</v>
      </c>
      <c r="B53" s="2336" t="s">
        <v>1202</v>
      </c>
      <c r="C53" s="1941">
        <f>E16</f>
        <v>16980.297999999999</v>
      </c>
      <c r="D53" s="123"/>
      <c r="E53" s="1942">
        <v>2276.7469999999998</v>
      </c>
      <c r="F53" s="1942">
        <v>528.077</v>
      </c>
      <c r="G53" s="1942">
        <v>13141.752</v>
      </c>
      <c r="H53" s="1942">
        <v>237.79499999999999</v>
      </c>
      <c r="I53" s="1942">
        <v>36.231000000000002</v>
      </c>
      <c r="J53" s="1942">
        <v>0.66800000000000004</v>
      </c>
      <c r="K53" s="1943">
        <v>0</v>
      </c>
      <c r="L53" s="2275">
        <v>758.90700000000004</v>
      </c>
      <c r="M53" s="2284">
        <v>0.10299999999999999</v>
      </c>
      <c r="N53" s="1989"/>
      <c r="O53" s="1989"/>
      <c r="P53" s="1989"/>
      <c r="R53" s="1989"/>
      <c r="S53" s="1989"/>
      <c r="T53" s="1989"/>
      <c r="U53" s="1989"/>
      <c r="V53" s="1989"/>
    </row>
    <row r="54" spans="1:22" ht="12.75">
      <c r="A54" s="2335">
        <v>5107</v>
      </c>
      <c r="B54" s="2337" t="s">
        <v>1192</v>
      </c>
      <c r="C54" s="355">
        <f>E17</f>
        <v>339.53899999999999</v>
      </c>
      <c r="D54" s="124"/>
      <c r="E54" s="257">
        <v>34.591000000000001</v>
      </c>
      <c r="F54" s="257">
        <v>2.1000000000000001E-2</v>
      </c>
      <c r="G54" s="257">
        <v>295.995</v>
      </c>
      <c r="H54" s="257">
        <v>1.8480000000000001</v>
      </c>
      <c r="I54" s="257">
        <v>0.37</v>
      </c>
      <c r="J54" s="257">
        <v>0</v>
      </c>
      <c r="K54" s="1683"/>
      <c r="L54" s="2276">
        <v>6.7119999999999997</v>
      </c>
      <c r="M54" s="2285">
        <v>0</v>
      </c>
      <c r="N54" s="1989"/>
      <c r="O54" s="1989"/>
      <c r="P54" s="1989"/>
      <c r="R54" s="1989"/>
      <c r="S54" s="1989"/>
      <c r="T54" s="1989"/>
      <c r="U54" s="1989"/>
      <c r="V54" s="1989"/>
    </row>
    <row r="55" spans="1:22" ht="12.75">
      <c r="A55" s="1049">
        <v>520</v>
      </c>
      <c r="B55" s="1007" t="s">
        <v>441</v>
      </c>
      <c r="C55" s="353">
        <f>E22</f>
        <v>4025.7080000000001</v>
      </c>
      <c r="D55" s="123"/>
      <c r="E55" s="353">
        <f>Motpart!D30</f>
        <v>262.43900000000002</v>
      </c>
      <c r="F55" s="353">
        <f>Motpart!E30</f>
        <v>37.923000000000002</v>
      </c>
      <c r="G55" s="353">
        <f>Motpart!F30</f>
        <v>3495.9119999999998</v>
      </c>
      <c r="H55" s="353">
        <f>Motpart!G30</f>
        <v>44.966999999999999</v>
      </c>
      <c r="I55" s="353">
        <f>Motpart!H30</f>
        <v>19.492000000000001</v>
      </c>
      <c r="J55" s="353">
        <f>Motpart!I30</f>
        <v>9.0229999999999997</v>
      </c>
      <c r="K55" s="1681"/>
      <c r="L55" s="2273">
        <f>Motpart!K30</f>
        <v>155.95099999999999</v>
      </c>
      <c r="M55" s="2286">
        <f>Motpart!L30</f>
        <v>0</v>
      </c>
      <c r="N55" s="1989"/>
      <c r="O55" s="1989"/>
      <c r="P55" s="1989"/>
      <c r="R55" s="1989"/>
      <c r="S55" s="1989"/>
      <c r="T55" s="1989"/>
      <c r="U55" s="1989"/>
      <c r="V55" s="1989"/>
    </row>
    <row r="56" spans="1:22" ht="12.75">
      <c r="A56" s="1025">
        <v>5201</v>
      </c>
      <c r="B56" s="1047" t="s">
        <v>435</v>
      </c>
      <c r="C56" s="354">
        <f>E23</f>
        <v>689.04</v>
      </c>
      <c r="D56" s="122"/>
      <c r="E56" s="120">
        <v>19.338999999999999</v>
      </c>
      <c r="F56" s="120">
        <v>29.556999999999999</v>
      </c>
      <c r="G56" s="120">
        <v>612.00099999999998</v>
      </c>
      <c r="H56" s="120">
        <v>6.0330000000000004</v>
      </c>
      <c r="I56" s="120">
        <v>2.0209999999999999</v>
      </c>
      <c r="J56" s="120">
        <v>-2.5000000000000001E-2</v>
      </c>
      <c r="K56" s="1682"/>
      <c r="L56" s="2274">
        <v>20.105</v>
      </c>
      <c r="M56" s="2283">
        <v>0</v>
      </c>
      <c r="N56" s="1989"/>
      <c r="O56" s="1989"/>
      <c r="P56" s="1989"/>
      <c r="R56" s="1989"/>
      <c r="S56" s="1989"/>
      <c r="T56" s="1989"/>
      <c r="U56" s="1989"/>
      <c r="V56" s="1989"/>
    </row>
    <row r="57" spans="1:22" ht="12.75">
      <c r="A57" s="1025">
        <v>5203</v>
      </c>
      <c r="B57" s="1047" t="s">
        <v>432</v>
      </c>
      <c r="C57" s="354">
        <f>E25</f>
        <v>376.86500000000001</v>
      </c>
      <c r="D57" s="122"/>
      <c r="E57" s="120">
        <v>41.095999999999997</v>
      </c>
      <c r="F57" s="120">
        <v>1.8180000000000001</v>
      </c>
      <c r="G57" s="120">
        <v>329.142</v>
      </c>
      <c r="H57" s="120">
        <v>1.3440000000000001</v>
      </c>
      <c r="I57" s="120">
        <v>3.3530000000000002</v>
      </c>
      <c r="J57" s="120">
        <v>3.2000000000000001E-2</v>
      </c>
      <c r="K57" s="1682">
        <v>0</v>
      </c>
      <c r="L57" s="2274">
        <v>6.9000000000000006E-2</v>
      </c>
      <c r="M57" s="2283">
        <v>0</v>
      </c>
      <c r="N57" s="1989"/>
      <c r="O57" s="1989"/>
      <c r="P57" s="1989"/>
      <c r="R57" s="1989"/>
      <c r="S57" s="1989"/>
      <c r="T57" s="1989"/>
      <c r="U57" s="1989"/>
      <c r="V57" s="1989"/>
    </row>
    <row r="58" spans="1:22" ht="12.75">
      <c r="A58" s="1050">
        <v>5205</v>
      </c>
      <c r="B58" s="1005" t="s">
        <v>467</v>
      </c>
      <c r="C58" s="355">
        <f>E27</f>
        <v>2406.44</v>
      </c>
      <c r="D58" s="241"/>
      <c r="E58" s="120">
        <v>152.988</v>
      </c>
      <c r="F58" s="120">
        <v>5.1189999999999998</v>
      </c>
      <c r="G58" s="120">
        <v>2159.1689999999999</v>
      </c>
      <c r="H58" s="120">
        <v>17.454999999999998</v>
      </c>
      <c r="I58" s="120">
        <v>8.0990000000000002</v>
      </c>
      <c r="J58" s="120">
        <v>6.27</v>
      </c>
      <c r="K58" s="1682"/>
      <c r="L58" s="2274">
        <v>57.329000000000001</v>
      </c>
      <c r="M58" s="2285">
        <v>0</v>
      </c>
      <c r="N58" s="1989"/>
      <c r="O58" s="1989"/>
      <c r="P58" s="1989"/>
      <c r="R58" s="1989"/>
      <c r="S58" s="1989"/>
      <c r="T58" s="1989"/>
      <c r="U58" s="1989"/>
      <c r="V58" s="1989"/>
    </row>
    <row r="59" spans="1:22" ht="12.75">
      <c r="A59" s="1051">
        <v>513</v>
      </c>
      <c r="B59" s="1052" t="s">
        <v>440</v>
      </c>
      <c r="C59" s="353">
        <f>E32</f>
        <v>16755.786</v>
      </c>
      <c r="D59" s="242"/>
      <c r="E59" s="353">
        <f>Motpart!D31</f>
        <v>1699.5329999999999</v>
      </c>
      <c r="F59" s="353">
        <f>Motpart!E31</f>
        <v>494.11099999999999</v>
      </c>
      <c r="G59" s="353">
        <f>Motpart!F31</f>
        <v>13611.958000000001</v>
      </c>
      <c r="H59" s="353">
        <f>Motpart!G31</f>
        <v>308.26400000000001</v>
      </c>
      <c r="I59" s="353">
        <f>Motpart!H31</f>
        <v>93.216999999999999</v>
      </c>
      <c r="J59" s="353">
        <f>Motpart!I31</f>
        <v>18.027999999999999</v>
      </c>
      <c r="K59" s="1681"/>
      <c r="L59" s="2273">
        <f>Motpart!K31</f>
        <v>530.55499999999995</v>
      </c>
      <c r="M59" s="2286">
        <f>Motpart!L31</f>
        <v>0.12</v>
      </c>
      <c r="N59" s="1989"/>
      <c r="O59" s="1989"/>
      <c r="P59" s="1989"/>
      <c r="R59" s="1989"/>
      <c r="S59" s="1989"/>
      <c r="T59" s="1989"/>
      <c r="U59" s="1989"/>
      <c r="V59" s="1989"/>
    </row>
    <row r="60" spans="1:22" ht="13.5" thickBot="1">
      <c r="A60" s="1018">
        <v>5131</v>
      </c>
      <c r="B60" s="1053" t="s">
        <v>189</v>
      </c>
      <c r="C60" s="356">
        <f>E33</f>
        <v>7993.8810000000003</v>
      </c>
      <c r="D60" s="243"/>
      <c r="E60" s="258">
        <v>985.24800000000005</v>
      </c>
      <c r="F60" s="258">
        <v>320.34500000000003</v>
      </c>
      <c r="G60" s="258">
        <v>6325.4350000000004</v>
      </c>
      <c r="H60" s="258">
        <v>52.856999999999999</v>
      </c>
      <c r="I60" s="258">
        <v>19.149999999999999</v>
      </c>
      <c r="J60" s="258">
        <v>5.4130000000000003</v>
      </c>
      <c r="K60" s="1684">
        <v>0</v>
      </c>
      <c r="L60" s="2277">
        <v>285.42899999999997</v>
      </c>
      <c r="M60" s="2287">
        <v>0</v>
      </c>
      <c r="N60" s="1989"/>
      <c r="O60" s="1989"/>
      <c r="P60" s="1989"/>
      <c r="R60" s="1989"/>
      <c r="S60" s="1989"/>
      <c r="T60" s="1989"/>
      <c r="U60" s="1989"/>
      <c r="V60" s="1989"/>
    </row>
    <row r="61" spans="1:22" ht="12.75">
      <c r="D61" s="268" t="str">
        <f>IF(OR(COUNTIF(D50:D60,"&lt;-5")&gt;0,(COUNTIF(D50:D60,"&gt;5")&gt;0)),"Rätta differenserna i kolumn D","")</f>
        <v/>
      </c>
      <c r="N61" s="259"/>
      <c r="O61" s="260"/>
    </row>
    <row r="62" spans="1:22" ht="12.75"/>
  </sheetData>
  <customSheetViews>
    <customSheetView guid="{97D6DB71-3F4C-4C5F-8C5B-51E3EBF78932}" showPageBreaks="1" showGridLines="0" fitToPage="1" hiddenRows="1" hiddenColumns="1" topLeftCell="A15">
      <selection activeCell="A44" sqref="A44:B48"/>
      <pageMargins left="0.31496062992125984" right="0.6692913385826772" top="0.74803149606299213" bottom="0.15748031496062992" header="0.31496062992125984" footer="0.31496062992125984"/>
      <pageSetup paperSize="9" scale="54" orientation="landscape" r:id="rId1"/>
      <headerFooter>
        <oddHeader>&amp;L&amp;8Statistiska Centralbyrån
Offentlig ekonomi&amp;R&amp;P</oddHeader>
      </headerFooter>
    </customSheetView>
    <customSheetView guid="{99FBDEB7-DD08-4F57-81F4-3C180403E153}" showGridLines="0" fitToPage="1" hiddenRows="1" hiddenColumns="1">
      <selection activeCell="A43" sqref="A43:B47"/>
      <pageMargins left="0.31496062992125984" right="0.6692913385826772" top="0.74803149606299213" bottom="0.15748031496062992" header="0.31496062992125984" footer="0.31496062992125984"/>
      <pageSetup paperSize="9" scale="56" orientation="landscape" r:id="rId2"/>
      <headerFooter>
        <oddHeader>&amp;L&amp;8Statistiska Centralbyrån
Offentlig ekonomi&amp;R&amp;P</oddHeader>
      </headerFooter>
    </customSheetView>
    <customSheetView guid="{27C9E95B-0E2B-454F-B637-1CECC9579A10}" showGridLines="0" fitToPage="1" hiddenRows="1" hiddenColumns="1" showRuler="0">
      <selection activeCell="J30" sqref="J30"/>
      <pageMargins left="0.31496062992125984" right="0.6692913385826772" top="0.74803149606299213" bottom="0.15748031496062992" header="0.31496062992125984" footer="0.31496062992125984"/>
      <pageSetup paperSize="9" scale="56" orientation="landscape" r:id="rId3"/>
      <headerFooter alignWithMargins="0">
        <oddHeader>&amp;L&amp;8Statistiska Centralbyrån
Offentlig ekonomi&amp;R&amp;P</oddHeader>
      </headerFooter>
    </customSheetView>
  </customSheetViews>
  <mergeCells count="15">
    <mergeCell ref="A46:B48"/>
    <mergeCell ref="K46:K47"/>
    <mergeCell ref="F6:F7"/>
    <mergeCell ref="G6:G7"/>
    <mergeCell ref="H6:H7"/>
    <mergeCell ref="H9:H11"/>
    <mergeCell ref="E6:E7"/>
    <mergeCell ref="I6:I7"/>
    <mergeCell ref="D6:D7"/>
    <mergeCell ref="D9:D10"/>
    <mergeCell ref="O4:O6"/>
    <mergeCell ref="Q6:R7"/>
    <mergeCell ref="R24:R30"/>
    <mergeCell ref="R37:R39"/>
    <mergeCell ref="R14:R19"/>
  </mergeCells>
  <phoneticPr fontId="90" type="noConversion"/>
  <conditionalFormatting sqref="B21 B31 B39">
    <cfRule type="expression" dxfId="29" priority="100" stopIfTrue="1">
      <formula>OR(C21&gt;5,C21&lt;-5,E21&gt;5,E21&lt;-5,F21&gt;5,F21&lt;-5,G21&gt;5,G21&lt;-5,H21&gt;5,H21&lt;-5,I21&gt;5,I21&lt;-5,J21&gt;5,J21&lt;-5)</formula>
    </cfRule>
  </conditionalFormatting>
  <conditionalFormatting sqref="C13:J19">
    <cfRule type="cellIs" dxfId="28" priority="8" stopIfTrue="1" operator="lessThan">
      <formula>0</formula>
    </cfRule>
  </conditionalFormatting>
  <conditionalFormatting sqref="C23:J29">
    <cfRule type="cellIs" dxfId="27" priority="9" stopIfTrue="1" operator="lessThan">
      <formula>0</formula>
    </cfRule>
  </conditionalFormatting>
  <conditionalFormatting sqref="C33:J37">
    <cfRule type="cellIs" dxfId="26" priority="13" stopIfTrue="1" operator="lessThan">
      <formula>0</formula>
    </cfRule>
  </conditionalFormatting>
  <conditionalFormatting sqref="G44 E51:M54 E56:I56 K56:M56 E57:M58 E60:M60">
    <cfRule type="cellIs" dxfId="25" priority="37" stopIfTrue="1" operator="lessThan">
      <formula>0</formula>
    </cfRule>
  </conditionalFormatting>
  <conditionalFormatting sqref="R14">
    <cfRule type="expression" dxfId="24" priority="1">
      <formula>IF(C12=0,"",IF(C18&gt;1,"",IF(K18=0,N18&lt;&gt;0)))</formula>
    </cfRule>
    <cfRule type="expression" dxfId="23" priority="190">
      <formula>IF(C12=0,"",IF(C17&gt;1,"",IF(K17=0,N17&lt;&gt;0)))</formula>
    </cfRule>
    <cfRule type="expression" dxfId="22" priority="191">
      <formula>IF(C12=0,"",IF(C16&gt;1,"",IF(K16=0,N16&lt;&gt;0)))</formula>
    </cfRule>
    <cfRule type="expression" dxfId="21" priority="192">
      <formula>IF(C12=0,"",IF(C15&gt;1,"",IF(K15=0,N15&lt;&gt;0)))</formula>
    </cfRule>
    <cfRule type="expression" dxfId="20" priority="193">
      <formula>IF(C12=0,"",IF(C14&gt;1,"",IF(K14=0,N14&lt;&gt;0)))</formula>
    </cfRule>
    <cfRule type="expression" dxfId="19" priority="194">
      <formula>IF(C12=0,"",IF(C13&gt;1,"",IF(K13=0,N13&lt;&gt;0)))</formula>
    </cfRule>
  </conditionalFormatting>
  <conditionalFormatting sqref="R20">
    <cfRule type="expression" dxfId="18" priority="195">
      <formula>IF(C17=0,"",IF(C23&gt;1,"",IF(K23=0,N23&lt;&gt;0)))</formula>
    </cfRule>
    <cfRule type="expression" dxfId="17" priority="196">
      <formula>IF(C17=0,"",IF(C22&gt;1,"",IF(K22=0,N22&lt;&gt;0)))</formula>
    </cfRule>
    <cfRule type="expression" dxfId="16" priority="197">
      <formula>IF(C17=0,"",IF(C21&gt;1,"",IF(K21=0,N21&lt;&gt;0)))</formula>
    </cfRule>
    <cfRule type="expression" dxfId="15" priority="198">
      <formula>IF(C17=0,"",IF(C20&gt;1,"",IF(K20=0,N20&lt;&gt;0)))</formula>
    </cfRule>
    <cfRule type="expression" dxfId="14" priority="199">
      <formula>IF(C17=0,"",IF(C18&gt;1,"",IF(K18=0,N18&lt;&gt;0)))</formula>
    </cfRule>
  </conditionalFormatting>
  <conditionalFormatting sqref="R24:R29">
    <cfRule type="expression" dxfId="13" priority="24">
      <formula>IF(C22=0,"",IF(C28&gt;1,"",IF(K28=0,N28&lt;&gt;0)))</formula>
    </cfRule>
    <cfRule type="expression" dxfId="12" priority="25">
      <formula>IF(C22=0,"",IF(C27&gt;1,"",IF(K27=0,N27&lt;&gt;0)))</formula>
    </cfRule>
    <cfRule type="expression" dxfId="11" priority="26">
      <formula>IF(C22=0,"",IF(C26&gt;1,"",IF(K26=0,N26&lt;&gt;0)))</formula>
    </cfRule>
    <cfRule type="expression" dxfId="10" priority="27">
      <formula>IF(C22=0,"",IF(C24&gt;1,"",IF(K24=0,N24&lt;&gt;0)))</formula>
    </cfRule>
    <cfRule type="expression" dxfId="9" priority="28">
      <formula>IF(C22=0,"",IF(C23&gt;1,"",IF(K23=0,N23&lt;&gt;0)))</formula>
    </cfRule>
  </conditionalFormatting>
  <conditionalFormatting sqref="R24:R30">
    <cfRule type="expression" dxfId="8" priority="15">
      <formula>IF(C22=0,"",IF(C25&gt;1,"",IF(K25=0,N25&lt;&gt;0)))</formula>
    </cfRule>
  </conditionalFormatting>
  <conditionalFormatting sqref="R37:R39">
    <cfRule type="expression" dxfId="7" priority="16">
      <formula>IF(C32=0,"",IF(C36&gt;1,"",IF(K36=0,N36&lt;&gt;0)))</formula>
    </cfRule>
    <cfRule type="expression" dxfId="6" priority="17">
      <formula>IF(C32=0,"",IF(C35&gt;1,"",IF(K35=0,N35&lt;&gt;0)))</formula>
    </cfRule>
    <cfRule type="expression" dxfId="5" priority="18">
      <formula>IF(C32=0,"",IF(C34&gt;1,"",IF(K34=0,N34&lt;&gt;0)))</formula>
    </cfRule>
    <cfRule type="expression" dxfId="4" priority="19">
      <formula>IF(C32=0,"",IF(C33&gt;1,"",IF(K33=0,N33&lt;&gt;0)))</formula>
    </cfRule>
  </conditionalFormatting>
  <dataValidations count="2">
    <dataValidation type="decimal" operator="lessThan" allowBlank="1" showInputMessage="1" showErrorMessage="1" error="Beloppen ska vara i 1000 tal kronor" sqref="E60:M60 J30:J32 C31:H32 I22 G44 E51:M58 D30:H30 C33:J38 I30:I31 C23:C30 D23:J29 C13:J21" xr:uid="{00000000-0002-0000-0900-000000000000}">
      <formula1>99999999</formula1>
    </dataValidation>
    <dataValidation type="decimal" operator="lessThan" allowBlank="1" showInputMessage="1" showErrorMessage="1" error="Beloppet ska vara i 1000 tal kr" sqref="I32" xr:uid="{00000000-0002-0000-0900-000001000000}">
      <formula1>99999999</formula1>
    </dataValidation>
  </dataValidations>
  <pageMargins left="0.43" right="0.17" top="0.43" bottom="0.15748031496062992" header="0.21" footer="0.31496062992125984"/>
  <pageSetup paperSize="9" scale="70" orientation="landscape" r:id="rId4"/>
  <headerFooter>
    <oddHeader>&amp;L&amp;8Statistiska Centralbyrån
Offentlig ekonomi&amp;R&amp;P</oddHeader>
  </headerFooter>
  <drawing r:id="rId5"/>
  <legacy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3">
    <tabColor rgb="FFFFFF00"/>
  </sheetPr>
  <dimension ref="A1:S38"/>
  <sheetViews>
    <sheetView showGridLines="0" zoomScaleNormal="100" workbookViewId="0">
      <pane xSplit="2" ySplit="11" topLeftCell="C12" activePane="bottomRight" state="frozen"/>
      <selection activeCell="F36" sqref="F36"/>
      <selection pane="topRight" activeCell="F36" sqref="F36"/>
      <selection pane="bottomLeft" activeCell="F36" sqref="F36"/>
      <selection pane="bottomRight" activeCell="P16" sqref="P16"/>
    </sheetView>
  </sheetViews>
  <sheetFormatPr defaultColWidth="0" defaultRowHeight="12.75" zeroHeight="1"/>
  <cols>
    <col min="1" max="1" width="5.5703125" style="219" customWidth="1"/>
    <col min="2" max="2" width="34.42578125" style="173" customWidth="1"/>
    <col min="3" max="7" width="9.42578125" style="173" customWidth="1"/>
    <col min="8" max="10" width="12.42578125" style="173" customWidth="1"/>
    <col min="11" max="11" width="9.5703125" customWidth="1"/>
    <col min="12" max="12" width="2.5703125" customWidth="1"/>
    <col min="13" max="13" width="7" customWidth="1"/>
    <col min="14" max="19" width="9.42578125" customWidth="1"/>
  </cols>
  <sheetData>
    <row r="1" spans="1:19" s="4" customFormat="1" ht="21.75">
      <c r="A1" s="65" t="str">
        <f>"Specificering individ- och familjeomsorg "&amp;År&amp;", miljoner kronor"</f>
        <v>Specificering individ- och familjeomsorg 2025, miljoner kronor</v>
      </c>
      <c r="B1" s="66"/>
      <c r="C1" s="66"/>
      <c r="D1" s="66"/>
      <c r="E1" s="150"/>
      <c r="F1" s="150"/>
      <c r="G1" s="150"/>
      <c r="H1" s="150"/>
      <c r="I1" s="431" t="s">
        <v>446</v>
      </c>
      <c r="J1" s="432" t="str">
        <f>Information!A2</f>
        <v>RIKSTOTAL</v>
      </c>
      <c r="K1" s="150"/>
      <c r="L1" s="150"/>
      <c r="M1" s="150"/>
      <c r="N1" s="150"/>
      <c r="O1" s="150"/>
      <c r="P1" s="150"/>
      <c r="Q1" s="150"/>
      <c r="R1" s="150"/>
      <c r="S1" s="150"/>
    </row>
    <row r="2" spans="1:19" ht="12.75" customHeight="1">
      <c r="A2" s="1989"/>
      <c r="B2" s="1989"/>
      <c r="C2" s="1989"/>
      <c r="D2" s="1989"/>
      <c r="E2" s="1989"/>
      <c r="F2" s="1989"/>
      <c r="G2" s="1989"/>
      <c r="H2" s="1989"/>
      <c r="I2" s="1989"/>
      <c r="J2" s="1989"/>
      <c r="K2" s="1989"/>
      <c r="L2" s="1989"/>
      <c r="M2" s="1989"/>
      <c r="N2" s="1989"/>
      <c r="O2" s="1989"/>
      <c r="P2" s="1989"/>
      <c r="Q2" s="1989"/>
      <c r="R2" s="1989"/>
      <c r="S2" s="1989"/>
    </row>
    <row r="3" spans="1:19" s="4" customFormat="1" ht="12.75" customHeight="1" thickBot="1">
      <c r="A3" s="1989"/>
      <c r="B3" s="1989"/>
      <c r="C3" s="1989"/>
      <c r="D3" s="1989"/>
      <c r="E3" s="1989"/>
      <c r="F3" s="1989"/>
      <c r="G3" s="1989"/>
      <c r="H3" s="1989"/>
      <c r="I3" s="1989"/>
      <c r="J3" s="1989"/>
      <c r="K3" s="1989"/>
      <c r="L3" s="1989"/>
      <c r="M3" s="1989"/>
      <c r="N3" s="1989"/>
      <c r="O3" s="1989"/>
      <c r="P3" s="1989"/>
      <c r="Q3" s="1989"/>
      <c r="R3" s="1989"/>
      <c r="S3" s="1989"/>
    </row>
    <row r="4" spans="1:19" ht="18" customHeight="1">
      <c r="A4" s="559" t="s">
        <v>604</v>
      </c>
      <c r="B4" s="1577" t="s">
        <v>13</v>
      </c>
      <c r="C4" s="1575"/>
      <c r="D4" s="1707"/>
      <c r="E4" s="1707"/>
      <c r="F4" s="1574"/>
      <c r="G4" s="1575"/>
      <c r="H4" s="1578" t="s">
        <v>896</v>
      </c>
      <c r="I4" s="1424" t="s">
        <v>906</v>
      </c>
      <c r="J4" s="1425"/>
      <c r="K4" s="2542" t="str">
        <f>"Förändring kostnader för eget åtagande "&amp;År-1&amp;"-"&amp;År&amp;" procent"</f>
        <v>Förändring kostnader för eget åtagande 2024-2025 procent</v>
      </c>
      <c r="L4" s="1989"/>
      <c r="M4" s="2363"/>
      <c r="N4" s="2375"/>
      <c r="O4" s="1989"/>
      <c r="P4" s="1989"/>
      <c r="Q4" s="1989"/>
      <c r="R4" s="1989"/>
      <c r="S4" s="1989"/>
    </row>
    <row r="5" spans="1:19" ht="15" customHeight="1">
      <c r="A5" s="561" t="s">
        <v>606</v>
      </c>
      <c r="B5" s="471"/>
      <c r="C5" s="1209" t="s">
        <v>39</v>
      </c>
      <c r="D5" s="1209"/>
      <c r="E5" s="1209"/>
      <c r="F5" s="1576"/>
      <c r="G5" s="1576"/>
      <c r="H5" s="1435" t="s">
        <v>910</v>
      </c>
      <c r="I5" s="1426" t="s">
        <v>903</v>
      </c>
      <c r="J5" s="1427"/>
      <c r="K5" s="2543"/>
      <c r="L5" s="1989"/>
      <c r="M5" s="2364"/>
      <c r="N5" s="2376"/>
      <c r="O5" s="1989"/>
      <c r="P5" s="1989"/>
      <c r="Q5" s="1989"/>
      <c r="R5" s="1989"/>
      <c r="S5" s="1989"/>
    </row>
    <row r="6" spans="1:19" ht="24" customHeight="1">
      <c r="A6" s="1055"/>
      <c r="B6" s="1579"/>
      <c r="C6" s="1209" t="s">
        <v>41</v>
      </c>
      <c r="D6" s="2546" t="s">
        <v>963</v>
      </c>
      <c r="E6" s="2546" t="s">
        <v>969</v>
      </c>
      <c r="F6" s="2548" t="s">
        <v>143</v>
      </c>
      <c r="G6" s="2544" t="s">
        <v>1029</v>
      </c>
      <c r="H6" s="1436" t="s">
        <v>909</v>
      </c>
      <c r="I6" s="1580"/>
      <c r="J6" s="1430"/>
      <c r="K6" s="2543"/>
      <c r="L6" s="1989"/>
      <c r="M6" s="2365" t="str">
        <f>"Nämnare nyckeltal"</f>
        <v>Nämnare nyckeltal</v>
      </c>
      <c r="N6" s="2377"/>
      <c r="O6" s="1989"/>
      <c r="P6" s="1989"/>
      <c r="Q6" s="1989"/>
      <c r="R6" s="1989"/>
      <c r="S6" s="1989"/>
    </row>
    <row r="7" spans="1:19" ht="27.6" customHeight="1">
      <c r="A7" s="927"/>
      <c r="B7" s="713"/>
      <c r="C7" s="1209"/>
      <c r="D7" s="2547"/>
      <c r="E7" s="2547"/>
      <c r="F7" s="2549"/>
      <c r="G7" s="2544"/>
      <c r="H7" s="1422" t="s">
        <v>1030</v>
      </c>
      <c r="I7" s="1438" t="s">
        <v>908</v>
      </c>
      <c r="J7" s="1437" t="s">
        <v>908</v>
      </c>
      <c r="K7" s="2354"/>
      <c r="L7" s="1989"/>
      <c r="M7" s="2365"/>
      <c r="N7" s="2377"/>
      <c r="O7" s="1989"/>
      <c r="P7" s="1989"/>
      <c r="Q7" s="1989"/>
      <c r="R7" s="1989"/>
      <c r="S7" s="1989"/>
    </row>
    <row r="8" spans="1:19" ht="12" customHeight="1">
      <c r="A8" s="1055"/>
      <c r="B8" s="1581"/>
      <c r="C8" s="1576"/>
      <c r="D8" s="2547"/>
      <c r="E8" s="2547"/>
      <c r="F8" s="2549"/>
      <c r="G8" s="2550"/>
      <c r="H8" s="1773" t="s">
        <v>1031</v>
      </c>
      <c r="I8" s="1006">
        <f>År</f>
        <v>2025</v>
      </c>
      <c r="J8" s="1006">
        <f>År-1</f>
        <v>2024</v>
      </c>
      <c r="K8" s="2290"/>
      <c r="L8" s="1989"/>
      <c r="M8" s="2366"/>
      <c r="N8" s="2378"/>
      <c r="O8" s="1989"/>
      <c r="P8" s="1989"/>
      <c r="Q8" s="1989"/>
      <c r="R8" s="1989"/>
      <c r="S8" s="1989"/>
    </row>
    <row r="9" spans="1:19" ht="21" customHeight="1">
      <c r="A9" s="1055"/>
      <c r="B9" s="1581"/>
      <c r="C9" s="1576"/>
      <c r="D9" s="2544" t="s">
        <v>1047</v>
      </c>
      <c r="E9" s="1591" t="s">
        <v>767</v>
      </c>
      <c r="F9" s="1576"/>
      <c r="G9" s="1851" t="s">
        <v>1028</v>
      </c>
      <c r="H9" s="1423" t="s">
        <v>1026</v>
      </c>
      <c r="I9" s="1582"/>
      <c r="J9" s="1582"/>
      <c r="K9" s="2246"/>
      <c r="L9" s="1989"/>
      <c r="M9" s="2366"/>
      <c r="N9" s="2378"/>
      <c r="O9" s="1989"/>
      <c r="P9" s="1989"/>
      <c r="Q9" s="1989"/>
      <c r="R9" s="1989"/>
      <c r="S9" s="1989"/>
    </row>
    <row r="10" spans="1:19" ht="14.25" customHeight="1">
      <c r="A10" s="1055"/>
      <c r="B10" s="1581"/>
      <c r="C10" s="1576"/>
      <c r="D10" s="2541"/>
      <c r="E10" s="1576"/>
      <c r="F10" s="1576"/>
      <c r="G10" s="1576"/>
      <c r="H10" s="1163" t="s">
        <v>1033</v>
      </c>
      <c r="I10" s="1428"/>
      <c r="J10" s="1428"/>
      <c r="K10" s="2246"/>
      <c r="L10" s="1989"/>
      <c r="M10" s="2366"/>
      <c r="N10" s="2378"/>
      <c r="O10" s="1989"/>
      <c r="P10" s="1989"/>
      <c r="Q10" s="1989"/>
      <c r="R10" s="1989"/>
      <c r="S10" s="1989"/>
    </row>
    <row r="11" spans="1:19" ht="19.5" customHeight="1">
      <c r="A11" s="1056"/>
      <c r="B11" s="923"/>
      <c r="C11" s="1064"/>
      <c r="D11" s="2545"/>
      <c r="E11" s="1064"/>
      <c r="F11" s="1064"/>
      <c r="G11" s="1408"/>
      <c r="H11" s="1792" t="s">
        <v>1032</v>
      </c>
      <c r="I11" s="1065"/>
      <c r="J11" s="1065"/>
      <c r="K11" s="2355"/>
      <c r="L11" s="1989"/>
      <c r="M11" s="2367"/>
      <c r="N11" s="2379"/>
      <c r="O11" s="1989"/>
      <c r="P11" s="1989"/>
      <c r="Q11" s="1989"/>
      <c r="R11" s="1989"/>
      <c r="S11" s="1989"/>
    </row>
    <row r="12" spans="1:19">
      <c r="A12" s="1057">
        <v>559</v>
      </c>
      <c r="B12" s="1583" t="s">
        <v>477</v>
      </c>
      <c r="C12" s="1584">
        <f>Drift!P79</f>
        <v>9823.9139999999989</v>
      </c>
      <c r="D12" s="1775">
        <f>SUM(Drift!C79:D79)</f>
        <v>4270.018</v>
      </c>
      <c r="E12" s="1584">
        <f>Drift!F79</f>
        <v>3142.4360000000001</v>
      </c>
      <c r="F12" s="1584">
        <f>Drift!V79</f>
        <v>272.92599999999999</v>
      </c>
      <c r="G12" s="1585">
        <f>Motpart!Y33+Motpart!Z33</f>
        <v>31.617999999999999</v>
      </c>
      <c r="H12" s="1066">
        <f t="shared" ref="H12:H18" si="0">C12-F12-G12</f>
        <v>9519.369999999999</v>
      </c>
      <c r="I12" s="1067">
        <f>IF(C12&gt;0,H12*1000000/M12,"")</f>
        <v>1621.5445996010255</v>
      </c>
      <c r="J12" s="1067">
        <v>1615.9359999999999</v>
      </c>
      <c r="K12" s="2356">
        <f>IF(C12=0,"",IF(J12=0,IF(I12=0,0,1),((I12-J12)/J12)))</f>
        <v>3.4708055275862516E-3</v>
      </c>
      <c r="L12" s="1989"/>
      <c r="M12" s="2368">
        <v>5870557</v>
      </c>
      <c r="N12" s="2380" t="s">
        <v>501</v>
      </c>
      <c r="O12" s="1989"/>
      <c r="P12" s="1989"/>
      <c r="Q12" s="1989"/>
      <c r="R12" s="1989"/>
      <c r="S12" s="1989"/>
    </row>
    <row r="13" spans="1:19">
      <c r="A13" s="1058">
        <v>552</v>
      </c>
      <c r="B13" s="471" t="s">
        <v>427</v>
      </c>
      <c r="C13" s="44">
        <v>3905.3809999999999</v>
      </c>
      <c r="D13" s="44">
        <v>1123.7329999999999</v>
      </c>
      <c r="E13" s="86">
        <f>Motpart!C34</f>
        <v>2073.9290000000001</v>
      </c>
      <c r="F13" s="44">
        <v>147.29599999999999</v>
      </c>
      <c r="G13" s="86">
        <f>Motpart!Y34+Motpart!Z34</f>
        <v>10.27</v>
      </c>
      <c r="H13" s="1068">
        <f t="shared" si="0"/>
        <v>3747.8150000000001</v>
      </c>
      <c r="I13" s="1069">
        <f>IF(C13&gt;0,H13*1000000/M12,"")</f>
        <v>638.40875746543304</v>
      </c>
      <c r="J13" s="1069">
        <v>648.221</v>
      </c>
      <c r="K13" s="2356">
        <f>IF(C13="","",IF(J13=0,IF(I13=0,0,1),((I13-J13)/J13)))</f>
        <v>-1.5137187062077536E-2</v>
      </c>
      <c r="L13" s="1989"/>
      <c r="M13" s="2342"/>
      <c r="N13" s="2325"/>
      <c r="O13" s="1989"/>
      <c r="P13" s="1989"/>
      <c r="Q13" s="1989"/>
      <c r="R13" s="1989"/>
      <c r="S13" s="1989"/>
    </row>
    <row r="14" spans="1:19">
      <c r="A14" s="1058">
        <v>556</v>
      </c>
      <c r="B14" s="473" t="s">
        <v>483</v>
      </c>
      <c r="C14" s="44">
        <v>132.62799999999999</v>
      </c>
      <c r="D14" s="44">
        <v>53.784999999999997</v>
      </c>
      <c r="E14" s="44">
        <v>53.92</v>
      </c>
      <c r="F14" s="44">
        <v>6.2530000000000001</v>
      </c>
      <c r="G14" s="44">
        <v>0.37</v>
      </c>
      <c r="H14" s="1068">
        <f t="shared" si="0"/>
        <v>126.00499999999998</v>
      </c>
      <c r="I14" s="1069">
        <f>IF(C14&gt;0,H14*1000000/M12,"")</f>
        <v>21.463891756778782</v>
      </c>
      <c r="J14" s="1069">
        <v>25.603999999999999</v>
      </c>
      <c r="K14" s="2356">
        <f t="shared" ref="K14:K18" si="1">IF(C14="","",IF(J14=0,IF(I14=0,0,1),((I14-J14)/J14)))</f>
        <v>-0.16169771298317517</v>
      </c>
      <c r="L14" s="1989"/>
      <c r="M14" s="2342"/>
      <c r="N14" s="2325"/>
      <c r="O14" s="1989"/>
      <c r="P14" s="1989"/>
      <c r="Q14" s="1989"/>
      <c r="R14" s="1989"/>
      <c r="S14" s="1989"/>
    </row>
    <row r="15" spans="1:19">
      <c r="A15" s="1058">
        <v>5581</v>
      </c>
      <c r="B15" s="473" t="s">
        <v>158</v>
      </c>
      <c r="C15" s="44">
        <v>3531.4</v>
      </c>
      <c r="D15" s="44">
        <v>1547.2139999999999</v>
      </c>
      <c r="E15" s="44">
        <v>876.68299999999999</v>
      </c>
      <c r="F15" s="44">
        <v>68.844999999999999</v>
      </c>
      <c r="G15" s="44">
        <v>7.6520000000000001</v>
      </c>
      <c r="H15" s="1068">
        <f t="shared" si="0"/>
        <v>3454.9030000000002</v>
      </c>
      <c r="I15" s="1070">
        <f>IF(C15&gt;0,H15*1000000/M12,"")</f>
        <v>588.51366233221154</v>
      </c>
      <c r="J15" s="1070">
        <v>568.17899999999997</v>
      </c>
      <c r="K15" s="2356">
        <f t="shared" si="1"/>
        <v>3.5789183219041121E-2</v>
      </c>
      <c r="L15" s="1989"/>
      <c r="M15" s="2342"/>
      <c r="N15" s="2325"/>
      <c r="O15" s="1989"/>
      <c r="P15" s="1989"/>
      <c r="Q15" s="1989"/>
      <c r="R15" s="1989"/>
      <c r="S15" s="1989"/>
    </row>
    <row r="16" spans="1:19">
      <c r="A16" s="1058">
        <v>5582</v>
      </c>
      <c r="B16" s="473" t="s">
        <v>157</v>
      </c>
      <c r="C16" s="44">
        <v>1563.8789999999999</v>
      </c>
      <c r="D16" s="44">
        <v>1103.096</v>
      </c>
      <c r="E16" s="44">
        <v>81.747</v>
      </c>
      <c r="F16" s="44">
        <v>38.603000000000002</v>
      </c>
      <c r="G16" s="44">
        <v>6.7519999999999998</v>
      </c>
      <c r="H16" s="1068">
        <f t="shared" si="0"/>
        <v>1518.5239999999999</v>
      </c>
      <c r="I16" s="1069">
        <f>IF(C16&gt;0,H16*1000000/M12,"")</f>
        <v>258.66778910416849</v>
      </c>
      <c r="J16" s="1069">
        <v>261.262</v>
      </c>
      <c r="K16" s="2356">
        <f t="shared" si="1"/>
        <v>-9.9295377660414026E-3</v>
      </c>
      <c r="L16" s="1989"/>
      <c r="M16" s="2342"/>
      <c r="N16" s="2325"/>
      <c r="O16" s="1989"/>
      <c r="P16" s="1989"/>
      <c r="Q16" s="1989"/>
      <c r="R16" s="1989"/>
      <c r="S16" s="1989"/>
    </row>
    <row r="17" spans="1:19">
      <c r="A17" s="1058">
        <v>5583</v>
      </c>
      <c r="B17" s="473" t="s">
        <v>159</v>
      </c>
      <c r="C17" s="44">
        <v>690.62599999999998</v>
      </c>
      <c r="D17" s="44">
        <v>442.19200000000001</v>
      </c>
      <c r="E17" s="44">
        <v>56.158000000000001</v>
      </c>
      <c r="F17" s="44">
        <v>11.928000000000001</v>
      </c>
      <c r="G17" s="44">
        <v>6.5739999999999998</v>
      </c>
      <c r="H17" s="1068">
        <f t="shared" si="0"/>
        <v>672.12400000000002</v>
      </c>
      <c r="I17" s="1069">
        <f>IF(C17&gt;0,H17*1000000/M12,"")</f>
        <v>114.49066928402195</v>
      </c>
      <c r="J17" s="1070">
        <v>112.669</v>
      </c>
      <c r="K17" s="2356">
        <f t="shared" si="1"/>
        <v>1.6168327437200567E-2</v>
      </c>
      <c r="L17" s="1989"/>
      <c r="M17" s="2342"/>
      <c r="N17" s="2325"/>
      <c r="O17" s="1989"/>
      <c r="P17" s="1989"/>
      <c r="Q17" s="1989"/>
      <c r="R17" s="1989"/>
      <c r="S17" s="1989"/>
    </row>
    <row r="18" spans="1:19">
      <c r="A18" s="1059">
        <v>558</v>
      </c>
      <c r="B18" s="623" t="s">
        <v>193</v>
      </c>
      <c r="C18" s="266">
        <f>SUM(C15:C17)</f>
        <v>5785.9050000000007</v>
      </c>
      <c r="D18" s="266">
        <f>SUM(D15:D17)</f>
        <v>3092.502</v>
      </c>
      <c r="E18" s="266">
        <f>SUM(E15:E17)</f>
        <v>1014.588</v>
      </c>
      <c r="F18" s="266">
        <f>SUM(F15:F17)</f>
        <v>119.376</v>
      </c>
      <c r="G18" s="266">
        <f>SUM(G15:G17)</f>
        <v>20.978000000000002</v>
      </c>
      <c r="H18" s="1068">
        <f t="shared" si="0"/>
        <v>5645.5510000000004</v>
      </c>
      <c r="I18" s="1069">
        <f>IF(C18&gt;0,H18*1000000/M12,"")</f>
        <v>961.67212072040184</v>
      </c>
      <c r="J18" s="1069">
        <v>942.11</v>
      </c>
      <c r="K18" s="2356">
        <f t="shared" si="1"/>
        <v>2.0764157816392802E-2</v>
      </c>
      <c r="L18" s="1989"/>
      <c r="M18" s="2342"/>
      <c r="N18" s="2325"/>
      <c r="O18" s="1989"/>
      <c r="P18" s="1989"/>
      <c r="Q18" s="1989"/>
      <c r="R18" s="1989"/>
      <c r="S18" s="1989"/>
    </row>
    <row r="19" spans="1:19">
      <c r="A19" s="1060">
        <v>55999</v>
      </c>
      <c r="B19" s="623" t="s">
        <v>198</v>
      </c>
      <c r="C19" s="266">
        <f>C13+C14+C15+C16+C17</f>
        <v>9823.9140000000007</v>
      </c>
      <c r="D19" s="266">
        <f>D13+D14+D15+D16+D17</f>
        <v>4270.0200000000004</v>
      </c>
      <c r="E19" s="266">
        <f>E13+E14+E15+E16+E17</f>
        <v>3142.4369999999999</v>
      </c>
      <c r="F19" s="266">
        <f>F13+F14+F15+F16+F17</f>
        <v>272.92499999999995</v>
      </c>
      <c r="G19" s="266">
        <f>G13+G14+G15+G16+G17</f>
        <v>31.617999999999995</v>
      </c>
      <c r="H19" s="1071"/>
      <c r="I19" s="1072"/>
      <c r="J19" s="1072"/>
      <c r="K19" s="2357"/>
      <c r="L19" s="1989"/>
      <c r="M19" s="2342"/>
      <c r="N19" s="2325"/>
      <c r="O19" s="1989"/>
      <c r="P19" s="1989"/>
      <c r="Q19" s="1989"/>
      <c r="R19" s="1989"/>
      <c r="S19" s="1989"/>
    </row>
    <row r="20" spans="1:19" ht="13.5" thickBot="1">
      <c r="A20" s="2344"/>
      <c r="B20" s="2345"/>
      <c r="C20" s="2345"/>
      <c r="D20" s="2345"/>
      <c r="E20" s="2345"/>
      <c r="F20" s="2345"/>
      <c r="G20" s="2345"/>
      <c r="H20" s="2345"/>
      <c r="I20" s="2345"/>
      <c r="J20" s="2345"/>
      <c r="K20" s="2358"/>
      <c r="L20" s="1989"/>
      <c r="M20" s="2369"/>
      <c r="N20" s="2381"/>
      <c r="O20" s="1989"/>
      <c r="P20" s="1989"/>
      <c r="Q20" s="1989"/>
      <c r="R20" s="1989"/>
      <c r="S20" s="1989"/>
    </row>
    <row r="21" spans="1:19">
      <c r="A21" s="2339">
        <v>569</v>
      </c>
      <c r="B21" s="1586" t="s">
        <v>478</v>
      </c>
      <c r="C21" s="1587">
        <f>Drift!P80</f>
        <v>35392.160000000011</v>
      </c>
      <c r="D21" s="1776">
        <f>SUM(Drift!C80:D80)</f>
        <v>18138.990000000002</v>
      </c>
      <c r="E21" s="1587">
        <f>Drift!F80</f>
        <v>11055.296</v>
      </c>
      <c r="F21" s="1587">
        <f>Drift!V80</f>
        <v>556.87300000000005</v>
      </c>
      <c r="G21" s="1588">
        <f>Motpart!Y35+Motpart!Z35</f>
        <v>230.16399999999999</v>
      </c>
      <c r="H21" s="1074">
        <f t="shared" ref="H21:H26" si="2">C21-F21-G21</f>
        <v>34605.123000000014</v>
      </c>
      <c r="I21" s="1069">
        <f>IF(C21&gt;0,H21*1000000/M21,"")</f>
        <v>13874.070554840579</v>
      </c>
      <c r="J21" s="1069">
        <v>13089.373</v>
      </c>
      <c r="K21" s="2359">
        <f>IF(C21=0,"",IF(J21=0,IF(I21=0,0,1),((I21-J21)/J21)))</f>
        <v>5.9949208784911161E-2</v>
      </c>
      <c r="L21" s="1989"/>
      <c r="M21" s="2370">
        <v>2494230</v>
      </c>
      <c r="N21" s="2382" t="s">
        <v>503</v>
      </c>
      <c r="O21" s="1989"/>
      <c r="P21" s="1989"/>
      <c r="Q21" s="1989"/>
      <c r="R21" s="1989"/>
      <c r="S21" s="1989"/>
    </row>
    <row r="22" spans="1:19" ht="12.6" customHeight="1">
      <c r="A22" s="2340">
        <v>554</v>
      </c>
      <c r="B22" s="468" t="s">
        <v>194</v>
      </c>
      <c r="C22" s="44">
        <v>11562.817999999999</v>
      </c>
      <c r="D22" s="44">
        <v>3139.6469999999999</v>
      </c>
      <c r="E22" s="86">
        <f>Motpart!C36</f>
        <v>6916.918999999999</v>
      </c>
      <c r="F22" s="44">
        <v>206.18</v>
      </c>
      <c r="G22" s="86">
        <f>Motpart!Y36+Motpart!Z36</f>
        <v>63.534000000000006</v>
      </c>
      <c r="H22" s="1074">
        <f t="shared" si="2"/>
        <v>11293.103999999999</v>
      </c>
      <c r="I22" s="1069">
        <f>IF(C22&gt;0,H22*1000000/M21,"")</f>
        <v>4527.6915120097183</v>
      </c>
      <c r="J22" s="1069">
        <v>4258.6080000000002</v>
      </c>
      <c r="K22" s="2356">
        <f>IF(C22="","",IF(J22=0,IF(I22=0,0,1),((I22-J22)/J22)))</f>
        <v>6.3185790288685428E-2</v>
      </c>
      <c r="L22" s="1989"/>
      <c r="M22" s="2342"/>
      <c r="N22" s="2325"/>
      <c r="O22" s="1989"/>
      <c r="P22" s="1989"/>
      <c r="Q22" s="1989"/>
      <c r="R22" s="1989"/>
      <c r="S22" s="1989"/>
    </row>
    <row r="23" spans="1:19">
      <c r="A23" s="2340">
        <v>557</v>
      </c>
      <c r="B23" s="468" t="s">
        <v>162</v>
      </c>
      <c r="C23" s="44">
        <v>13914.02</v>
      </c>
      <c r="D23" s="44">
        <v>8111.28</v>
      </c>
      <c r="E23" s="44">
        <v>3323.11</v>
      </c>
      <c r="F23" s="44">
        <v>77.474999999999994</v>
      </c>
      <c r="G23" s="44">
        <v>53.165999999999997</v>
      </c>
      <c r="H23" s="1074">
        <f t="shared" si="2"/>
        <v>13783.379000000001</v>
      </c>
      <c r="I23" s="1069">
        <f>IF(C23&gt;0,H23*1000000/M21,"")</f>
        <v>5526.1058523071251</v>
      </c>
      <c r="J23" s="1069">
        <v>5197.4709999999995</v>
      </c>
      <c r="K23" s="2356">
        <f t="shared" ref="K23:K26" si="3">IF(C23="","",IF(J23=0,IF(I23=0,0,1),((I23-J23)/J23)))</f>
        <v>6.3229761610430466E-2</v>
      </c>
      <c r="L23" s="1989"/>
      <c r="M23" s="2342"/>
      <c r="N23" s="2325"/>
      <c r="O23" s="1989"/>
      <c r="P23" s="1989"/>
      <c r="Q23" s="1989"/>
      <c r="R23" s="1989"/>
      <c r="S23" s="1989"/>
    </row>
    <row r="24" spans="1:19">
      <c r="A24" s="2340">
        <v>5681</v>
      </c>
      <c r="B24" s="468" t="s">
        <v>157</v>
      </c>
      <c r="C24" s="44">
        <v>6539.0709999999999</v>
      </c>
      <c r="D24" s="44">
        <v>4471.2089999999998</v>
      </c>
      <c r="E24" s="44">
        <v>696.29</v>
      </c>
      <c r="F24" s="44">
        <v>139.625</v>
      </c>
      <c r="G24" s="44">
        <v>39.04</v>
      </c>
      <c r="H24" s="1074">
        <f t="shared" si="2"/>
        <v>6360.4059999999999</v>
      </c>
      <c r="I24" s="1069">
        <f>IF(C24&gt;0,H24*1000000/M21,"")</f>
        <v>2550.047910577613</v>
      </c>
      <c r="J24" s="1069">
        <v>2457.4319999999998</v>
      </c>
      <c r="K24" s="2356">
        <f t="shared" si="3"/>
        <v>3.7688086822997853E-2</v>
      </c>
      <c r="L24" s="1989"/>
      <c r="M24" s="2342"/>
      <c r="N24" s="2325"/>
      <c r="O24" s="1989"/>
      <c r="P24" s="1989"/>
      <c r="Q24" s="1989"/>
      <c r="R24" s="1989"/>
      <c r="S24" s="1989"/>
    </row>
    <row r="25" spans="1:19">
      <c r="A25" s="2340">
        <v>5682</v>
      </c>
      <c r="B25" s="468" t="s">
        <v>159</v>
      </c>
      <c r="C25" s="44">
        <v>3376.2539999999999</v>
      </c>
      <c r="D25" s="44">
        <v>2416.855</v>
      </c>
      <c r="E25" s="44">
        <v>118.97799999999999</v>
      </c>
      <c r="F25" s="44">
        <v>133.59299999999999</v>
      </c>
      <c r="G25" s="45">
        <v>74.424000000000007</v>
      </c>
      <c r="H25" s="1074">
        <f t="shared" si="2"/>
        <v>3168.2370000000001</v>
      </c>
      <c r="I25" s="1069">
        <f>IF(C25&gt;0,H25*1000000/M21,"")</f>
        <v>1270.2264827221227</v>
      </c>
      <c r="J25" s="1069">
        <v>1175.8599999999999</v>
      </c>
      <c r="K25" s="2356">
        <f>IF(C25="","",IF(J25=0,IF(I25=0,0,1),((I25-J25)/J25)))</f>
        <v>8.0253161704729126E-2</v>
      </c>
      <c r="L25" s="1989"/>
      <c r="M25" s="2342"/>
      <c r="N25" s="2325"/>
      <c r="O25" s="1989"/>
      <c r="P25" s="1989"/>
      <c r="Q25" s="1989"/>
      <c r="R25" s="1989"/>
      <c r="S25" s="1989"/>
    </row>
    <row r="26" spans="1:19">
      <c r="A26" s="2341">
        <v>568</v>
      </c>
      <c r="B26" s="489" t="s">
        <v>200</v>
      </c>
      <c r="C26" s="266">
        <f>SUM(C24:C25)</f>
        <v>9915.3250000000007</v>
      </c>
      <c r="D26" s="266">
        <f>SUM(D24:D25)</f>
        <v>6888.0640000000003</v>
      </c>
      <c r="E26" s="266">
        <f>SUM(E24:E25)</f>
        <v>815.26799999999992</v>
      </c>
      <c r="F26" s="266">
        <f>SUM(F24:F25)</f>
        <v>273.21799999999996</v>
      </c>
      <c r="G26" s="266">
        <f>SUM(G24:G25)</f>
        <v>113.464</v>
      </c>
      <c r="H26" s="1074">
        <f t="shared" si="2"/>
        <v>9528.643</v>
      </c>
      <c r="I26" s="1069">
        <f>IF(C26&gt;0,H26*1000000/M21,"")</f>
        <v>3820.2743932997359</v>
      </c>
      <c r="J26" s="1069">
        <v>3633.2930000000001</v>
      </c>
      <c r="K26" s="2356">
        <f t="shared" si="3"/>
        <v>5.1463340088381486E-2</v>
      </c>
      <c r="L26" s="1989"/>
      <c r="M26" s="2342"/>
      <c r="N26" s="2325"/>
      <c r="O26" s="1989"/>
      <c r="P26" s="1989"/>
      <c r="Q26" s="1989"/>
      <c r="R26" s="1989"/>
      <c r="S26" s="1989"/>
    </row>
    <row r="27" spans="1:19">
      <c r="A27" s="2341">
        <v>56999</v>
      </c>
      <c r="B27" s="623" t="s">
        <v>163</v>
      </c>
      <c r="C27" s="266">
        <f>SUM(C22+C23+C24+C25)</f>
        <v>35392.163</v>
      </c>
      <c r="D27" s="266">
        <f>SUM(D22+D23+D24+D25)</f>
        <v>18138.990999999998</v>
      </c>
      <c r="E27" s="266">
        <f>SUM(E22+E23+E24+E25)</f>
        <v>11055.296999999999</v>
      </c>
      <c r="F27" s="266">
        <f>SUM(F22+F23+F24+F25)</f>
        <v>556.87299999999993</v>
      </c>
      <c r="G27" s="266">
        <f>SUM(G22+G23+G24+G25)</f>
        <v>230.16400000000002</v>
      </c>
      <c r="H27" s="1071"/>
      <c r="I27" s="1072"/>
      <c r="J27" s="1072"/>
      <c r="K27" s="2357"/>
      <c r="L27" s="1989"/>
      <c r="M27" s="2342"/>
      <c r="N27" s="2325"/>
      <c r="O27" s="1989"/>
      <c r="P27" s="1989"/>
      <c r="Q27" s="1989"/>
      <c r="R27" s="1989"/>
      <c r="S27" s="1989"/>
    </row>
    <row r="28" spans="1:19" ht="13.5" thickBot="1">
      <c r="A28" s="2347"/>
      <c r="B28" s="2345"/>
      <c r="C28" s="2345"/>
      <c r="D28" s="2345"/>
      <c r="E28" s="2345"/>
      <c r="F28" s="2345"/>
      <c r="G28" s="2345"/>
      <c r="H28" s="2345"/>
      <c r="I28" s="2345"/>
      <c r="J28" s="2345"/>
      <c r="K28" s="2358"/>
      <c r="L28" s="1989"/>
      <c r="M28" s="2342"/>
      <c r="N28" s="2325"/>
      <c r="O28" s="1989"/>
      <c r="P28" s="1989"/>
      <c r="Q28" s="1989"/>
      <c r="R28" s="1989"/>
      <c r="S28" s="1989"/>
    </row>
    <row r="29" spans="1:19">
      <c r="A29" s="2346">
        <v>571</v>
      </c>
      <c r="B29" s="468" t="s">
        <v>164</v>
      </c>
      <c r="C29" s="1587">
        <f>Drift!P81</f>
        <v>4133.835</v>
      </c>
      <c r="D29" s="1776">
        <f>SUM(Drift!C81:D81)</f>
        <v>1635.7669999999998</v>
      </c>
      <c r="E29" s="1587">
        <f>Drift!F81</f>
        <v>1124.3109999999999</v>
      </c>
      <c r="F29" s="1587">
        <f>Drift!V81</f>
        <v>168.185</v>
      </c>
      <c r="G29" s="55">
        <v>59.000999999999998</v>
      </c>
      <c r="H29" s="1074">
        <f t="shared" ref="H29:H34" si="4">C29-F29-G29</f>
        <v>3906.6489999999999</v>
      </c>
      <c r="I29" s="1069">
        <f>IF(C29&gt;0,H29*1000000/M12,"")</f>
        <v>665.46479320446088</v>
      </c>
      <c r="J29" s="1069">
        <v>655.92700000000002</v>
      </c>
      <c r="K29" s="2359">
        <f>IF(C29=0,"",IF(J29=0,IF(I29=0,0,1),((I29-J29)/J29)))</f>
        <v>1.4540937031805146E-2</v>
      </c>
      <c r="L29" s="1989"/>
      <c r="M29" s="2371"/>
      <c r="N29" s="2383"/>
      <c r="O29" s="1989"/>
      <c r="P29" s="1989"/>
      <c r="Q29" s="1989"/>
      <c r="R29" s="1989"/>
      <c r="S29" s="1989"/>
    </row>
    <row r="30" spans="1:19">
      <c r="A30" s="2340">
        <v>575</v>
      </c>
      <c r="B30" s="468" t="s">
        <v>104</v>
      </c>
      <c r="C30" s="86">
        <f>Drift!P82</f>
        <v>16277.468000000001</v>
      </c>
      <c r="D30" s="1777">
        <f>SUM(Drift!C82:D82)</f>
        <v>3604.9720000000002</v>
      </c>
      <c r="E30" s="86">
        <f>Drift!F82</f>
        <v>46.154000000000003</v>
      </c>
      <c r="F30" s="86">
        <f>Drift!V82</f>
        <v>146.762</v>
      </c>
      <c r="G30" s="44">
        <v>21.052</v>
      </c>
      <c r="H30" s="1074">
        <f t="shared" si="4"/>
        <v>16109.654</v>
      </c>
      <c r="I30" s="1069">
        <f>IF(C30&gt;0,H30*1000000/M30,"")</f>
        <v>1518.6321120007224</v>
      </c>
      <c r="J30" s="1069">
        <v>1455.115</v>
      </c>
      <c r="K30" s="2356">
        <f>IF(C30=0,"",IF(J30=0,IF(I30=0,0,1),((I30-J30)/J30)))</f>
        <v>4.3650922436180205E-2</v>
      </c>
      <c r="L30" s="1989"/>
      <c r="M30" s="2372">
        <v>10608003</v>
      </c>
      <c r="N30" s="2384" t="s">
        <v>504</v>
      </c>
      <c r="O30" s="1989"/>
      <c r="P30" s="1989"/>
      <c r="Q30" s="1989"/>
      <c r="R30" s="1989"/>
      <c r="S30" s="1989"/>
    </row>
    <row r="31" spans="1:19" ht="13.5" thickBot="1">
      <c r="A31" s="2343">
        <v>580</v>
      </c>
      <c r="B31" s="454" t="s">
        <v>167</v>
      </c>
      <c r="C31" s="68">
        <f>C12+C21+C29+C30</f>
        <v>65627.377000000008</v>
      </c>
      <c r="D31" s="68">
        <f>D12+D21+D29+D30</f>
        <v>27649.747000000003</v>
      </c>
      <c r="E31" s="68">
        <f>E12+E21+E29+E30</f>
        <v>15368.197</v>
      </c>
      <c r="F31" s="68">
        <f>F12+F21+F29+F30</f>
        <v>1144.7459999999999</v>
      </c>
      <c r="G31" s="68">
        <f>G12+G21+G29+G30</f>
        <v>341.83499999999998</v>
      </c>
      <c r="H31" s="1075">
        <f t="shared" si="4"/>
        <v>64140.796000000009</v>
      </c>
      <c r="I31" s="1076">
        <f>IF(C31&gt;0,H31*1000000/M30,"")</f>
        <v>6046.4534182352709</v>
      </c>
      <c r="J31" s="1076">
        <v>5830.7250000000004</v>
      </c>
      <c r="K31" s="2360">
        <f>IF(C31=0,"",IF(J31=0,IF(I31=0,0,1),((I31-J31)/J31)))</f>
        <v>3.6998558195639561E-2</v>
      </c>
      <c r="L31" s="1989"/>
      <c r="M31" s="2373"/>
      <c r="N31" s="2385"/>
      <c r="O31" s="1989"/>
      <c r="P31" s="1989"/>
      <c r="Q31" s="1989"/>
      <c r="R31" s="1989"/>
      <c r="S31" s="1989"/>
    </row>
    <row r="32" spans="1:19">
      <c r="A32" s="2341">
        <v>585</v>
      </c>
      <c r="B32" s="489" t="s">
        <v>479</v>
      </c>
      <c r="C32" s="86">
        <f>Drift!P84</f>
        <v>1504.2539999999999</v>
      </c>
      <c r="D32" s="1777">
        <f>SUM(Drift!C84:D84)</f>
        <v>978.61400000000003</v>
      </c>
      <c r="E32" s="86">
        <f>Drift!F84</f>
        <v>220.834</v>
      </c>
      <c r="F32" s="86">
        <f>Drift!V84</f>
        <v>36.329000000000001</v>
      </c>
      <c r="G32" s="266">
        <f>SUM(G33:G34)</f>
        <v>124.733</v>
      </c>
      <c r="H32" s="1074">
        <f t="shared" si="4"/>
        <v>1343.192</v>
      </c>
      <c r="I32" s="1069">
        <f>IF(C32&gt;0,H32*1000000/M32,"")</f>
        <v>632.92163966885448</v>
      </c>
      <c r="J32" s="1069">
        <v>590.48800000000006</v>
      </c>
      <c r="K32" s="2356">
        <f>IF(C32=0,"",IF(J32=0,IF(I32=0,0,1),((I32-J32)/J32)))</f>
        <v>7.1861984780138499E-2</v>
      </c>
      <c r="L32" s="1989"/>
      <c r="M32" s="2370">
        <v>2122209</v>
      </c>
      <c r="N32" s="2382" t="s">
        <v>505</v>
      </c>
      <c r="O32" s="1989"/>
      <c r="P32" s="1989"/>
      <c r="Q32" s="1989"/>
      <c r="R32" s="1989"/>
      <c r="S32" s="1989"/>
    </row>
    <row r="33" spans="1:19">
      <c r="A33" s="2340">
        <v>5851</v>
      </c>
      <c r="B33" s="468" t="s">
        <v>165</v>
      </c>
      <c r="C33" s="44">
        <v>1060.3810000000001</v>
      </c>
      <c r="D33" s="44">
        <v>740.94899999999996</v>
      </c>
      <c r="E33" s="44">
        <v>102.84399999999999</v>
      </c>
      <c r="F33" s="44">
        <v>32.148000000000003</v>
      </c>
      <c r="G33" s="44">
        <v>81.924999999999997</v>
      </c>
      <c r="H33" s="1074">
        <f t="shared" si="4"/>
        <v>946.30800000000022</v>
      </c>
      <c r="I33" s="1069">
        <f>IF(C33&gt;0,H33*1000000/M33,"")</f>
        <v>445.90707135819338</v>
      </c>
      <c r="J33" s="1069">
        <v>418.00700000000001</v>
      </c>
      <c r="K33" s="2356">
        <f>IF(C33="","",IF(J33=0,IF(I33=0,0,1),((I33-J33)/J33)))</f>
        <v>6.6745464449622552E-2</v>
      </c>
      <c r="L33" s="1989"/>
      <c r="M33" s="2370">
        <v>2122209</v>
      </c>
      <c r="N33" s="2382" t="s">
        <v>505</v>
      </c>
      <c r="O33" s="1989"/>
      <c r="P33" s="1989"/>
      <c r="Q33" s="1989"/>
      <c r="R33" s="1989"/>
      <c r="S33" s="1989"/>
    </row>
    <row r="34" spans="1:19">
      <c r="A34" s="2348">
        <v>5855</v>
      </c>
      <c r="B34" s="471" t="s">
        <v>166</v>
      </c>
      <c r="C34" s="2200">
        <v>443.87200000000001</v>
      </c>
      <c r="D34" s="2200">
        <v>237.667</v>
      </c>
      <c r="E34" s="2200">
        <v>117.99</v>
      </c>
      <c r="F34" s="2200">
        <v>4.181</v>
      </c>
      <c r="G34" s="2200">
        <v>42.808</v>
      </c>
      <c r="H34" s="934">
        <f t="shared" si="4"/>
        <v>396.88300000000004</v>
      </c>
      <c r="I34" s="1077">
        <f>IF(C34&gt;0,H34*1000000/M34,"")</f>
        <v>58.423871641569143</v>
      </c>
      <c r="J34" s="1077">
        <v>54.895000000000003</v>
      </c>
      <c r="K34" s="2361">
        <f>IF(C34="","",IF(J34=0,IF(I34=0,0,1),((I34-J34)/J34)))</f>
        <v>6.4284026624813542E-2</v>
      </c>
      <c r="L34" s="1989"/>
      <c r="M34" s="2370">
        <v>6793165</v>
      </c>
      <c r="N34" s="2382" t="s">
        <v>506</v>
      </c>
      <c r="O34" s="1989"/>
      <c r="P34" s="1989"/>
      <c r="Q34" s="1989"/>
      <c r="R34" s="1989"/>
      <c r="S34" s="1989"/>
    </row>
    <row r="35" spans="1:19" ht="15" customHeight="1" thickBot="1">
      <c r="A35" s="2349">
        <v>58599</v>
      </c>
      <c r="B35" s="2350" t="s">
        <v>502</v>
      </c>
      <c r="C35" s="2351">
        <f>SUM(C33:C34)</f>
        <v>1504.2530000000002</v>
      </c>
      <c r="D35" s="2351">
        <f>SUM(D33:D34)</f>
        <v>978.61599999999999</v>
      </c>
      <c r="E35" s="2351">
        <f>SUM(E33:E34)</f>
        <v>220.834</v>
      </c>
      <c r="F35" s="2351">
        <f>SUM(F33:F34)</f>
        <v>36.329000000000001</v>
      </c>
      <c r="G35" s="2351">
        <f>SUM(G33:G34)</f>
        <v>124.733</v>
      </c>
      <c r="H35" s="2352"/>
      <c r="I35" s="2353"/>
      <c r="J35" s="2353"/>
      <c r="K35" s="2362"/>
      <c r="L35" s="1989"/>
      <c r="M35" s="2374"/>
      <c r="N35" s="2386"/>
      <c r="O35" s="1989"/>
      <c r="P35" s="1989"/>
      <c r="Q35" s="1989"/>
      <c r="R35" s="1989"/>
      <c r="S35" s="1989"/>
    </row>
    <row r="36" spans="1:19" ht="15" customHeight="1">
      <c r="A36" s="2299"/>
      <c r="B36" s="1989"/>
      <c r="C36" s="1989"/>
      <c r="D36" s="1989"/>
      <c r="E36" s="1989"/>
      <c r="F36" s="1989"/>
      <c r="G36" s="1989"/>
      <c r="H36" s="1989"/>
      <c r="I36" s="1989"/>
      <c r="J36" s="1989"/>
      <c r="K36" s="1989"/>
      <c r="L36" s="1989"/>
      <c r="M36" s="1989"/>
      <c r="N36" s="1989"/>
      <c r="O36" s="1989"/>
      <c r="P36" s="1989"/>
      <c r="Q36" s="1989"/>
      <c r="R36" s="1989"/>
      <c r="S36" s="1989"/>
    </row>
    <row r="37" spans="1:19" ht="16.5" customHeight="1">
      <c r="A37" s="1589"/>
      <c r="B37" s="1589"/>
      <c r="C37" s="61"/>
      <c r="D37" s="61"/>
      <c r="E37" s="61"/>
      <c r="F37" s="1114"/>
      <c r="G37" s="1101"/>
      <c r="H37"/>
      <c r="K37" s="173"/>
      <c r="O37" s="1989"/>
      <c r="P37" s="1989"/>
      <c r="Q37" s="1989"/>
      <c r="R37" s="1989"/>
      <c r="S37" s="1989"/>
    </row>
    <row r="38" spans="1:19" ht="20.25" customHeight="1">
      <c r="A38" s="217"/>
      <c r="D38" s="61"/>
      <c r="E38" s="61"/>
      <c r="O38" s="1989"/>
      <c r="P38" s="1989"/>
      <c r="Q38" s="1989"/>
      <c r="R38" s="1989"/>
      <c r="S38" s="1989"/>
    </row>
  </sheetData>
  <customSheetViews>
    <customSheetView guid="{97D6DB71-3F4C-4C5F-8C5B-51E3EBF78932}" showPageBreaks="1" showGridLines="0" hiddenRows="1" hiddenColumns="1">
      <selection activeCell="H34" sqref="H34"/>
      <pageMargins left="0.31496062992125984" right="0.31496062992125984" top="0.74803149606299213" bottom="0.74803149606299213" header="0.31496062992125984" footer="0.31496062992125984"/>
      <pageSetup paperSize="9" scale="85" orientation="landscape" r:id="rId1"/>
      <headerFooter>
        <oddHeader>&amp;L&amp;8Statistiska Centralbyrån
Offentlig ekonomi&amp;R&amp;P</oddHeader>
      </headerFooter>
    </customSheetView>
    <customSheetView guid="{99FBDEB7-DD08-4F57-81F4-3C180403E153}" showGridLines="0" hiddenRows="1" hiddenColumns="1">
      <selection activeCell="H34" sqref="H34"/>
      <pageMargins left="0.31496062992125984" right="0.31496062992125984" top="0.74803149606299213" bottom="0.74803149606299213" header="0.31496062992125984" footer="0.31496062992125984"/>
      <pageSetup paperSize="9" scale="85" orientation="landscape" r:id="rId2"/>
      <headerFooter>
        <oddHeader>&amp;L&amp;8Statistiska Centralbyrån
Offentlig ekonomi&amp;R&amp;P</oddHeader>
      </headerFooter>
    </customSheetView>
    <customSheetView guid="{27C9E95B-0E2B-454F-B637-1CECC9579A10}" showGridLines="0" hiddenRows="1" hiddenColumns="1" showRuler="0">
      <selection activeCell="E12" sqref="E12"/>
      <pageMargins left="0.31496062992125984" right="0.31496062992125984" top="0.74803149606299213" bottom="0.74803149606299213" header="0.31496062992125984" footer="0.31496062992125984"/>
      <pageSetup paperSize="9" scale="85" orientation="landscape" r:id="rId3"/>
      <headerFooter alignWithMargins="0">
        <oddHeader>&amp;L&amp;8Statistiska Centralbyrån
Offentlig ekonomi&amp;R&amp;P</oddHeader>
      </headerFooter>
    </customSheetView>
  </customSheetViews>
  <mergeCells count="6">
    <mergeCell ref="K4:K6"/>
    <mergeCell ref="D9:D11"/>
    <mergeCell ref="D6:D8"/>
    <mergeCell ref="E6:E8"/>
    <mergeCell ref="F6:F8"/>
    <mergeCell ref="G6:G8"/>
  </mergeCells>
  <phoneticPr fontId="90" type="noConversion"/>
  <conditionalFormatting sqref="C13:D13 F13 C14:G17 C22:D22 F22 C23:G25 G29:G30 C33:G34">
    <cfRule type="cellIs" dxfId="3" priority="41" stopIfTrue="1" operator="lessThan">
      <formula>-500</formula>
    </cfRule>
    <cfRule type="cellIs" dxfId="2" priority="42" stopIfTrue="1" operator="lessThan">
      <formula>0</formula>
    </cfRule>
  </conditionalFormatting>
  <conditionalFormatting sqref="K18">
    <cfRule type="expression" dxfId="1" priority="2">
      <formula>AND($I$18=0,$J$18=0)</formula>
    </cfRule>
  </conditionalFormatting>
  <conditionalFormatting sqref="K26">
    <cfRule type="expression" dxfId="0" priority="1">
      <formula>AND($I$26=0,$J$26=0)</formula>
    </cfRule>
  </conditionalFormatting>
  <dataValidations count="1">
    <dataValidation type="decimal" operator="lessThan" allowBlank="1" showInputMessage="1" showErrorMessage="1" error="Beloppet ska vara i 1000 tal kronor" sqref="G14:G17 G23:G25 G29:G30 C33:G34 E14:E17 C13:D17 F13:F17 C22:D25 F22:F25 E23:E25" xr:uid="{00000000-0002-0000-0A00-000000000000}">
      <formula1>99999999</formula1>
    </dataValidation>
  </dataValidations>
  <pageMargins left="0.31496062992125984" right="0.31496062992125984" top="0.74803149606299213" bottom="0.74803149606299213" header="0.31496062992125984" footer="0.31496062992125984"/>
  <pageSetup paperSize="9" scale="79" orientation="landscape" r:id="rId4"/>
  <headerFooter>
    <oddHeader>&amp;L&amp;8Statistiska Centralbyrån
Offentlig ekonomi&amp;R&amp;P</oddHead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FF00"/>
  </sheetPr>
  <dimension ref="A1:L75"/>
  <sheetViews>
    <sheetView showGridLines="0" zoomScaleNormal="100" workbookViewId="0">
      <pane ySplit="1" topLeftCell="A2" activePane="bottomLeft" state="frozen"/>
      <selection activeCell="F36" sqref="F36"/>
      <selection pane="bottomLeft"/>
    </sheetView>
  </sheetViews>
  <sheetFormatPr defaultColWidth="0" defaultRowHeight="0" customHeight="1" zeroHeight="1"/>
  <cols>
    <col min="1" max="1" width="4" customWidth="1"/>
    <col min="2" max="2" width="42.42578125" customWidth="1"/>
    <col min="3" max="4" width="11.5703125" customWidth="1"/>
    <col min="5" max="5" width="12.42578125" customWidth="1"/>
    <col min="6" max="6" width="5.5703125" customWidth="1"/>
    <col min="7" max="7" width="24" customWidth="1"/>
    <col min="8" max="8" width="15.85546875" customWidth="1"/>
    <col min="9" max="10" width="10" customWidth="1"/>
    <col min="11" max="11" width="10.42578125" customWidth="1"/>
    <col min="12" max="12" width="0" hidden="1" customWidth="1"/>
    <col min="13" max="16384" width="9.42578125" hidden="1"/>
  </cols>
  <sheetData>
    <row r="1" spans="1:11" ht="21.75">
      <c r="A1" s="65" t="str">
        <f>"Resultaträkning "&amp;År&amp;", miljoner kr"</f>
        <v>Resultaträkning 2025, miljoner kr</v>
      </c>
      <c r="B1" s="66"/>
      <c r="C1" s="66"/>
      <c r="D1" s="66"/>
      <c r="E1" s="66"/>
      <c r="F1" s="429" t="s">
        <v>446</v>
      </c>
      <c r="G1" s="430" t="str">
        <f>Information!A2</f>
        <v>RIKSTOTAL</v>
      </c>
      <c r="H1" s="150"/>
      <c r="I1" s="150"/>
      <c r="J1" s="150"/>
      <c r="K1" s="150"/>
    </row>
    <row r="2" spans="1:11" ht="12.75" customHeight="1">
      <c r="A2" s="1989"/>
      <c r="B2" s="1989"/>
      <c r="C2" s="1989"/>
      <c r="D2" s="1989"/>
      <c r="E2" s="1989"/>
      <c r="F2" s="1989"/>
      <c r="G2" s="1989"/>
      <c r="H2" s="1989"/>
      <c r="I2" s="1989"/>
      <c r="J2" s="1989"/>
      <c r="K2" s="1989"/>
    </row>
    <row r="3" spans="1:11" ht="12.75" customHeight="1" thickBot="1">
      <c r="A3" s="1989"/>
      <c r="B3" s="1989"/>
      <c r="C3" s="1989"/>
      <c r="D3" s="1989"/>
      <c r="E3" s="1989"/>
      <c r="F3" s="1989"/>
      <c r="G3" s="1989"/>
      <c r="H3" s="1989"/>
      <c r="I3" s="1989"/>
      <c r="J3" s="1989"/>
      <c r="K3" s="1989"/>
    </row>
    <row r="4" spans="1:11" ht="12.75" customHeight="1">
      <c r="A4" s="513" t="s">
        <v>604</v>
      </c>
      <c r="B4" s="514"/>
      <c r="C4" s="524" t="s">
        <v>605</v>
      </c>
      <c r="D4" s="525" t="s">
        <v>706</v>
      </c>
      <c r="G4" s="4"/>
      <c r="H4" s="4"/>
      <c r="I4" s="2406" t="s">
        <v>450</v>
      </c>
      <c r="J4" s="2407"/>
    </row>
    <row r="5" spans="1:11" ht="12.75" customHeight="1">
      <c r="A5" s="515" t="s">
        <v>606</v>
      </c>
      <c r="B5" s="516"/>
      <c r="C5" s="526"/>
      <c r="D5" s="527"/>
      <c r="E5" s="2"/>
      <c r="F5" s="4"/>
      <c r="G5" s="4"/>
      <c r="H5" s="4"/>
      <c r="I5" s="530" t="s">
        <v>605</v>
      </c>
      <c r="J5" s="531" t="s">
        <v>706</v>
      </c>
    </row>
    <row r="6" spans="1:11" ht="12.75" customHeight="1">
      <c r="A6" s="515"/>
      <c r="B6" s="517"/>
      <c r="C6" s="516"/>
      <c r="D6" s="528"/>
      <c r="E6" s="2"/>
      <c r="F6" s="4"/>
      <c r="G6" s="4"/>
      <c r="H6" s="4"/>
      <c r="I6" s="532"/>
      <c r="J6" s="533"/>
    </row>
    <row r="7" spans="1:11" ht="12.75">
      <c r="A7" s="498" t="s">
        <v>274</v>
      </c>
      <c r="B7" s="518" t="s">
        <v>716</v>
      </c>
      <c r="C7" s="152">
        <v>187891.83900000001</v>
      </c>
      <c r="D7" s="153">
        <v>392422.86700000003</v>
      </c>
      <c r="E7" s="112"/>
      <c r="F7" s="56"/>
      <c r="G7" s="56"/>
      <c r="H7" s="4"/>
      <c r="I7" s="534">
        <f>C7*1000/invanare</f>
        <v>17712.272422999878</v>
      </c>
      <c r="J7" s="535">
        <f t="shared" ref="I7:J12" si="0">D7*1000/invanare</f>
        <v>36993.095401650993</v>
      </c>
    </row>
    <row r="8" spans="1:11" ht="12.75">
      <c r="A8" s="496" t="s">
        <v>275</v>
      </c>
      <c r="B8" s="518" t="s">
        <v>717</v>
      </c>
      <c r="C8" s="152">
        <v>870227.19</v>
      </c>
      <c r="D8" s="153">
        <v>1007248.073</v>
      </c>
      <c r="E8" s="112"/>
      <c r="F8" s="56"/>
      <c r="G8" s="56"/>
      <c r="H8" s="4"/>
      <c r="I8" s="536">
        <f>C8*1000/invanare*-1</f>
        <v>-82034.968315902617</v>
      </c>
      <c r="J8" s="535">
        <f>D8*1000/invanare*-1</f>
        <v>-94951.714568708165</v>
      </c>
    </row>
    <row r="9" spans="1:11" ht="13.5" customHeight="1">
      <c r="A9" s="496" t="s">
        <v>276</v>
      </c>
      <c r="B9" s="518" t="s">
        <v>920</v>
      </c>
      <c r="C9" s="55">
        <v>44375.749000000003</v>
      </c>
      <c r="D9" s="154">
        <v>86997.395000000004</v>
      </c>
      <c r="E9" s="112"/>
      <c r="F9" s="56"/>
      <c r="G9" s="56"/>
      <c r="H9" s="4"/>
      <c r="I9" s="534">
        <f>C9*1000/invanare*-1</f>
        <v>-4183.2330741233764</v>
      </c>
      <c r="J9" s="535">
        <f>D9*1000/invanare*-1</f>
        <v>-8201.1095773634297</v>
      </c>
    </row>
    <row r="10" spans="1:11" ht="13.5" thickBot="1">
      <c r="A10" s="490" t="s">
        <v>277</v>
      </c>
      <c r="B10" s="519" t="s">
        <v>607</v>
      </c>
      <c r="C10" s="271">
        <f>C7-SUM(C8:C9)</f>
        <v>-726711.09999999986</v>
      </c>
      <c r="D10" s="272">
        <f>D7-SUM(D8:D9)</f>
        <v>-701822.60099999979</v>
      </c>
      <c r="E10" s="156"/>
      <c r="F10" s="56"/>
      <c r="G10" s="56"/>
      <c r="H10" s="4"/>
      <c r="I10" s="537">
        <f t="shared" si="0"/>
        <v>-68505.928967026106</v>
      </c>
      <c r="J10" s="535">
        <f t="shared" si="0"/>
        <v>-66159.728744420572</v>
      </c>
    </row>
    <row r="11" spans="1:11" ht="12.75">
      <c r="A11" s="520" t="s">
        <v>278</v>
      </c>
      <c r="B11" s="521" t="s">
        <v>608</v>
      </c>
      <c r="C11" s="85">
        <f>'Skatter, bidrag o fin poster'!D14</f>
        <v>615471.054</v>
      </c>
      <c r="D11" s="1078">
        <f>C11</f>
        <v>615471.054</v>
      </c>
      <c r="E11" s="156"/>
      <c r="F11" s="56"/>
      <c r="G11" s="56"/>
      <c r="H11" s="4"/>
      <c r="I11" s="538">
        <f t="shared" si="0"/>
        <v>58019.502256928092</v>
      </c>
      <c r="J11" s="539">
        <f t="shared" si="0"/>
        <v>58019.502256928092</v>
      </c>
    </row>
    <row r="12" spans="1:11" ht="12.75">
      <c r="A12" s="496" t="s">
        <v>279</v>
      </c>
      <c r="B12" s="1762" t="s">
        <v>1006</v>
      </c>
      <c r="C12" s="86">
        <f>'Skatter, bidrag o fin poster'!D28-'Skatter, bidrag o fin poster'!D39+'Skatter, bidrag o fin poster'!D41</f>
        <v>146884.22199999998</v>
      </c>
      <c r="D12" s="1079">
        <f>C12</f>
        <v>146884.22199999998</v>
      </c>
      <c r="E12" s="156"/>
      <c r="F12" s="56"/>
      <c r="G12" s="56"/>
      <c r="H12" s="4"/>
      <c r="I12" s="534">
        <f t="shared" si="0"/>
        <v>13846.547931783198</v>
      </c>
      <c r="J12" s="540">
        <f t="shared" si="0"/>
        <v>13846.547931783198</v>
      </c>
    </row>
    <row r="13" spans="1:11" ht="13.5" thickBot="1">
      <c r="A13" s="500" t="s">
        <v>292</v>
      </c>
      <c r="B13" s="1763" t="s">
        <v>1054</v>
      </c>
      <c r="C13" s="271">
        <f>SUM(C10:C12)</f>
        <v>35644.176000000123</v>
      </c>
      <c r="D13" s="272">
        <f>SUM(D10:D12)</f>
        <v>60532.675000000192</v>
      </c>
      <c r="E13" s="156"/>
      <c r="F13" s="56"/>
      <c r="G13" s="56"/>
      <c r="H13" s="4"/>
      <c r="I13" s="537">
        <f t="shared" ref="I13" si="1">C13*1000/invanare</f>
        <v>3360.1212216851868</v>
      </c>
      <c r="J13" s="544">
        <f t="shared" ref="J13" si="2">D13*1000/invanare</f>
        <v>5706.3214442907101</v>
      </c>
    </row>
    <row r="14" spans="1:11" ht="12.75">
      <c r="A14" s="496" t="s">
        <v>280</v>
      </c>
      <c r="B14" s="518" t="s">
        <v>609</v>
      </c>
      <c r="C14" s="152">
        <v>24467.491000000002</v>
      </c>
      <c r="D14" s="1633">
        <v>11015.947</v>
      </c>
      <c r="E14" s="112"/>
      <c r="F14" s="63"/>
      <c r="G14" s="56"/>
      <c r="H14" s="4"/>
      <c r="I14" s="2408">
        <f>(C14-C15)*1000/invanare</f>
        <v>-32.041940410461613</v>
      </c>
      <c r="J14" s="2410">
        <f>(D14-D15)*1000/invanare</f>
        <v>-1673.2662123115915</v>
      </c>
    </row>
    <row r="15" spans="1:11" ht="12.75">
      <c r="A15" s="498" t="s">
        <v>281</v>
      </c>
      <c r="B15" s="522" t="s">
        <v>610</v>
      </c>
      <c r="C15" s="152">
        <v>24807.392</v>
      </c>
      <c r="D15" s="1633">
        <v>28765.96</v>
      </c>
      <c r="E15" s="112"/>
      <c r="F15" s="63"/>
      <c r="G15" s="56"/>
      <c r="H15" s="4"/>
      <c r="I15" s="2409"/>
      <c r="J15" s="2411"/>
    </row>
    <row r="16" spans="1:11" ht="13.5" thickBot="1">
      <c r="A16" s="453" t="s">
        <v>282</v>
      </c>
      <c r="B16" s="523" t="s">
        <v>1007</v>
      </c>
      <c r="C16" s="271">
        <f>SUM(C13:C14)-C15</f>
        <v>35304.275000000125</v>
      </c>
      <c r="D16" s="281">
        <f>SUM(D13:D14)-D15</f>
        <v>42782.662000000193</v>
      </c>
      <c r="E16" s="156"/>
      <c r="G16" s="1989"/>
      <c r="H16" s="4"/>
      <c r="I16" s="537">
        <f>C16*1000/invanare</f>
        <v>3328.079281274725</v>
      </c>
      <c r="J16" s="544">
        <f>D16*1000/invanare</f>
        <v>4033.0552319791191</v>
      </c>
    </row>
    <row r="17" spans="1:10" ht="12.75">
      <c r="A17" s="520" t="s">
        <v>318</v>
      </c>
      <c r="B17" s="521" t="s">
        <v>1008</v>
      </c>
      <c r="C17" s="152">
        <v>137.69999999999999</v>
      </c>
      <c r="D17" s="1633">
        <v>1489.865</v>
      </c>
      <c r="E17" s="1989"/>
      <c r="G17" s="1989"/>
      <c r="H17" s="4"/>
      <c r="I17" s="1839">
        <f>(C17)*1000/invanare</f>
        <v>12.980765559738247</v>
      </c>
      <c r="J17" s="1840">
        <f>(D17)*1000/invanare</f>
        <v>140.4472642023197</v>
      </c>
    </row>
    <row r="18" spans="1:10" ht="13.5" thickBot="1">
      <c r="A18" s="1855" t="s">
        <v>208</v>
      </c>
      <c r="B18" s="1118" t="s">
        <v>611</v>
      </c>
      <c r="C18" s="271">
        <f>SUM(C16:C17)</f>
        <v>35441.975000000122</v>
      </c>
      <c r="D18" s="281">
        <f>SUM(D16:D17)</f>
        <v>44272.527000000191</v>
      </c>
      <c r="E18" s="1989"/>
      <c r="G18" s="1989"/>
      <c r="H18" s="4"/>
      <c r="I18" s="542"/>
      <c r="J18" s="543"/>
    </row>
    <row r="19" spans="1:10" ht="13.5" thickBot="1">
      <c r="A19" s="1853"/>
      <c r="B19" s="1854"/>
      <c r="E19" s="1989"/>
      <c r="G19" s="1989"/>
      <c r="H19" s="4"/>
      <c r="I19" s="537">
        <f>C18*1000/invanare</f>
        <v>3341.0600468344624</v>
      </c>
      <c r="J19" s="544">
        <f>D18*1000/invanare</f>
        <v>4173.5024961814388</v>
      </c>
    </row>
    <row r="20" spans="1:10" ht="15.75" customHeight="1">
      <c r="A20" s="12"/>
      <c r="B20" s="3"/>
      <c r="C20" s="3"/>
      <c r="D20" s="3"/>
      <c r="E20" s="1989"/>
      <c r="F20" s="151"/>
      <c r="G20" s="1989"/>
      <c r="H20" s="4"/>
      <c r="I20" s="4"/>
      <c r="J20" s="4"/>
    </row>
    <row r="21" spans="1:10" ht="15.75" customHeight="1" thickBot="1">
      <c r="A21" s="30" t="s">
        <v>996</v>
      </c>
      <c r="B21" s="3"/>
      <c r="C21" s="3"/>
      <c r="D21" s="3"/>
      <c r="E21" s="1989"/>
      <c r="F21" s="151"/>
      <c r="G21" s="1989"/>
      <c r="H21" s="4"/>
      <c r="I21" s="4"/>
      <c r="J21" s="4"/>
    </row>
    <row r="22" spans="1:10" ht="15.75" customHeight="1">
      <c r="A22" s="520"/>
      <c r="B22" s="1717"/>
      <c r="C22" s="1718"/>
      <c r="D22" s="3"/>
      <c r="E22" s="1989"/>
      <c r="F22" s="151"/>
      <c r="G22" s="1989"/>
      <c r="H22" s="4"/>
      <c r="I22" s="4"/>
      <c r="J22" s="4"/>
    </row>
    <row r="23" spans="1:10" ht="13.5" customHeight="1">
      <c r="A23" s="498" t="s">
        <v>335</v>
      </c>
      <c r="B23" s="522" t="s">
        <v>1109</v>
      </c>
      <c r="C23" s="1721">
        <v>6363.3980000000001</v>
      </c>
      <c r="D23" s="3"/>
      <c r="E23" s="1989"/>
      <c r="F23" s="151"/>
      <c r="G23" s="1989"/>
      <c r="H23" s="4"/>
      <c r="I23" s="4"/>
      <c r="J23" s="4"/>
    </row>
    <row r="24" spans="1:10" ht="13.5" customHeight="1">
      <c r="A24" s="498" t="s">
        <v>624</v>
      </c>
      <c r="B24" s="522" t="s">
        <v>1110</v>
      </c>
      <c r="C24" s="1721">
        <v>-1091.056</v>
      </c>
      <c r="D24" s="3"/>
      <c r="E24" s="1989"/>
      <c r="F24" s="151"/>
      <c r="G24" s="1989"/>
      <c r="H24" s="4"/>
      <c r="I24" s="4"/>
      <c r="J24" s="4"/>
    </row>
    <row r="25" spans="1:10" ht="13.5" customHeight="1">
      <c r="A25" s="498" t="s">
        <v>997</v>
      </c>
      <c r="B25" s="522" t="s">
        <v>1111</v>
      </c>
      <c r="C25" s="1721">
        <v>38.723999999999997</v>
      </c>
      <c r="D25" s="3"/>
      <c r="E25" s="1989"/>
      <c r="F25" s="151"/>
      <c r="G25" s="1989"/>
      <c r="H25" s="4"/>
      <c r="I25" s="4"/>
      <c r="J25" s="4"/>
    </row>
    <row r="26" spans="1:10" ht="13.5" customHeight="1">
      <c r="A26" s="498" t="s">
        <v>998</v>
      </c>
      <c r="B26" s="522" t="s">
        <v>1113</v>
      </c>
      <c r="C26" s="1721">
        <v>1403.54</v>
      </c>
      <c r="D26" s="3"/>
      <c r="E26" s="1989"/>
      <c r="F26" s="151"/>
      <c r="G26" s="1989"/>
      <c r="H26" s="4"/>
      <c r="I26" s="4"/>
      <c r="J26" s="4"/>
    </row>
    <row r="27" spans="1:10" ht="13.5" customHeight="1" thickBot="1">
      <c r="A27" s="500" t="s">
        <v>999</v>
      </c>
      <c r="B27" s="1910" t="s">
        <v>1112</v>
      </c>
      <c r="C27" s="1722">
        <v>851.50199999999995</v>
      </c>
      <c r="D27" s="3"/>
      <c r="E27" s="1989"/>
      <c r="F27" s="151"/>
      <c r="G27" s="1989"/>
      <c r="H27" s="4"/>
      <c r="I27" s="4"/>
      <c r="J27" s="4"/>
    </row>
    <row r="28" spans="1:10" ht="15.75" customHeight="1" thickBot="1">
      <c r="A28" s="12"/>
      <c r="B28" s="3"/>
      <c r="C28" s="3"/>
      <c r="D28" s="3"/>
      <c r="E28" s="2"/>
      <c r="F28" s="151"/>
      <c r="G28" s="1989"/>
      <c r="H28" s="4"/>
      <c r="I28" s="4"/>
      <c r="J28" s="4"/>
    </row>
    <row r="29" spans="1:10" ht="18" customHeight="1" thickBot="1">
      <c r="A29" s="30" t="s">
        <v>144</v>
      </c>
      <c r="B29" s="4"/>
      <c r="C29" s="4"/>
      <c r="D29" s="4"/>
      <c r="E29" s="4"/>
      <c r="F29" s="4"/>
      <c r="G29" s="1989"/>
      <c r="H29" s="4"/>
      <c r="I29" s="545" t="s">
        <v>450</v>
      </c>
    </row>
    <row r="30" spans="1:10" ht="13.5" thickBot="1">
      <c r="A30" s="1954">
        <v>130</v>
      </c>
      <c r="B30" s="1956" t="s">
        <v>145</v>
      </c>
      <c r="C30" s="278">
        <f>C18</f>
        <v>35441.975000000122</v>
      </c>
      <c r="D30" s="4"/>
      <c r="E30" s="4"/>
      <c r="F30" s="4"/>
      <c r="G30" s="1989"/>
      <c r="H30" s="4"/>
      <c r="I30" s="546">
        <f>C30*1000/invanare</f>
        <v>3341.0600468344624</v>
      </c>
      <c r="J30" s="4"/>
    </row>
    <row r="31" spans="1:10" ht="12.75">
      <c r="A31" s="1439">
        <v>131</v>
      </c>
      <c r="B31" s="529" t="str">
        <f>"- reducering av samtliga realisationsvinster"</f>
        <v>- reducering av samtliga realisationsvinster</v>
      </c>
      <c r="C31" s="87">
        <v>3541.5569999999998</v>
      </c>
      <c r="D31" s="112"/>
      <c r="E31" s="4"/>
      <c r="F31" s="4"/>
      <c r="G31" s="1989"/>
      <c r="H31" s="4"/>
      <c r="I31" s="547"/>
      <c r="J31" s="4"/>
    </row>
    <row r="32" spans="1:10" ht="12.75">
      <c r="A32" s="111">
        <v>132</v>
      </c>
      <c r="B32" s="529" t="str">
        <f>"+ justering för realisationsvinster enl. undantagsmöjlighet"</f>
        <v>+ justering för realisationsvinster enl. undantagsmöjlighet</v>
      </c>
      <c r="C32" s="87">
        <v>1139.5650000000001</v>
      </c>
      <c r="D32" s="112"/>
      <c r="E32" s="4"/>
      <c r="G32" s="1989"/>
      <c r="H32" s="4"/>
      <c r="I32" s="549"/>
      <c r="J32" s="4"/>
    </row>
    <row r="33" spans="1:11" ht="12.75">
      <c r="A33" s="111">
        <v>135</v>
      </c>
      <c r="B33" s="529" t="str">
        <f>"+ justering av realisationsförluster enl. undantagsmöjlighet"</f>
        <v>+ justering av realisationsförluster enl. undantagsmöjlighet</v>
      </c>
      <c r="C33" s="155">
        <v>38.549999999999997</v>
      </c>
      <c r="D33" s="112"/>
      <c r="E33" s="4"/>
      <c r="F33" s="4"/>
      <c r="G33" s="1989"/>
      <c r="H33" s="4"/>
      <c r="I33" s="1125"/>
      <c r="J33" s="4"/>
    </row>
    <row r="34" spans="1:11" ht="13.5" customHeight="1">
      <c r="A34" s="1846">
        <v>136</v>
      </c>
      <c r="B34" s="529" t="str">
        <f>"-/+ orealiserade vinster och förluster i värdepapper"</f>
        <v>-/+ orealiserade vinster och förluster i värdepapper</v>
      </c>
      <c r="C34" s="155">
        <v>-978.06700000000001</v>
      </c>
      <c r="D34" s="112"/>
      <c r="E34" s="4"/>
      <c r="F34" s="4"/>
      <c r="G34" s="1989"/>
      <c r="H34" s="4"/>
      <c r="I34" s="549"/>
      <c r="J34" s="4"/>
    </row>
    <row r="35" spans="1:11" ht="12.75" customHeight="1">
      <c r="A35" s="474">
        <v>140</v>
      </c>
      <c r="B35" s="522" t="str">
        <f>"+/- återföring av orealiserade vinster och förluster i värdepapper"</f>
        <v>+/- återföring av orealiserade vinster och förluster i värdepapper</v>
      </c>
      <c r="C35" s="155">
        <v>991.89099999999996</v>
      </c>
      <c r="D35" s="112"/>
      <c r="E35" s="4"/>
      <c r="F35" s="4"/>
      <c r="H35" s="4"/>
      <c r="I35" s="549"/>
      <c r="J35" s="4"/>
    </row>
    <row r="36" spans="1:11" ht="12.75" customHeight="1" thickBot="1">
      <c r="A36" s="476">
        <v>141</v>
      </c>
      <c r="B36" s="1304" t="str">
        <f xml:space="preserve"> " = Årets resultat efter balanskravsjusteringar"</f>
        <v xml:space="preserve"> = Årets resultat efter balanskravsjusteringar</v>
      </c>
      <c r="C36" s="272">
        <f>C30-C31+C32+C33+C34+C35</f>
        <v>33092.357000000127</v>
      </c>
      <c r="D36" s="112"/>
      <c r="E36" s="4"/>
      <c r="F36" s="4"/>
      <c r="G36" s="1093"/>
      <c r="H36" s="4"/>
      <c r="I36" s="549"/>
      <c r="J36" s="4"/>
    </row>
    <row r="37" spans="1:11" ht="13.5" customHeight="1">
      <c r="A37" s="2003">
        <v>138</v>
      </c>
      <c r="B37" s="2009" t="str">
        <f>"- reservering av medel till resultatreserv"</f>
        <v>- reservering av medel till resultatreserv</v>
      </c>
      <c r="C37" s="87">
        <v>8595.3320000000003</v>
      </c>
      <c r="D37" s="112" t="str">
        <f>IF(AND(C36&lt;0,C37&lt;&gt;0),"Ni har reserverat medel till RER utan positivt resultat efter balanskravsjuteringar . Åtgärda eller kommentera!",
IF(AND(C36&gt;=0,C37&gt;C36),"Reservering av medel till RER överstiger ert resultat efter balanskravsjusteringar - Åtgärda eller kommentera!",""))</f>
        <v/>
      </c>
      <c r="E37" s="4"/>
      <c r="F37" s="4"/>
      <c r="G37" s="1093"/>
      <c r="H37" s="4"/>
      <c r="I37" s="549"/>
      <c r="J37" s="4"/>
    </row>
    <row r="38" spans="1:11" ht="13.5" customHeight="1">
      <c r="A38" s="2003">
        <v>139</v>
      </c>
      <c r="B38" s="2010" t="str">
        <f>"+ användning av medel från resultatreserv"</f>
        <v>+ användning av medel från resultatreserv</v>
      </c>
      <c r="C38" s="155">
        <v>0</v>
      </c>
      <c r="D38" s="112" t="str">
        <f>IF(C38 &gt; BR!D43,"Ni har använt mer medel från RER än vad som finns angivet som ingående balans i balansräkningen. Åtgärda eller kommentera!",IF(AND(C36&gt;0,C38&lt;&gt;0),"Ni har använt medel från RER utan negativt resultat efter balanskravsjuteringar. Åtgärda eller kommentera!",""))</f>
        <v/>
      </c>
      <c r="E38" s="4"/>
      <c r="F38" s="4"/>
      <c r="G38" s="1093"/>
      <c r="H38" s="4"/>
      <c r="I38" s="549"/>
      <c r="J38" s="4"/>
    </row>
    <row r="39" spans="1:11" ht="12.75" customHeight="1">
      <c r="A39" s="474">
        <v>143</v>
      </c>
      <c r="B39" s="522" t="str">
        <f>"+ användning av medel från resultatutjämningsreserv"</f>
        <v>+ användning av medel från resultatutjämningsreserv</v>
      </c>
      <c r="C39" s="155">
        <v>318.94299999999998</v>
      </c>
      <c r="D39" s="112"/>
      <c r="E39" s="4"/>
      <c r="F39" s="4"/>
      <c r="G39" s="1093"/>
      <c r="H39" s="4"/>
      <c r="I39" s="549"/>
      <c r="J39" s="4"/>
    </row>
    <row r="40" spans="1:11" ht="12.75" customHeight="1" thickBot="1">
      <c r="A40" s="1955">
        <v>133</v>
      </c>
      <c r="B40" s="1304" t="str">
        <f>"= Balanskravsresultat"</f>
        <v>= Balanskravsresultat</v>
      </c>
      <c r="C40" s="272">
        <f>C36-C37+C38+C39</f>
        <v>24815.968000000124</v>
      </c>
      <c r="D40" s="112"/>
      <c r="E40" s="4"/>
      <c r="F40" s="4"/>
      <c r="G40" s="447"/>
      <c r="H40" s="4"/>
      <c r="I40" s="1494">
        <f>C40*1000/invanare</f>
        <v>2339.3628376613506</v>
      </c>
      <c r="J40" s="4"/>
    </row>
    <row r="41" spans="1:11" ht="30" customHeight="1">
      <c r="A41" s="2004"/>
      <c r="B41" s="2011" t="s">
        <v>1232</v>
      </c>
      <c r="C41" s="1957"/>
      <c r="D41" s="4"/>
      <c r="E41" s="1959"/>
      <c r="F41" s="4"/>
      <c r="G41" s="447"/>
      <c r="H41" s="4"/>
      <c r="I41" s="549"/>
      <c r="J41" s="4"/>
    </row>
    <row r="42" spans="1:11" ht="21" customHeight="1">
      <c r="A42" s="2005">
        <v>104</v>
      </c>
      <c r="B42" s="2012" t="s">
        <v>1228</v>
      </c>
      <c r="C42" s="87">
        <v>-144.83199999999999</v>
      </c>
      <c r="D42" s="1117"/>
      <c r="E42" s="4"/>
      <c r="F42" s="4"/>
      <c r="G42" s="447"/>
      <c r="H42" s="4"/>
      <c r="I42" s="549"/>
      <c r="J42" s="4"/>
    </row>
    <row r="43" spans="1:11" ht="21" customHeight="1">
      <c r="A43" s="2006">
        <v>105</v>
      </c>
      <c r="B43" s="2013" t="s">
        <v>1230</v>
      </c>
      <c r="C43" s="155">
        <v>0</v>
      </c>
      <c r="D43" s="112"/>
      <c r="E43" s="4"/>
      <c r="F43" s="4"/>
      <c r="G43" s="447"/>
      <c r="H43" s="4"/>
      <c r="I43" s="548"/>
      <c r="J43" s="4"/>
    </row>
    <row r="44" spans="1:11" ht="12.75" customHeight="1" thickBot="1">
      <c r="A44" s="2007">
        <v>106</v>
      </c>
      <c r="B44" s="2014" t="s">
        <v>1231</v>
      </c>
      <c r="C44" s="283">
        <f>-261</f>
        <v>-261</v>
      </c>
      <c r="D44" s="1101"/>
      <c r="E44" s="4"/>
      <c r="F44" s="4"/>
      <c r="G44" s="447"/>
      <c r="H44" s="4"/>
      <c r="I44" s="550">
        <f>C44*1000/invanare</f>
        <v>-24.604065440026741</v>
      </c>
      <c r="J44" s="4"/>
    </row>
    <row r="45" spans="1:11" ht="30" customHeight="1" thickBot="1">
      <c r="A45" s="2008"/>
      <c r="B45" s="2011" t="s">
        <v>1229</v>
      </c>
      <c r="C45" s="1957"/>
      <c r="D45" s="1958"/>
      <c r="E45" s="4"/>
      <c r="F45" s="4"/>
      <c r="G45" s="4"/>
      <c r="H45" s="4"/>
      <c r="I45" s="4"/>
      <c r="J45" s="4"/>
    </row>
    <row r="46" spans="1:11" ht="12.75" customHeight="1">
      <c r="A46" s="2005">
        <v>107</v>
      </c>
      <c r="B46" s="2015" t="s">
        <v>1233</v>
      </c>
      <c r="C46" s="87">
        <v>-1389.1389999999999</v>
      </c>
      <c r="D46" s="1117"/>
      <c r="E46" s="4"/>
      <c r="F46" s="4"/>
      <c r="G46" s="551" t="s">
        <v>507</v>
      </c>
      <c r="H46" s="1997"/>
      <c r="I46" s="2400" t="s">
        <v>140</v>
      </c>
      <c r="J46" s="2401"/>
      <c r="K46" s="1964"/>
    </row>
    <row r="47" spans="1:11" ht="30" customHeight="1" thickBot="1">
      <c r="A47" s="2007">
        <v>108</v>
      </c>
      <c r="B47" s="2016" t="s">
        <v>1234</v>
      </c>
      <c r="C47" s="272">
        <f>-1211</f>
        <v>-1211</v>
      </c>
      <c r="D47" s="4"/>
      <c r="E47" s="4"/>
      <c r="G47" s="1991"/>
      <c r="H47" s="1998"/>
      <c r="I47" s="1993" t="s">
        <v>605</v>
      </c>
      <c r="J47" s="1992" t="s">
        <v>706</v>
      </c>
    </row>
    <row r="48" spans="1:11" ht="19.5" customHeight="1">
      <c r="B48" s="1960"/>
      <c r="G48" s="2402" t="s">
        <v>1157</v>
      </c>
      <c r="H48" s="2403"/>
      <c r="I48" s="1994">
        <f>IF(ISERROR(C10*100/SUM(C11:C12)*-1),0,C10*100/SUM(C11:C12)*-1)</f>
        <v>95.324466541764963</v>
      </c>
      <c r="J48" s="1990">
        <f>IF(ISERROR(D10*100/SUM(D11:D12)*-1),0,D10*100/SUM(D11:D12)*-1)</f>
        <v>92.059781455490295</v>
      </c>
    </row>
    <row r="49" spans="1:10" ht="15">
      <c r="G49" s="553" t="s">
        <v>1158</v>
      </c>
      <c r="H49" s="1999"/>
      <c r="I49" s="1995">
        <f>IF(ISERROR((C14-C15)*100/SUM(C11:C12)),0,(C14-C15)*100/SUM(C11:C12))</f>
        <v>-4.458564277057591E-2</v>
      </c>
      <c r="J49" s="552">
        <f>IF(ISERROR((D14-D15)*100/SUM(D11:D12)),0,(D14-D15)*100/SUM(D11:D12))</f>
        <v>-2.3283124756652174</v>
      </c>
    </row>
    <row r="50" spans="1:10" ht="19.5" customHeight="1">
      <c r="A50" s="2387" t="s">
        <v>1251</v>
      </c>
      <c r="B50" s="1864"/>
      <c r="C50" s="2388"/>
      <c r="G50" s="2404" t="s">
        <v>1159</v>
      </c>
      <c r="H50" s="2405"/>
      <c r="I50" s="1995">
        <f>IF(ISERROR(C16*100/SUM(C11:C12)),0,C16*100/SUM(C11:C12))</f>
        <v>4.6309478154644692</v>
      </c>
      <c r="J50" s="552">
        <f>IF(ISERROR(D16*100/SUM(D11:D12)),0,D16*100/SUM(D11:D12))</f>
        <v>5.6119060688444948</v>
      </c>
    </row>
    <row r="51" spans="1:10" ht="19.5" customHeight="1">
      <c r="A51" s="2394" t="s">
        <v>1252</v>
      </c>
      <c r="B51" s="2395"/>
      <c r="C51" s="2396"/>
      <c r="G51" s="553" t="s">
        <v>1160</v>
      </c>
      <c r="H51" s="1999"/>
      <c r="I51" s="1995">
        <f>IF(ISERROR(C18*100/SUM(C11:C12)),0,C18*100/SUM(C11:C12))</f>
        <v>4.6490102601454444</v>
      </c>
      <c r="J51" s="552">
        <f>IF(ISERROR(D18*100/SUM(D11:D12)),0,D18*100/SUM(D11:D12))</f>
        <v>5.8073352928432005</v>
      </c>
    </row>
    <row r="52" spans="1:10" ht="13.5" customHeight="1">
      <c r="A52" s="2394"/>
      <c r="B52" s="2395"/>
      <c r="C52" s="2396"/>
      <c r="G52" s="554" t="s">
        <v>516</v>
      </c>
      <c r="H52" s="2000"/>
      <c r="I52" s="1995">
        <f>IF(C8&gt;0,C7*100/(C8+C9),0)</f>
        <v>20.543542010201222</v>
      </c>
      <c r="J52" s="552">
        <f>IF(D8&gt;0,D7*100/(D8+D9),0)</f>
        <v>35.862416475642199</v>
      </c>
    </row>
    <row r="53" spans="1:10" ht="14.25" customHeight="1">
      <c r="A53" s="2394"/>
      <c r="B53" s="2395"/>
      <c r="C53" s="2396"/>
      <c r="G53" s="554" t="s">
        <v>711</v>
      </c>
      <c r="H53" s="2001"/>
      <c r="I53" s="1995">
        <f>IF(ISERROR((Investeringar!C7+Investeringar!D7+Investeringar!E7-Investeringar!C78)*100/SUM(C11:C12)),0,(Investeringar!C7+Investeringar!D7+Investeringar!E7-Investeringar!C78)*100/SUM(C11:C12))</f>
        <v>12.623503769127192</v>
      </c>
      <c r="J53" s="555"/>
    </row>
    <row r="54" spans="1:10" ht="12.75" customHeight="1">
      <c r="A54" s="2394"/>
      <c r="B54" s="2395"/>
      <c r="C54" s="2396"/>
      <c r="G54" s="554" t="s">
        <v>508</v>
      </c>
      <c r="H54" s="2001"/>
      <c r="I54" s="1995">
        <f>IF(ISERROR((Investeringar!C8+Investeringar!D8+Investeringar!E8)*100/SUM(C11:C12)*-1),0,(Investeringar!C8+Investeringar!D8+Investeringar!E8)*100/SUM(C11:C12)*-1)</f>
        <v>0.55147122770092827</v>
      </c>
      <c r="J54" s="556"/>
    </row>
    <row r="55" spans="1:10" ht="12.75" customHeight="1">
      <c r="A55" s="2394"/>
      <c r="B55" s="2395"/>
      <c r="C55" s="2396"/>
      <c r="G55" s="554" t="s">
        <v>509</v>
      </c>
      <c r="H55" s="2001"/>
      <c r="I55" s="1995">
        <f>IF(ISERROR(SUM(Investeringar!C8:E8)/(Investeringar!C66)*-1),0,(SUM(Investeringar!C8:E8)/(Investeringar!C66)*-1)*100)</f>
        <v>4.2534608912615139</v>
      </c>
      <c r="J55" s="556"/>
    </row>
    <row r="56" spans="1:10" ht="12.75" customHeight="1" thickBot="1">
      <c r="A56" s="2394"/>
      <c r="B56" s="2395"/>
      <c r="C56" s="2396"/>
      <c r="G56" s="557" t="s">
        <v>1045</v>
      </c>
      <c r="H56" s="2002"/>
      <c r="I56" s="1996">
        <f>IF(ISERROR(BR!D32*100/RR!C8),0,BR!D32*100/RR!C8)</f>
        <v>6.3649048933991592</v>
      </c>
      <c r="J56" s="558"/>
    </row>
    <row r="57" spans="1:10" ht="12.75">
      <c r="A57" s="2394"/>
      <c r="B57" s="2395"/>
      <c r="C57" s="2396"/>
      <c r="G57" s="67"/>
      <c r="H57" s="1122"/>
      <c r="I57" s="1123"/>
      <c r="J57" s="1124"/>
    </row>
    <row r="58" spans="1:10" ht="12.75">
      <c r="A58" s="2394"/>
      <c r="B58" s="2395"/>
      <c r="C58" s="2396"/>
      <c r="G58" s="67"/>
      <c r="H58" s="1122"/>
      <c r="I58" s="1123"/>
      <c r="J58" s="1124"/>
    </row>
    <row r="59" spans="1:10" ht="19.5" customHeight="1">
      <c r="A59" s="2394"/>
      <c r="B59" s="2395"/>
      <c r="C59" s="2396"/>
      <c r="G59" s="67"/>
      <c r="H59" s="1122"/>
      <c r="I59" s="1123"/>
      <c r="J59" s="1124"/>
    </row>
    <row r="60" spans="1:10" ht="12.75">
      <c r="A60" s="2394"/>
      <c r="B60" s="2395"/>
      <c r="C60" s="2396"/>
      <c r="G60" s="67"/>
      <c r="H60" s="1122"/>
      <c r="I60" s="1123"/>
      <c r="J60" s="1124"/>
    </row>
    <row r="61" spans="1:10" ht="12.75" hidden="1" customHeight="1">
      <c r="A61" s="2394"/>
      <c r="B61" s="2395"/>
      <c r="C61" s="2396"/>
      <c r="G61" s="713"/>
      <c r="H61" s="1119"/>
      <c r="I61" s="1120"/>
      <c r="J61" s="1121"/>
    </row>
    <row r="62" spans="1:10" ht="12.75" hidden="1" customHeight="1">
      <c r="A62" s="2394"/>
      <c r="B62" s="2395"/>
      <c r="C62" s="2396"/>
    </row>
    <row r="63" spans="1:10" ht="12.75" hidden="1" customHeight="1">
      <c r="A63" s="2394"/>
      <c r="B63" s="2395"/>
      <c r="C63" s="2396"/>
    </row>
    <row r="64" spans="1:10" ht="12.75" hidden="1" customHeight="1">
      <c r="A64" s="2394"/>
      <c r="B64" s="2395"/>
      <c r="C64" s="2396"/>
    </row>
    <row r="65" spans="1:3" ht="12.75" hidden="1" customHeight="1">
      <c r="A65" s="2394"/>
      <c r="B65" s="2395"/>
      <c r="C65" s="2396"/>
    </row>
    <row r="66" spans="1:3" ht="12.75" hidden="1" customHeight="1">
      <c r="A66" s="2394"/>
      <c r="B66" s="2395"/>
      <c r="C66" s="2396"/>
    </row>
    <row r="67" spans="1:3" ht="12.75" hidden="1" customHeight="1">
      <c r="A67" s="2394"/>
      <c r="B67" s="2395"/>
      <c r="C67" s="2396"/>
    </row>
    <row r="68" spans="1:3" ht="12.75" hidden="1" customHeight="1">
      <c r="A68" s="2394"/>
      <c r="B68" s="2395"/>
      <c r="C68" s="2396"/>
    </row>
    <row r="69" spans="1:3" ht="12.75" hidden="1" customHeight="1">
      <c r="A69" s="2394"/>
      <c r="B69" s="2395"/>
      <c r="C69" s="2396"/>
    </row>
    <row r="70" spans="1:3" ht="12.75" hidden="1" customHeight="1">
      <c r="A70" s="2394"/>
      <c r="B70" s="2395"/>
      <c r="C70" s="2396"/>
    </row>
    <row r="71" spans="1:3" ht="12.75" hidden="1" customHeight="1">
      <c r="A71" s="2394"/>
      <c r="B71" s="2395"/>
      <c r="C71" s="2396"/>
    </row>
    <row r="72" spans="1:3" ht="12.75" hidden="1" customHeight="1">
      <c r="A72" s="2394"/>
      <c r="B72" s="2395"/>
      <c r="C72" s="2396"/>
    </row>
    <row r="73" spans="1:3" ht="12.75" hidden="1" customHeight="1">
      <c r="A73" s="2394"/>
      <c r="B73" s="2395"/>
      <c r="C73" s="2396"/>
    </row>
    <row r="74" spans="1:3" ht="35.25" customHeight="1">
      <c r="A74" s="2394"/>
      <c r="B74" s="2395"/>
      <c r="C74" s="2396"/>
    </row>
    <row r="75" spans="1:3" ht="7.5" customHeight="1">
      <c r="A75" s="2397"/>
      <c r="B75" s="2398"/>
      <c r="C75" s="2399"/>
    </row>
  </sheetData>
  <mergeCells count="7">
    <mergeCell ref="A51:C75"/>
    <mergeCell ref="I46:J46"/>
    <mergeCell ref="G48:H48"/>
    <mergeCell ref="G50:H50"/>
    <mergeCell ref="I4:J4"/>
    <mergeCell ref="I14:I15"/>
    <mergeCell ref="J14:J15"/>
  </mergeCells>
  <conditionalFormatting sqref="C37:C39">
    <cfRule type="cellIs" dxfId="154" priority="2" stopIfTrue="1" operator="lessThan">
      <formula>-5</formula>
    </cfRule>
  </conditionalFormatting>
  <dataValidations count="13">
    <dataValidation type="decimal" operator="greaterThanOrEqual" allowBlank="1" showInputMessage="1" showErrorMessage="1" error="Belopp anges utan minustecken" sqref="C23:C24 C26:C27" xr:uid="{00000000-0002-0000-0100-000000000000}">
      <formula1>0</formula1>
    </dataValidation>
    <dataValidation type="decimal" operator="lessThan" allowBlank="1" showInputMessage="1" showErrorMessage="1" error="Beloppet ska vara i tusental kronor" sqref="C14:D15" xr:uid="{00000000-0002-0000-0100-000001000000}">
      <formula1>99999999</formula1>
    </dataValidation>
    <dataValidation type="decimal" operator="lessThan" allowBlank="1" showInputMessage="1" showErrorMessage="1" error="Beloppet ska vara i 1000 tal kronoer" sqref="C7:D9" xr:uid="{00000000-0002-0000-0100-000002000000}">
      <formula1>99999999</formula1>
    </dataValidation>
    <dataValidation type="decimal" operator="lessThan" allowBlank="1" showInputMessage="1" showErrorMessage="1" error="Beloppet ska vara i 1000 tal kronor" sqref="C34 C17:D17 C25" xr:uid="{00000000-0002-0000-0100-000003000000}">
      <formula1>99999999</formula1>
    </dataValidation>
    <dataValidation type="decimal" allowBlank="1" showInputMessage="1" showErrorMessage="1" error="Beloppet ska vara i 1000 tal kronor. Inget minusbelopp anges." sqref="C31" xr:uid="{00000000-0002-0000-0100-000004000000}">
      <formula1>0</formula1>
      <formula2>99999999</formula2>
    </dataValidation>
    <dataValidation type="decimal" allowBlank="1" showInputMessage="1" showErrorMessage="1" error="Beloppet ska vara i 1000 tal kronor_x000a_Inget minusbelopp anges." sqref="C32" xr:uid="{00000000-0002-0000-0100-000005000000}">
      <formula1>0</formula1>
      <formula2>99999999</formula2>
    </dataValidation>
    <dataValidation type="decimal" operator="greaterThanOrEqual" allowBlank="1" showInputMessage="1" showErrorMessage="1" error="Beloppet ska vara i 1000 tal kronor._x000a_Inget minustecken anges." sqref="C33" xr:uid="{00000000-0002-0000-0100-000006000000}">
      <formula1>0</formula1>
    </dataValidation>
    <dataValidation type="decimal" allowBlank="1" showInputMessage="1" showErrorMessage="1" error="Beloppet ska vara i 1000 tal kronor_x000a_Inget minustecken ska anges_x000a_" sqref="C37:C38" xr:uid="{00000000-0002-0000-0100-000007000000}">
      <formula1>0</formula1>
      <formula2>99999999</formula2>
    </dataValidation>
    <dataValidation type="decimal" allowBlank="1" showInputMessage="1" showErrorMessage="1" error="Beloppet ska vara i 1000 tal kronor_x000a_Inget minustecken ska anges." sqref="C39" xr:uid="{00000000-0002-0000-0100-000008000000}">
      <formula1>0</formula1>
      <formula2>99999999</formula2>
    </dataValidation>
    <dataValidation type="whole" operator="greaterThanOrEqual" allowBlank="1" showInputMessage="1" showErrorMessage="1" error="Enbart positiva heltal eller 0 är tillåtna." sqref="C43" xr:uid="{00000000-0002-0000-0100-000009000000}">
      <formula1>0</formula1>
    </dataValidation>
    <dataValidation type="decimal" operator="lessThanOrEqual" allowBlank="1" showInputMessage="1" showErrorMessage="1" error="Beloppet ska vara i 1000 tal kronor._x000a_Endast negativa värden eller 0 är tillåtna._x000a_" sqref="C46" xr:uid="{4EB6ED5A-FAB4-4D3D-84F1-D271B6A58B63}">
      <formula1>0</formula1>
    </dataValidation>
    <dataValidation operator="lessThan" allowBlank="1" showInputMessage="1" showErrorMessage="1" error="Beloppet ska vara i 1000 tal kronor" sqref="C44 C47" xr:uid="{047B7CD7-57C1-43FD-B267-DB5D42BA7849}"/>
    <dataValidation type="decimal" operator="lessThanOrEqual" allowBlank="1" showInputMessage="1" showErrorMessage="1" error="Beloppet ska vara i 1000 tal kronor._x000a_Endast negativa värden eller 0 är tillåtna." sqref="C42" xr:uid="{7773B4EE-C60E-43C8-9625-08CD6A7B94C0}">
      <formula1>0</formula1>
    </dataValidation>
  </dataValidations>
  <pageMargins left="0.70866141732283472" right="0.70866141732283472" top="0.74803149606299213" bottom="0.52" header="0.31496062992125984" footer="0.31496062992125984"/>
  <pageSetup paperSize="9" scale="85" orientation="landscape" r:id="rId1"/>
  <headerFooter>
    <oddHeader>&amp;L&amp;8Statistiska Centralbyrån
Offentlig ekonomi&amp;R&amp;P</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rgb="FFFFFF00"/>
  </sheetPr>
  <dimension ref="A1:T122"/>
  <sheetViews>
    <sheetView showGridLines="0" zoomScaleNormal="100" workbookViewId="0">
      <pane ySplit="1" topLeftCell="A2" activePane="bottomLeft" state="frozen"/>
      <selection activeCell="F36" sqref="F36"/>
      <selection pane="bottomLeft"/>
    </sheetView>
  </sheetViews>
  <sheetFormatPr defaultColWidth="0" defaultRowHeight="12.75" zeroHeight="1"/>
  <cols>
    <col min="1" max="1" width="5" style="1" customWidth="1"/>
    <col min="2" max="2" width="10.5703125" style="1" customWidth="1"/>
    <col min="3" max="3" width="36.140625" style="1" customWidth="1"/>
    <col min="4" max="4" width="10.5703125" style="1" customWidth="1"/>
    <col min="5" max="5" width="10.42578125" style="1" customWidth="1"/>
    <col min="6" max="6" width="23" customWidth="1"/>
    <col min="7" max="7" width="4.5703125" customWidth="1"/>
    <col min="8" max="8" width="7.42578125" customWidth="1"/>
    <col min="9" max="9" width="31.5703125" customWidth="1"/>
    <col min="10" max="10" width="11.42578125" customWidth="1"/>
    <col min="11" max="11" width="12.42578125" customWidth="1"/>
    <col min="12" max="12" width="45.85546875" customWidth="1"/>
    <col min="13" max="14" width="9.5703125" customWidth="1"/>
    <col min="15" max="15" width="2.42578125" customWidth="1"/>
    <col min="16" max="16" width="6" customWidth="1"/>
    <col min="17" max="17" width="10.5703125" style="1" customWidth="1"/>
    <col min="18" max="18" width="3.5703125" style="1" customWidth="1"/>
    <col min="19" max="20" width="6" customWidth="1"/>
    <col min="21" max="21" width="0" hidden="1" customWidth="1"/>
  </cols>
  <sheetData>
    <row r="1" spans="1:20" ht="20.25">
      <c r="A1" s="78" t="str">
        <f>"Balansräkning "&amp;År&amp;", miljoner kr"</f>
        <v>Balansräkning 2025, miljoner kr</v>
      </c>
      <c r="B1" s="79"/>
      <c r="C1" s="79"/>
      <c r="D1" s="80"/>
      <c r="E1" s="431" t="s">
        <v>446</v>
      </c>
      <c r="F1" s="432" t="str">
        <f>Information!A2</f>
        <v>RIKSTOTAL</v>
      </c>
      <c r="G1" s="432"/>
      <c r="H1" s="432"/>
      <c r="I1" s="432"/>
      <c r="J1" s="150"/>
      <c r="K1" s="150"/>
      <c r="L1" s="150"/>
      <c r="M1" s="150"/>
      <c r="N1" s="150"/>
      <c r="O1" s="150"/>
      <c r="P1" s="150"/>
      <c r="Q1" s="79"/>
      <c r="R1" s="79"/>
      <c r="S1" s="150"/>
      <c r="T1" s="150"/>
    </row>
    <row r="2" spans="1:20" ht="12.75" customHeight="1">
      <c r="A2" s="1989"/>
      <c r="B2" s="1989"/>
      <c r="C2" s="1989"/>
      <c r="D2" s="1989"/>
      <c r="E2" s="1989"/>
      <c r="F2" s="1989"/>
      <c r="G2" s="1989"/>
      <c r="H2" s="1989"/>
      <c r="I2" s="1989"/>
      <c r="J2" s="1989"/>
      <c r="K2" s="1989"/>
      <c r="L2" s="1989"/>
      <c r="M2" s="1989"/>
      <c r="N2" s="1989"/>
      <c r="O2" s="1989"/>
      <c r="P2" s="1989"/>
      <c r="Q2" s="1989"/>
      <c r="R2" s="1989"/>
      <c r="S2" s="1989"/>
      <c r="T2" s="1989"/>
    </row>
    <row r="3" spans="1:20" ht="12.75" customHeight="1" thickBot="1">
      <c r="A3" s="1989"/>
      <c r="B3" s="1989"/>
      <c r="C3" s="1989"/>
      <c r="D3" s="1989"/>
      <c r="E3" s="1989"/>
      <c r="F3" s="1989"/>
      <c r="G3" s="1989"/>
      <c r="H3" s="1989"/>
      <c r="I3" s="1989"/>
      <c r="J3" s="1989"/>
      <c r="K3" s="1989"/>
      <c r="L3" s="1989"/>
      <c r="M3" s="1989"/>
      <c r="N3" s="1989"/>
      <c r="O3" s="1989"/>
      <c r="P3" s="1989"/>
      <c r="Q3" s="1989"/>
      <c r="R3" s="1989"/>
      <c r="S3" s="1989"/>
      <c r="T3" s="1989"/>
    </row>
    <row r="4" spans="1:20" s="157" customFormat="1">
      <c r="A4" s="559" t="s">
        <v>612</v>
      </c>
      <c r="B4" s="1912" t="str">
        <f>"BAS "&amp;År-2000&amp;""</f>
        <v>BAS 25</v>
      </c>
      <c r="C4" s="560" t="s">
        <v>708</v>
      </c>
      <c r="D4" s="578" t="s">
        <v>605</v>
      </c>
      <c r="E4" s="579" t="s">
        <v>706</v>
      </c>
      <c r="H4" s="63"/>
      <c r="I4" s="63"/>
      <c r="J4" s="63"/>
      <c r="K4" s="63"/>
      <c r="L4" s="63"/>
      <c r="M4" s="2406" t="s">
        <v>450</v>
      </c>
      <c r="N4" s="2415"/>
      <c r="O4" s="76"/>
      <c r="P4" s="1115"/>
      <c r="Q4" s="1348"/>
      <c r="R4" s="1177"/>
      <c r="S4" s="1116"/>
      <c r="T4" s="1116"/>
    </row>
    <row r="5" spans="1:20" s="157" customFormat="1" ht="32.25" customHeight="1">
      <c r="A5" s="1347" t="s">
        <v>606</v>
      </c>
      <c r="B5" s="2413"/>
      <c r="C5" s="562"/>
      <c r="D5" s="580"/>
      <c r="E5" s="581"/>
      <c r="F5" s="63"/>
      <c r="G5" s="63"/>
      <c r="H5" s="63"/>
      <c r="I5" s="63"/>
      <c r="J5" s="63"/>
      <c r="K5" s="63"/>
      <c r="L5" s="63"/>
      <c r="M5" s="589" t="s">
        <v>605</v>
      </c>
      <c r="N5" s="590" t="s">
        <v>706</v>
      </c>
      <c r="O5" s="76"/>
      <c r="P5" s="1115"/>
      <c r="Q5" s="1116"/>
      <c r="R5" s="1116"/>
      <c r="S5" s="2419"/>
      <c r="T5" s="2418"/>
    </row>
    <row r="6" spans="1:20" ht="15">
      <c r="A6" s="563"/>
      <c r="B6" s="2414"/>
      <c r="C6" s="564"/>
      <c r="D6" s="582"/>
      <c r="E6" s="583"/>
      <c r="F6" s="4"/>
      <c r="G6" s="4"/>
      <c r="H6" s="4"/>
      <c r="I6" s="4"/>
      <c r="J6" s="4"/>
      <c r="K6" s="4"/>
      <c r="L6" s="4"/>
      <c r="M6" s="591"/>
      <c r="N6" s="592"/>
      <c r="O6" s="1162"/>
      <c r="P6" s="1115"/>
      <c r="Q6" s="1183"/>
      <c r="R6" s="1183"/>
      <c r="S6" s="2419"/>
      <c r="T6" s="2395"/>
    </row>
    <row r="7" spans="1:20" ht="15">
      <c r="A7" s="565"/>
      <c r="B7" s="566"/>
      <c r="C7" s="567" t="s">
        <v>613</v>
      </c>
      <c r="D7" s="584"/>
      <c r="E7" s="585"/>
      <c r="F7" s="58"/>
      <c r="G7" s="4"/>
      <c r="H7" s="4"/>
      <c r="I7" s="4"/>
      <c r="J7" s="4"/>
      <c r="K7" s="4"/>
      <c r="L7" s="4"/>
      <c r="M7" s="593"/>
      <c r="N7" s="594"/>
      <c r="O7" s="61"/>
      <c r="P7" s="201"/>
      <c r="Q7" s="1349"/>
      <c r="R7" s="201"/>
    </row>
    <row r="8" spans="1:20" ht="7.5" customHeight="1">
      <c r="A8" s="565"/>
      <c r="B8" s="566"/>
      <c r="C8" s="568"/>
      <c r="D8" s="586"/>
      <c r="E8" s="587"/>
      <c r="F8" s="58"/>
      <c r="G8" s="4"/>
      <c r="H8" s="4"/>
      <c r="I8" s="4"/>
      <c r="J8" s="4"/>
      <c r="K8" s="4"/>
      <c r="L8" s="4"/>
      <c r="M8" s="593"/>
      <c r="N8" s="594"/>
      <c r="O8" s="61"/>
      <c r="P8" s="201"/>
      <c r="Q8" s="1349"/>
      <c r="R8" s="201"/>
    </row>
    <row r="9" spans="1:20" ht="14.85" customHeight="1">
      <c r="A9" s="467" t="s">
        <v>283</v>
      </c>
      <c r="B9" s="569">
        <v>10</v>
      </c>
      <c r="C9" s="570" t="s">
        <v>614</v>
      </c>
      <c r="D9" s="161">
        <v>813.00300000000004</v>
      </c>
      <c r="E9" s="362">
        <v>3262.306</v>
      </c>
      <c r="F9" s="112" t="str">
        <f>IF(OR(D9="",E9=""),"Skriv belopp eller 0","")</f>
        <v/>
      </c>
      <c r="G9" s="4"/>
      <c r="H9" s="4"/>
      <c r="I9" s="4"/>
      <c r="J9" s="4"/>
      <c r="K9" s="4"/>
      <c r="L9" s="4"/>
      <c r="M9" s="595"/>
      <c r="N9" s="596"/>
      <c r="O9" s="1157"/>
      <c r="P9" s="1184"/>
      <c r="Q9" s="1173"/>
      <c r="R9" s="1350"/>
    </row>
    <row r="10" spans="1:20" ht="14.85" customHeight="1">
      <c r="A10" s="467" t="s">
        <v>284</v>
      </c>
      <c r="B10" s="621">
        <v>11</v>
      </c>
      <c r="C10" s="468" t="s">
        <v>615</v>
      </c>
      <c r="D10" s="161">
        <v>906218.6</v>
      </c>
      <c r="E10" s="588"/>
      <c r="F10" s="58"/>
      <c r="G10" s="4"/>
      <c r="H10" s="4"/>
      <c r="I10" s="4"/>
      <c r="J10" s="4"/>
      <c r="K10" s="4"/>
      <c r="L10" s="4"/>
      <c r="M10" s="597"/>
      <c r="N10" s="598"/>
      <c r="O10" s="1157"/>
      <c r="P10" s="1184"/>
      <c r="Q10" s="1184"/>
      <c r="R10" s="1184"/>
    </row>
    <row r="11" spans="1:20" ht="14.85" customHeight="1">
      <c r="A11" s="467" t="s">
        <v>285</v>
      </c>
      <c r="B11" s="621">
        <v>12</v>
      </c>
      <c r="C11" s="468" t="s">
        <v>616</v>
      </c>
      <c r="D11" s="161">
        <v>45245.531999999999</v>
      </c>
      <c r="E11" s="588"/>
      <c r="F11" s="58"/>
      <c r="G11" s="64" t="s">
        <v>451</v>
      </c>
      <c r="H11" s="4"/>
      <c r="I11" s="4"/>
      <c r="J11" s="4"/>
      <c r="K11" s="4"/>
      <c r="L11" s="4"/>
      <c r="M11" s="597"/>
      <c r="N11" s="598"/>
      <c r="O11" s="1157"/>
      <c r="P11" s="1184"/>
      <c r="Q11" s="1184"/>
      <c r="R11" s="1184"/>
    </row>
    <row r="12" spans="1:20" ht="14.85" customHeight="1">
      <c r="A12" s="467" t="s">
        <v>276</v>
      </c>
      <c r="B12" s="670">
        <v>11.12</v>
      </c>
      <c r="C12" s="675" t="s">
        <v>1114</v>
      </c>
      <c r="D12" s="273">
        <f>SUM(D10:D11)</f>
        <v>951464.13199999998</v>
      </c>
      <c r="E12" s="162">
        <v>1959316.169</v>
      </c>
      <c r="F12" s="112" t="str">
        <f>IF(D12&gt;E12,"konc. &lt; kom.",IF(OR(D12=0,E12=0),"Belopp saknas",""))</f>
        <v/>
      </c>
      <c r="G12" s="1320" t="s">
        <v>535</v>
      </c>
      <c r="H12" s="1798" t="str">
        <f>"BAS "&amp;År-2000&amp;""</f>
        <v>BAS 25</v>
      </c>
      <c r="I12" s="1319"/>
      <c r="J12" s="251"/>
      <c r="K12" s="4"/>
      <c r="L12" s="4"/>
      <c r="M12" s="534">
        <f>(D9+D12)*1000/invanare</f>
        <v>89769.689450502599</v>
      </c>
      <c r="N12" s="535">
        <f>(E9+E12)*1000/invanare</f>
        <v>185009.23076662025</v>
      </c>
      <c r="O12" s="1124"/>
      <c r="P12" s="1184"/>
      <c r="Q12" s="1350"/>
      <c r="R12" s="1350"/>
      <c r="S12" s="67"/>
      <c r="T12" s="67"/>
    </row>
    <row r="13" spans="1:20" ht="14.85" customHeight="1">
      <c r="A13" s="467" t="s">
        <v>286</v>
      </c>
      <c r="B13" s="572" t="s">
        <v>795</v>
      </c>
      <c r="C13" s="522" t="s">
        <v>617</v>
      </c>
      <c r="D13" s="163">
        <v>94190.080000000002</v>
      </c>
      <c r="E13" s="588"/>
      <c r="F13" s="58"/>
      <c r="G13" s="605" t="s">
        <v>290</v>
      </c>
      <c r="H13" s="606" t="s">
        <v>534</v>
      </c>
      <c r="I13" s="607" t="s">
        <v>0</v>
      </c>
      <c r="J13" s="232">
        <v>70710.52</v>
      </c>
      <c r="K13" s="1825"/>
      <c r="L13" s="4"/>
      <c r="M13" s="599"/>
      <c r="N13" s="600"/>
      <c r="O13" s="1124"/>
      <c r="P13" s="1184"/>
      <c r="Q13" s="1176"/>
      <c r="R13" s="1184"/>
      <c r="S13" s="245"/>
      <c r="T13" s="245"/>
    </row>
    <row r="14" spans="1:20" ht="14.85" customHeight="1">
      <c r="A14" s="467" t="s">
        <v>287</v>
      </c>
      <c r="B14" s="572" t="s">
        <v>794</v>
      </c>
      <c r="C14" s="473" t="s">
        <v>9</v>
      </c>
      <c r="D14" s="163">
        <v>1872.261</v>
      </c>
      <c r="E14" s="588"/>
      <c r="F14" s="58"/>
      <c r="G14" s="158"/>
      <c r="H14" s="4"/>
      <c r="I14" s="4"/>
      <c r="J14" s="127"/>
      <c r="K14" s="127"/>
      <c r="L14" s="4"/>
      <c r="M14" s="599"/>
      <c r="N14" s="600"/>
      <c r="O14" s="1124"/>
      <c r="P14" s="1184"/>
      <c r="Q14" s="1176"/>
      <c r="R14" s="1184"/>
    </row>
    <row r="15" spans="1:20" ht="14.85" customHeight="1">
      <c r="A15" s="467" t="s">
        <v>288</v>
      </c>
      <c r="B15" s="1815" t="s">
        <v>2</v>
      </c>
      <c r="C15" s="480" t="s">
        <v>618</v>
      </c>
      <c r="D15" s="161">
        <v>319720.51299999998</v>
      </c>
      <c r="E15" s="588"/>
      <c r="F15" s="58"/>
      <c r="G15" s="605" t="s">
        <v>291</v>
      </c>
      <c r="H15" s="606" t="s">
        <v>709</v>
      </c>
      <c r="I15" s="1134" t="s">
        <v>1</v>
      </c>
      <c r="J15" s="232">
        <v>293225.89799999999</v>
      </c>
      <c r="K15" s="1825"/>
      <c r="L15" s="4"/>
      <c r="M15" s="601"/>
      <c r="N15" s="602"/>
      <c r="O15" s="1761"/>
      <c r="P15" s="1184"/>
      <c r="Q15" s="1184"/>
      <c r="R15" s="1184"/>
      <c r="S15" s="245"/>
      <c r="T15" s="245"/>
    </row>
    <row r="16" spans="1:20" ht="14.85" customHeight="1">
      <c r="A16" s="467" t="s">
        <v>289</v>
      </c>
      <c r="B16" s="621" t="s">
        <v>792</v>
      </c>
      <c r="C16" s="468" t="s">
        <v>793</v>
      </c>
      <c r="D16" s="161">
        <v>88.822999999999993</v>
      </c>
      <c r="E16" s="588"/>
      <c r="F16" s="58"/>
      <c r="G16" s="158"/>
      <c r="H16" s="4"/>
      <c r="I16" s="4"/>
      <c r="J16" s="127"/>
      <c r="K16" s="127"/>
      <c r="L16" s="4"/>
      <c r="M16" s="601"/>
      <c r="N16" s="602"/>
      <c r="O16" s="1124"/>
      <c r="P16" s="1184"/>
      <c r="Q16" s="1184"/>
      <c r="R16" s="1351"/>
    </row>
    <row r="17" spans="1:20" ht="14.85" customHeight="1">
      <c r="A17" s="467" t="s">
        <v>292</v>
      </c>
      <c r="B17" s="1816" t="s">
        <v>5</v>
      </c>
      <c r="C17" s="489" t="s">
        <v>1115</v>
      </c>
      <c r="D17" s="273">
        <f>SUM(D13:D16)</f>
        <v>415871.67699999997</v>
      </c>
      <c r="E17" s="164">
        <v>45606.040999999997</v>
      </c>
      <c r="F17" s="112" t="str">
        <f>IF(OR(D17=0,E17=""),"Belopp saknas","")</f>
        <v/>
      </c>
      <c r="G17" s="158"/>
      <c r="H17" s="4"/>
      <c r="I17" s="4"/>
      <c r="J17" s="4"/>
      <c r="K17" s="4"/>
      <c r="L17" s="4"/>
      <c r="M17" s="534">
        <f>D17*1000/invanare</f>
        <v>39203.578373799472</v>
      </c>
      <c r="N17" s="535">
        <f>E17*1000/invanare</f>
        <v>4299.2107939637644</v>
      </c>
      <c r="O17" s="1124"/>
      <c r="P17" s="1184"/>
      <c r="Q17" s="1351"/>
      <c r="R17" s="1351"/>
    </row>
    <row r="18" spans="1:20" ht="14.85" customHeight="1" thickBot="1">
      <c r="A18" s="463" t="s">
        <v>293</v>
      </c>
      <c r="B18" s="1817" t="s">
        <v>6</v>
      </c>
      <c r="C18" s="482" t="s">
        <v>619</v>
      </c>
      <c r="D18" s="274">
        <f>SUM(D9,D12,D17)</f>
        <v>1368148.8119999999</v>
      </c>
      <c r="E18" s="275">
        <f>SUM(E9,E12,E17)</f>
        <v>2008184.5160000001</v>
      </c>
      <c r="F18" s="58"/>
      <c r="G18" s="158"/>
      <c r="H18" s="4"/>
      <c r="I18" s="4"/>
      <c r="J18" s="4"/>
      <c r="K18" s="4"/>
      <c r="L18" s="4"/>
      <c r="M18" s="599"/>
      <c r="N18" s="600"/>
      <c r="O18" s="1124"/>
      <c r="P18" s="1184"/>
      <c r="Q18" s="1351"/>
      <c r="R18" s="1351"/>
    </row>
    <row r="19" spans="1:20" ht="14.85" customHeight="1" thickBot="1">
      <c r="A19" s="677" t="s">
        <v>303</v>
      </c>
      <c r="B19" s="1911" t="s">
        <v>4</v>
      </c>
      <c r="C19" s="454" t="s">
        <v>889</v>
      </c>
      <c r="D19" s="1188">
        <v>6595.2280000000001</v>
      </c>
      <c r="E19" s="237">
        <v>6595.2280000000001</v>
      </c>
      <c r="F19" s="112"/>
      <c r="G19" s="4"/>
      <c r="H19" s="4"/>
      <c r="I19" s="4"/>
      <c r="J19" s="4"/>
      <c r="K19" s="4"/>
      <c r="L19" s="4"/>
      <c r="M19" s="534">
        <f>D19*1000/invanare</f>
        <v>621.72192070458493</v>
      </c>
      <c r="N19" s="541">
        <f>E19*1000/invanare</f>
        <v>621.72192070458493</v>
      </c>
      <c r="O19" s="1124"/>
      <c r="P19" s="1184"/>
      <c r="Q19" s="1184"/>
      <c r="R19" s="1184"/>
    </row>
    <row r="20" spans="1:20" ht="14.85" customHeight="1">
      <c r="A20" s="1082"/>
      <c r="B20" s="1818"/>
      <c r="C20" s="574" t="s">
        <v>603</v>
      </c>
      <c r="D20" s="615"/>
      <c r="E20" s="616"/>
      <c r="F20" s="58"/>
      <c r="G20" s="1251" t="s">
        <v>868</v>
      </c>
      <c r="H20" s="1252" t="s">
        <v>860</v>
      </c>
      <c r="I20" s="1134" t="s">
        <v>1118</v>
      </c>
      <c r="J20" s="1835">
        <v>14751.716</v>
      </c>
      <c r="K20" s="1833"/>
      <c r="L20" s="4"/>
      <c r="M20" s="603"/>
      <c r="N20" s="604"/>
      <c r="O20" s="1178"/>
      <c r="P20" s="245"/>
      <c r="Q20" s="245"/>
      <c r="R20" s="245"/>
      <c r="S20" s="245"/>
    </row>
    <row r="21" spans="1:20" ht="14.85" customHeight="1">
      <c r="A21" s="467" t="s">
        <v>278</v>
      </c>
      <c r="B21" s="569">
        <v>14</v>
      </c>
      <c r="C21" s="489" t="s">
        <v>1116</v>
      </c>
      <c r="D21" s="55">
        <v>16463.821</v>
      </c>
      <c r="E21" s="165">
        <v>23859.73</v>
      </c>
      <c r="F21" s="193" t="str">
        <f>IF(D21&gt;E21,"konc. &lt; kom.",IF(OR(D21="",E21=""),"Belopp saknas",IF(OR(D21&lt;-100,E21&lt;-100),"Kommentera varför minuspost","")))</f>
        <v/>
      </c>
      <c r="G21" s="1305"/>
      <c r="H21" s="1306"/>
      <c r="I21" s="1307"/>
      <c r="J21" s="127"/>
      <c r="K21" s="127"/>
      <c r="L21" s="160"/>
      <c r="M21" s="603"/>
      <c r="N21" s="604"/>
      <c r="O21" s="1178"/>
      <c r="P21" s="1184"/>
      <c r="Q21" s="1350"/>
      <c r="R21" s="1350"/>
    </row>
    <row r="22" spans="1:20" ht="14.85" customHeight="1">
      <c r="A22" s="467" t="s">
        <v>294</v>
      </c>
      <c r="B22" s="621" t="s">
        <v>620</v>
      </c>
      <c r="C22" s="468" t="s">
        <v>621</v>
      </c>
      <c r="D22" s="44">
        <v>11555.124</v>
      </c>
      <c r="E22" s="588"/>
      <c r="F22" s="1099"/>
      <c r="G22" s="1828" t="s">
        <v>295</v>
      </c>
      <c r="H22" s="1829" t="s">
        <v>726</v>
      </c>
      <c r="I22" s="1830" t="s">
        <v>1</v>
      </c>
      <c r="J22" s="1834">
        <v>2399.268</v>
      </c>
      <c r="K22" s="127"/>
      <c r="L22" s="4"/>
      <c r="M22" s="603"/>
      <c r="N22" s="604"/>
      <c r="O22" s="1178"/>
      <c r="P22" s="1184"/>
      <c r="Q22" s="1184"/>
      <c r="R22" s="1184"/>
      <c r="S22" s="245"/>
      <c r="T22" s="245"/>
    </row>
    <row r="23" spans="1:20" ht="14.85" customHeight="1">
      <c r="A23" s="467" t="s">
        <v>279</v>
      </c>
      <c r="B23" s="621" t="s">
        <v>622</v>
      </c>
      <c r="C23" s="468" t="s">
        <v>623</v>
      </c>
      <c r="D23" s="44">
        <v>167609.53400000001</v>
      </c>
      <c r="E23" s="588"/>
      <c r="F23" s="1100"/>
      <c r="G23" s="1305"/>
      <c r="H23" s="1305"/>
      <c r="I23" s="1832"/>
      <c r="J23" s="127"/>
      <c r="K23" s="127"/>
      <c r="L23" s="4"/>
      <c r="M23" s="603"/>
      <c r="N23" s="604"/>
      <c r="O23" s="1178"/>
      <c r="P23" s="1184"/>
      <c r="Q23" s="1184"/>
      <c r="R23" s="1184"/>
    </row>
    <row r="24" spans="1:20" ht="14.85" customHeight="1">
      <c r="A24" s="467" t="s">
        <v>297</v>
      </c>
      <c r="B24" s="621" t="s">
        <v>172</v>
      </c>
      <c r="C24" s="468" t="s">
        <v>1117</v>
      </c>
      <c r="D24" s="161">
        <v>27736.518</v>
      </c>
      <c r="E24" s="588"/>
      <c r="F24" s="1100"/>
      <c r="G24" s="1831" t="s">
        <v>296</v>
      </c>
      <c r="H24" s="573" t="s">
        <v>624</v>
      </c>
      <c r="I24" s="2039" t="s">
        <v>1069</v>
      </c>
      <c r="J24" s="1366">
        <v>19262.329000000002</v>
      </c>
      <c r="K24" s="127"/>
      <c r="M24" s="1836"/>
      <c r="N24" s="1837"/>
      <c r="O24" s="4"/>
      <c r="P24" s="1184"/>
      <c r="Q24" s="1184"/>
      <c r="R24" s="1184"/>
      <c r="S24" s="245"/>
      <c r="T24" s="245"/>
    </row>
    <row r="25" spans="1:20" ht="14.85" customHeight="1">
      <c r="A25" s="467" t="s">
        <v>305</v>
      </c>
      <c r="B25" s="621" t="s">
        <v>201</v>
      </c>
      <c r="C25" s="468" t="s">
        <v>475</v>
      </c>
      <c r="D25" s="161">
        <v>6030.44</v>
      </c>
      <c r="E25" s="588"/>
      <c r="F25" s="1100"/>
      <c r="G25" s="613" t="s">
        <v>304</v>
      </c>
      <c r="H25" s="1745" t="s">
        <v>1000</v>
      </c>
      <c r="I25" s="614" t="s">
        <v>1</v>
      </c>
      <c r="J25" s="2041">
        <v>133098.32699999999</v>
      </c>
      <c r="L25" s="4"/>
      <c r="M25" s="603"/>
      <c r="N25" s="604"/>
      <c r="O25" s="1178"/>
      <c r="P25" s="1184"/>
      <c r="Q25" s="1184"/>
      <c r="R25" s="1184"/>
      <c r="S25" s="245"/>
      <c r="T25" s="245"/>
    </row>
    <row r="26" spans="1:20" ht="14.85" customHeight="1">
      <c r="A26" s="467" t="s">
        <v>929</v>
      </c>
      <c r="B26" s="569" t="s">
        <v>930</v>
      </c>
      <c r="C26" s="489" t="s">
        <v>931</v>
      </c>
      <c r="D26" s="273">
        <f>SUM(D22:D25)</f>
        <v>212931.61600000004</v>
      </c>
      <c r="E26" s="1721">
        <v>110280.446</v>
      </c>
      <c r="F26" s="193" t="str">
        <f>IF(OR(D26=0,E26=""),"Belopp saknas","")</f>
        <v/>
      </c>
      <c r="G26" s="1184"/>
      <c r="H26" s="1184"/>
      <c r="I26" s="1115"/>
      <c r="J26" s="1655"/>
      <c r="K26" s="127"/>
      <c r="L26" s="4"/>
      <c r="M26" s="603"/>
      <c r="N26" s="604"/>
      <c r="O26" s="1178"/>
      <c r="P26" s="1184"/>
      <c r="Q26" s="1184"/>
      <c r="R26" s="1184"/>
      <c r="S26" s="245"/>
      <c r="T26" s="245"/>
    </row>
    <row r="27" spans="1:20" ht="14.85" customHeight="1">
      <c r="A27" s="467" t="s">
        <v>298</v>
      </c>
      <c r="B27" s="572" t="s">
        <v>625</v>
      </c>
      <c r="C27" s="2031" t="s">
        <v>1087</v>
      </c>
      <c r="D27" s="161">
        <v>49283.61</v>
      </c>
      <c r="E27" s="588"/>
      <c r="F27" s="1100"/>
      <c r="G27" s="1779"/>
      <c r="H27" s="1364"/>
      <c r="I27" s="67"/>
      <c r="J27" s="127"/>
      <c r="K27" s="1302"/>
      <c r="L27" s="4"/>
      <c r="M27" s="603"/>
      <c r="N27" s="604"/>
      <c r="O27" s="1178"/>
      <c r="P27" s="1184"/>
      <c r="Q27" s="1176"/>
      <c r="R27" s="1184"/>
      <c r="S27" s="245"/>
      <c r="T27" s="245"/>
    </row>
    <row r="28" spans="1:20" ht="14.85" customHeight="1">
      <c r="A28" s="467" t="s">
        <v>299</v>
      </c>
      <c r="B28" s="572" t="s">
        <v>626</v>
      </c>
      <c r="C28" s="2031" t="s">
        <v>1094</v>
      </c>
      <c r="D28" s="161">
        <v>12261.868</v>
      </c>
      <c r="E28" s="588"/>
      <c r="F28" s="1100"/>
      <c r="G28" s="1364"/>
      <c r="H28" s="1364"/>
      <c r="I28" s="67"/>
      <c r="K28" s="127"/>
      <c r="L28" s="4"/>
      <c r="M28" s="603"/>
      <c r="N28" s="604"/>
      <c r="O28" s="1178"/>
      <c r="P28" s="1184"/>
      <c r="Q28" s="1176"/>
      <c r="R28" s="1184"/>
    </row>
    <row r="29" spans="1:20" ht="14.85" customHeight="1">
      <c r="A29" s="467" t="s">
        <v>300</v>
      </c>
      <c r="B29" s="572" t="s">
        <v>627</v>
      </c>
      <c r="C29" s="473" t="s">
        <v>628</v>
      </c>
      <c r="D29" s="161">
        <v>86.346999999999994</v>
      </c>
      <c r="E29" s="588"/>
      <c r="F29" s="1100"/>
      <c r="G29" s="1779"/>
      <c r="H29" s="1364"/>
      <c r="I29" s="67"/>
      <c r="J29" s="127"/>
      <c r="K29" s="4"/>
      <c r="L29" s="4"/>
      <c r="M29" s="603"/>
      <c r="N29" s="604"/>
      <c r="O29" s="1178"/>
      <c r="P29" s="1184"/>
      <c r="Q29" s="1176"/>
      <c r="R29" s="1184"/>
    </row>
    <row r="30" spans="1:20" ht="14.85" customHeight="1">
      <c r="A30" s="2024" t="s">
        <v>1224</v>
      </c>
      <c r="B30" s="2026">
        <v>189</v>
      </c>
      <c r="C30" s="2027" t="s">
        <v>1223</v>
      </c>
      <c r="D30" s="161">
        <v>819.68399999999997</v>
      </c>
      <c r="E30" s="1952"/>
      <c r="F30" s="1100"/>
      <c r="G30" s="1779"/>
      <c r="H30" s="1364"/>
      <c r="I30" s="67"/>
      <c r="J30" s="127"/>
      <c r="K30" s="4"/>
      <c r="L30" s="4"/>
      <c r="M30" s="603"/>
      <c r="N30" s="604"/>
      <c r="O30" s="1178"/>
      <c r="P30" s="1184"/>
      <c r="Q30" s="1176"/>
      <c r="R30" s="1184"/>
    </row>
    <row r="31" spans="1:20" ht="14.85" customHeight="1">
      <c r="A31" s="467" t="s">
        <v>280</v>
      </c>
      <c r="B31" s="569" t="s">
        <v>932</v>
      </c>
      <c r="C31" s="489" t="s">
        <v>1015</v>
      </c>
      <c r="D31" s="273">
        <f>SUM(D27:D30)</f>
        <v>62451.509000000005</v>
      </c>
      <c r="E31" s="165">
        <v>63083.256999999998</v>
      </c>
      <c r="F31" s="193" t="str">
        <f>IF(OR(D27="",D28="",D29="",D30=""),"Skriv belopp eller 0 på raderna 053-057 för kommunen",IF(E31="","Skriv belopp eller 0 för koncernen",""))</f>
        <v/>
      </c>
      <c r="G31" s="1364"/>
      <c r="H31" s="1364"/>
      <c r="I31" s="67"/>
      <c r="J31" s="1184"/>
      <c r="K31" s="4"/>
      <c r="L31" s="4"/>
      <c r="M31" s="603"/>
      <c r="N31" s="604"/>
      <c r="O31" s="1178"/>
      <c r="P31" s="1184"/>
      <c r="Q31" s="1350"/>
      <c r="R31" s="1350"/>
    </row>
    <row r="32" spans="1:20" ht="14.85" customHeight="1">
      <c r="A32" s="467" t="s">
        <v>301</v>
      </c>
      <c r="B32" s="569">
        <v>19</v>
      </c>
      <c r="C32" s="489" t="s">
        <v>1016</v>
      </c>
      <c r="D32" s="161">
        <v>55389.133000000002</v>
      </c>
      <c r="E32" s="165">
        <v>68313.990000000005</v>
      </c>
      <c r="F32" s="193" t="str">
        <f>IF(D32&gt;E32,"konc. &lt; kom.",IF(OR(D32&lt;0,E32&lt;0),"Varför minusbelopp?",IF(OR(D32=0,E32=0),"Belopp saknas","")))</f>
        <v/>
      </c>
      <c r="G32" s="1364"/>
      <c r="H32" s="1364"/>
      <c r="I32" s="67"/>
      <c r="K32" s="4"/>
      <c r="L32" s="4"/>
      <c r="M32" s="603"/>
      <c r="N32" s="604"/>
      <c r="O32" s="1178"/>
      <c r="P32" s="1184"/>
      <c r="Q32" s="1350"/>
      <c r="R32" s="1350"/>
    </row>
    <row r="33" spans="1:19" ht="14.85" customHeight="1" thickBot="1">
      <c r="A33" s="476" t="s">
        <v>302</v>
      </c>
      <c r="B33" s="575" t="s">
        <v>629</v>
      </c>
      <c r="C33" s="454" t="s">
        <v>1119</v>
      </c>
      <c r="D33" s="276">
        <f>SUM(D21,D26,D31,D32)</f>
        <v>347236.07900000003</v>
      </c>
      <c r="E33" s="277">
        <f>SUM(E21,E26,E31,E32)</f>
        <v>265537.42300000001</v>
      </c>
      <c r="F33" s="1100"/>
      <c r="G33" s="4"/>
      <c r="H33" s="4"/>
      <c r="I33" s="4"/>
      <c r="J33" s="4"/>
      <c r="K33" s="4"/>
      <c r="L33" s="4"/>
      <c r="M33" s="537">
        <f>D33*1000/invanare</f>
        <v>32733.406938139062</v>
      </c>
      <c r="N33" s="544">
        <f>E33*1000/invanare</f>
        <v>25031.801273057707</v>
      </c>
      <c r="O33" s="1124"/>
      <c r="P33" s="1184"/>
      <c r="Q33" s="1350"/>
      <c r="R33" s="1350"/>
    </row>
    <row r="34" spans="1:19" ht="14.85" customHeight="1" thickBot="1">
      <c r="A34" s="672" t="s">
        <v>281</v>
      </c>
      <c r="B34" s="576" t="s">
        <v>630</v>
      </c>
      <c r="C34" s="577" t="s">
        <v>631</v>
      </c>
      <c r="D34" s="279">
        <f>SUM(D18,D19,D33)</f>
        <v>1721980.1189999999</v>
      </c>
      <c r="E34" s="278">
        <f>SUM(E18,E19,E33)</f>
        <v>2280317.1669999999</v>
      </c>
      <c r="F34" s="1100"/>
      <c r="G34" s="4"/>
      <c r="H34" s="4"/>
      <c r="I34" s="4"/>
      <c r="J34" s="4"/>
      <c r="K34" s="4"/>
      <c r="L34" s="4"/>
      <c r="M34" s="4"/>
      <c r="N34" s="4"/>
      <c r="P34" s="1184"/>
      <c r="Q34" s="1350"/>
      <c r="R34" s="1350"/>
    </row>
    <row r="35" spans="1:19" ht="14.85" customHeight="1">
      <c r="A35"/>
      <c r="B35"/>
      <c r="C35"/>
      <c r="D35"/>
      <c r="E35"/>
      <c r="Q35"/>
      <c r="R35"/>
    </row>
    <row r="36" spans="1:19" ht="14.85" customHeight="1">
      <c r="A36"/>
      <c r="B36"/>
      <c r="C36"/>
      <c r="D36"/>
      <c r="E36"/>
      <c r="Q36"/>
      <c r="R36"/>
    </row>
    <row r="37" spans="1:19" ht="14.85" customHeight="1">
      <c r="A37"/>
      <c r="B37"/>
      <c r="C37"/>
      <c r="D37"/>
      <c r="E37"/>
      <c r="Q37"/>
      <c r="R37"/>
    </row>
    <row r="38" spans="1:19" ht="14.85" customHeight="1">
      <c r="A38"/>
      <c r="B38"/>
      <c r="C38"/>
      <c r="D38"/>
      <c r="E38"/>
      <c r="Q38"/>
      <c r="R38"/>
    </row>
    <row r="39" spans="1:19" ht="14.85" customHeight="1">
      <c r="A39"/>
      <c r="B39"/>
      <c r="C39"/>
      <c r="D39"/>
      <c r="E39"/>
      <c r="Q39"/>
      <c r="R39"/>
    </row>
    <row r="40" spans="1:19" ht="14.85" customHeight="1" thickBot="1">
      <c r="A40" s="1184"/>
      <c r="B40" s="1350"/>
      <c r="C40" s="14"/>
      <c r="D40" s="1157"/>
      <c r="E40" s="1157"/>
      <c r="F40" s="1100"/>
      <c r="G40" s="4"/>
      <c r="H40" s="4"/>
      <c r="I40" s="4"/>
      <c r="J40" s="4"/>
      <c r="K40" s="4"/>
      <c r="L40" s="4"/>
      <c r="M40" s="4"/>
      <c r="N40" s="4"/>
      <c r="P40" s="1184"/>
      <c r="Q40" s="1350"/>
      <c r="R40" s="1350"/>
    </row>
    <row r="41" spans="1:19" ht="22.5" customHeight="1" thickBot="1">
      <c r="A41" s="1946" t="s">
        <v>1208</v>
      </c>
      <c r="B41" s="1947" t="str">
        <f>"BAS "&amp;År-2000&amp;""</f>
        <v>BAS 25</v>
      </c>
      <c r="C41" s="1948" t="s">
        <v>352</v>
      </c>
      <c r="D41" s="1949" t="s">
        <v>605</v>
      </c>
      <c r="E41" s="1950" t="s">
        <v>706</v>
      </c>
      <c r="F41" s="1100"/>
      <c r="G41" s="4"/>
      <c r="H41" s="4"/>
      <c r="I41" s="4"/>
      <c r="J41" s="4"/>
      <c r="K41" s="4"/>
      <c r="L41" s="4"/>
      <c r="M41" s="4"/>
      <c r="N41" s="4"/>
      <c r="Q41" s="1183"/>
      <c r="R41" s="1115"/>
    </row>
    <row r="42" spans="1:19" ht="14.85" customHeight="1" thickBot="1">
      <c r="A42" s="490" t="s">
        <v>306</v>
      </c>
      <c r="B42" s="1945">
        <v>201</v>
      </c>
      <c r="C42" s="2032" t="s">
        <v>1226</v>
      </c>
      <c r="D42" s="279">
        <v>643958.86</v>
      </c>
      <c r="E42" s="278">
        <v>850147.86199999996</v>
      </c>
      <c r="F42" s="1100"/>
      <c r="G42" s="4"/>
      <c r="H42" s="4"/>
      <c r="I42" s="4"/>
      <c r="J42" s="4"/>
      <c r="K42" s="4"/>
      <c r="L42" s="4"/>
      <c r="M42" s="4"/>
      <c r="N42" s="4"/>
      <c r="Q42" s="1183"/>
      <c r="R42" s="1115"/>
    </row>
    <row r="43" spans="1:19" ht="14.85" customHeight="1">
      <c r="A43" s="2025" t="s">
        <v>1221</v>
      </c>
      <c r="B43" s="2027"/>
      <c r="C43" s="2027" t="s">
        <v>1225</v>
      </c>
      <c r="D43" s="44">
        <v>1822.296</v>
      </c>
      <c r="E43" s="155">
        <v>1822.296</v>
      </c>
      <c r="F43" s="1971"/>
      <c r="G43" s="4"/>
      <c r="H43" s="4"/>
      <c r="I43" s="4"/>
      <c r="J43" s="4"/>
      <c r="L43" s="4"/>
      <c r="M43" s="2416" t="s">
        <v>450</v>
      </c>
      <c r="N43" s="2417"/>
      <c r="O43" s="1975"/>
      <c r="P43" s="1976"/>
      <c r="Q43" s="1177"/>
      <c r="R43" s="1350"/>
      <c r="S43" s="1177"/>
    </row>
    <row r="44" spans="1:19" ht="14.85" customHeight="1">
      <c r="A44" s="2025" t="s">
        <v>1222</v>
      </c>
      <c r="B44" s="2027"/>
      <c r="C44" s="2027" t="s">
        <v>1210</v>
      </c>
      <c r="D44" s="44">
        <v>36750.684999999998</v>
      </c>
      <c r="E44" s="155">
        <v>36788.851999999999</v>
      </c>
      <c r="F44" s="193"/>
      <c r="G44" s="1989"/>
      <c r="H44" s="1989"/>
      <c r="I44" s="1989"/>
      <c r="J44" s="1989"/>
      <c r="K44" s="1989"/>
      <c r="L44" s="4"/>
      <c r="M44" s="630" t="s">
        <v>605</v>
      </c>
      <c r="N44" s="631" t="s">
        <v>706</v>
      </c>
      <c r="O44" s="1974"/>
      <c r="P44" s="1976"/>
      <c r="Q44" s="1177"/>
      <c r="R44" s="1350"/>
      <c r="S44" s="1352"/>
    </row>
    <row r="45" spans="1:19" ht="14.85" customHeight="1">
      <c r="A45" s="496" t="s">
        <v>1038</v>
      </c>
      <c r="B45" s="571" t="s">
        <v>1005</v>
      </c>
      <c r="C45" s="468" t="s">
        <v>1121</v>
      </c>
      <c r="D45" s="44">
        <v>-2007.8130000000001</v>
      </c>
      <c r="E45" s="155"/>
      <c r="F45" s="1101"/>
      <c r="G45" s="1989"/>
      <c r="H45" s="1989"/>
      <c r="I45" s="1989"/>
      <c r="J45" s="1989"/>
      <c r="K45" s="1989"/>
      <c r="L45" s="4"/>
      <c r="M45" s="632"/>
      <c r="N45" s="633"/>
      <c r="O45" s="1157"/>
      <c r="P45" s="1184"/>
      <c r="Q45" s="1184"/>
      <c r="R45" s="1184"/>
      <c r="S45" s="1339"/>
    </row>
    <row r="46" spans="1:19" ht="14.85" customHeight="1">
      <c r="A46" s="496" t="s">
        <v>307</v>
      </c>
      <c r="B46" s="571">
        <v>202</v>
      </c>
      <c r="C46" s="468" t="s">
        <v>611</v>
      </c>
      <c r="D46" s="86">
        <f>RR!C18</f>
        <v>35441.975000000122</v>
      </c>
      <c r="E46" s="1079">
        <f>RR!D18</f>
        <v>44272.527000000191</v>
      </c>
      <c r="F46" s="1101"/>
      <c r="G46" s="4"/>
      <c r="H46" s="4"/>
      <c r="I46" s="4"/>
      <c r="J46" s="4"/>
      <c r="K46" s="4"/>
      <c r="L46" s="4"/>
      <c r="M46" s="632"/>
      <c r="N46" s="633"/>
      <c r="O46" s="1157"/>
      <c r="P46" s="1184"/>
      <c r="Q46" s="1184"/>
      <c r="R46" s="1184"/>
      <c r="S46" s="1339"/>
    </row>
    <row r="47" spans="1:19" ht="14.85" customHeight="1">
      <c r="A47" s="496" t="s">
        <v>782</v>
      </c>
      <c r="B47" s="571"/>
      <c r="C47" s="473" t="s">
        <v>1235</v>
      </c>
      <c r="D47" s="44">
        <v>-310.44200000000001</v>
      </c>
      <c r="E47" s="155">
        <v>-1335.5350000000001</v>
      </c>
      <c r="F47" s="1101"/>
      <c r="G47" s="4"/>
      <c r="H47" s="4"/>
      <c r="I47" s="4"/>
      <c r="J47" s="4"/>
      <c r="K47" s="4"/>
      <c r="L47" s="4"/>
      <c r="M47" s="632"/>
      <c r="N47" s="633"/>
      <c r="O47" s="1157"/>
      <c r="P47" s="1184"/>
      <c r="Q47" s="1184"/>
      <c r="R47" s="1184"/>
    </row>
    <row r="48" spans="1:19" ht="14.85" customHeight="1">
      <c r="A48" s="498" t="s">
        <v>308</v>
      </c>
      <c r="B48" s="622" t="s">
        <v>806</v>
      </c>
      <c r="C48" s="2033" t="s">
        <v>1227</v>
      </c>
      <c r="D48" s="280">
        <f>SUM(D42,D45:D47)</f>
        <v>677082.58000000007</v>
      </c>
      <c r="E48" s="277">
        <f>SUM(E42,E45:E47)</f>
        <v>893084.85400000017</v>
      </c>
      <c r="F48" s="193"/>
      <c r="G48" s="4"/>
      <c r="H48" s="4"/>
      <c r="I48" s="4"/>
      <c r="J48" s="4"/>
      <c r="K48" s="4"/>
      <c r="L48" s="4"/>
      <c r="M48" s="634">
        <f>D48*1000/invanare</f>
        <v>63827.525312728518</v>
      </c>
      <c r="N48" s="535">
        <f>E48*1000/invanare</f>
        <v>84189.724870930004</v>
      </c>
      <c r="O48" s="1157"/>
      <c r="P48" s="1184"/>
      <c r="Q48" s="1184"/>
      <c r="R48" s="1184"/>
    </row>
    <row r="49" spans="1:20" ht="14.85" customHeight="1">
      <c r="A49" s="2025" t="s">
        <v>1220</v>
      </c>
      <c r="B49" s="2027"/>
      <c r="C49" s="2027" t="s">
        <v>1209</v>
      </c>
      <c r="D49" s="280">
        <v>10417.628000000001</v>
      </c>
      <c r="E49" s="155">
        <v>10417.73</v>
      </c>
      <c r="F49" s="193" t="str">
        <f>IF(E49 = "",
      "Skriv 0 i kol.E om RER inte finns",
         IF(ABS(D49 - E49) &gt; 100,
             "Varför differens mellan kommun och koncernen?","")
)</f>
        <v/>
      </c>
      <c r="G49" s="1989"/>
      <c r="H49" s="1989"/>
      <c r="I49" s="1989"/>
      <c r="J49" s="1989"/>
      <c r="K49" s="1972" t="str">
        <f>IF(J49="Ja","Ni har svarat att ni avvecklat RER, detta innebär att balansen UB i balansräkningen nollas ut!","")</f>
        <v/>
      </c>
      <c r="L49" s="4"/>
      <c r="M49" s="635"/>
      <c r="N49" s="636"/>
      <c r="O49" s="1157"/>
      <c r="P49" s="1184"/>
      <c r="Q49" s="1350"/>
      <c r="R49" s="1184"/>
    </row>
    <row r="50" spans="1:20" ht="14.85" customHeight="1" thickBot="1">
      <c r="A50" s="2025" t="s">
        <v>781</v>
      </c>
      <c r="B50" s="2028"/>
      <c r="C50" s="2034" t="s">
        <v>1210</v>
      </c>
      <c r="D50" s="1953">
        <v>36373.542000000001</v>
      </c>
      <c r="E50" s="155">
        <v>36408.947</v>
      </c>
      <c r="F50" s="193" t="str">
        <f>IF(E50 = "",
      "Skriv 0 i kol.E om RUR inte finns",
         IF(ABS(D50 - E50) &gt; 100,
             "Varför differens mellan kommun och koncernen?","")
)</f>
        <v/>
      </c>
      <c r="G50" s="1989"/>
      <c r="H50" s="1989"/>
      <c r="I50" s="1989"/>
      <c r="J50" s="1989"/>
      <c r="K50" s="1973" t="str">
        <f>IF(J50="Ja","Ni har svarat att ni avvecklat RUR, detta innebär att balansen UB i balansräkningen nollas ut!","")</f>
        <v/>
      </c>
      <c r="L50" s="4"/>
      <c r="M50" s="635"/>
      <c r="N50" s="636"/>
      <c r="O50" s="1761"/>
      <c r="P50" s="1761"/>
      <c r="Q50" s="1184"/>
      <c r="R50" s="1184"/>
    </row>
    <row r="51" spans="1:20" ht="14.85" customHeight="1">
      <c r="A51" s="520" t="s">
        <v>309</v>
      </c>
      <c r="B51" s="2029" t="s">
        <v>632</v>
      </c>
      <c r="C51" s="2035" t="s">
        <v>790</v>
      </c>
      <c r="D51" s="161">
        <v>74451.751000000004</v>
      </c>
      <c r="E51" s="1889"/>
      <c r="F51" s="193" t="str">
        <f>IF(D51=0,"Varför saknas avsättningar för pensioner?","")</f>
        <v/>
      </c>
      <c r="L51" s="4"/>
      <c r="M51" s="635"/>
      <c r="N51" s="636"/>
      <c r="O51" s="1124"/>
      <c r="P51" s="1184"/>
      <c r="Q51" s="1350"/>
      <c r="R51" s="1350"/>
    </row>
    <row r="52" spans="1:20" ht="14.85" customHeight="1">
      <c r="A52" s="496" t="s">
        <v>310</v>
      </c>
      <c r="B52" s="2030" t="s">
        <v>633</v>
      </c>
      <c r="C52" s="2027" t="s">
        <v>791</v>
      </c>
      <c r="D52" s="161">
        <v>1381.749</v>
      </c>
      <c r="E52" s="617"/>
      <c r="F52" s="193"/>
      <c r="G52" s="63" t="s">
        <v>968</v>
      </c>
      <c r="H52" s="4"/>
      <c r="I52" s="4"/>
      <c r="J52" s="4"/>
      <c r="K52" s="4"/>
      <c r="L52" s="4"/>
      <c r="M52" s="635"/>
      <c r="N52" s="636"/>
      <c r="O52" s="1124"/>
      <c r="P52" s="1184"/>
      <c r="Q52" s="1184"/>
      <c r="R52" s="1184"/>
    </row>
    <row r="53" spans="1:20" ht="14.85" customHeight="1">
      <c r="A53" s="496" t="s">
        <v>311</v>
      </c>
      <c r="B53" s="618" t="s">
        <v>634</v>
      </c>
      <c r="C53" s="619" t="s">
        <v>738</v>
      </c>
      <c r="D53" s="161">
        <v>19217.449000000001</v>
      </c>
      <c r="E53" s="617"/>
      <c r="F53" s="193" t="str">
        <f>IF(D53=0,"Varför saknas avsättningar för särskild löneskatt pens.?","")</f>
        <v/>
      </c>
      <c r="G53" s="64"/>
      <c r="H53" s="4"/>
      <c r="I53" s="4"/>
      <c r="J53" s="63"/>
      <c r="L53" s="4"/>
      <c r="M53" s="534">
        <f>SUM(D51:D53)*1000/invanare</f>
        <v>8960.3056296269897</v>
      </c>
      <c r="N53" s="637"/>
      <c r="O53" s="1124"/>
      <c r="P53" s="1184"/>
      <c r="Q53" s="1184"/>
      <c r="R53" s="1184"/>
    </row>
    <row r="54" spans="1:20" ht="14.85" customHeight="1">
      <c r="A54" s="498" t="s">
        <v>312</v>
      </c>
      <c r="B54" s="1857" t="s">
        <v>635</v>
      </c>
      <c r="C54" s="1858" t="s">
        <v>636</v>
      </c>
      <c r="D54" s="161">
        <v>31399.045999999998</v>
      </c>
      <c r="E54" s="617"/>
      <c r="F54" s="193"/>
      <c r="G54" s="4"/>
      <c r="H54" s="4"/>
      <c r="I54" s="11"/>
      <c r="J54" s="1511" t="s">
        <v>605</v>
      </c>
      <c r="L54" s="1506"/>
      <c r="M54" s="638">
        <f>D54*1000/invanare</f>
        <v>2959.9393966988882</v>
      </c>
      <c r="N54" s="1871"/>
      <c r="O54" s="1124"/>
      <c r="P54" s="1184"/>
      <c r="Q54" s="1184"/>
      <c r="R54" s="1184"/>
    </row>
    <row r="55" spans="1:20" ht="14.85" customHeight="1" thickBot="1">
      <c r="A55" s="1656" t="s">
        <v>313</v>
      </c>
      <c r="B55" s="1862" t="s">
        <v>1075</v>
      </c>
      <c r="C55" s="485" t="s">
        <v>638</v>
      </c>
      <c r="D55" s="1856">
        <f>SUM(D51:D54)</f>
        <v>126449.995</v>
      </c>
      <c r="E55" s="1877">
        <v>175453.36199999999</v>
      </c>
      <c r="F55" s="193" t="str">
        <f>IF((D55-E55)&gt;1,"konc. &lt; komm.",IF(OR(D55=0,E55=0),"Belopp saknas",""))</f>
        <v/>
      </c>
      <c r="G55" s="605" t="s">
        <v>282</v>
      </c>
      <c r="H55" s="606" t="s">
        <v>637</v>
      </c>
      <c r="I55" s="1502" t="s">
        <v>1123</v>
      </c>
      <c r="J55" s="1505">
        <v>3117.663</v>
      </c>
      <c r="K55" s="1501"/>
      <c r="L55" s="1631"/>
      <c r="M55" s="534">
        <f>D55*1000/invanare</f>
        <v>11920.245026325878</v>
      </c>
      <c r="N55" s="1869">
        <f>E55*1000/invanare</f>
        <v>16539.716476324524</v>
      </c>
      <c r="O55" s="1124"/>
      <c r="P55" s="1184"/>
      <c r="Q55" s="1184"/>
      <c r="R55" s="1184"/>
      <c r="S55" s="245"/>
      <c r="T55" s="245"/>
    </row>
    <row r="56" spans="1:20" ht="14.85" customHeight="1">
      <c r="A56" s="1880" t="s">
        <v>1081</v>
      </c>
      <c r="B56" s="1261" t="s">
        <v>1076</v>
      </c>
      <c r="C56" s="2027" t="s">
        <v>1203</v>
      </c>
      <c r="D56" s="1859">
        <v>158613.174</v>
      </c>
      <c r="E56" s="1860">
        <v>162139.82199999999</v>
      </c>
      <c r="F56" s="1861"/>
      <c r="G56" s="1251" t="s">
        <v>933</v>
      </c>
      <c r="H56" s="2037" t="s">
        <v>1204</v>
      </c>
      <c r="I56" s="2040" t="s">
        <v>1124</v>
      </c>
      <c r="J56" s="1505">
        <v>21890.775000000001</v>
      </c>
      <c r="K56" s="1501"/>
      <c r="M56" s="601"/>
      <c r="N56" s="1870"/>
      <c r="O56" s="1868"/>
      <c r="P56" s="1184"/>
      <c r="Q56" s="1350"/>
      <c r="R56" s="1350"/>
    </row>
    <row r="57" spans="1:20" ht="14.85" customHeight="1">
      <c r="A57" s="498" t="s">
        <v>314</v>
      </c>
      <c r="B57" s="571" t="s">
        <v>1099</v>
      </c>
      <c r="C57" s="468" t="s">
        <v>1120</v>
      </c>
      <c r="D57" s="161">
        <v>330384.97899999999</v>
      </c>
      <c r="E57" s="1721">
        <v>577696.17599999998</v>
      </c>
      <c r="F57" s="193" t="str">
        <f>IF(D57&gt;E57,"konc. &lt; komm.",IF(OR(D57="",E57=""),"Skriv belopp eller 0",""))</f>
        <v/>
      </c>
      <c r="G57" s="158"/>
      <c r="H57" s="4"/>
      <c r="I57" s="4"/>
      <c r="J57" s="127" t="str">
        <f>IF(AND(D54=0,SUM(J55+J56)=0),"",IF(SUM(J55:J56)-D54&gt;1,"Däravr.080+ 131&gt;rad 078",IF(AND(D54&gt;10,J55=""),"Rad 080: skriv belopp eller 0",IF(AND(D54&gt;10,J56=""),"Rad 131: skriv belopp eller 0 ",""))))</f>
        <v/>
      </c>
      <c r="K57" s="4"/>
      <c r="L57" s="1631"/>
      <c r="M57" s="635"/>
      <c r="N57" s="636"/>
      <c r="O57" s="1124"/>
      <c r="P57" s="1184"/>
      <c r="Q57" s="1184"/>
      <c r="R57" s="1184"/>
    </row>
    <row r="58" spans="1:20" ht="14.85" customHeight="1">
      <c r="A58" s="496" t="s">
        <v>315</v>
      </c>
      <c r="B58" s="571" t="s">
        <v>1100</v>
      </c>
      <c r="C58" s="468" t="s">
        <v>1101</v>
      </c>
      <c r="D58" s="161">
        <v>23898.031999999999</v>
      </c>
      <c r="E58" s="1499">
        <v>25259.781999999999</v>
      </c>
      <c r="F58" s="193" t="str">
        <f>IF(OR(D58="",E58=""),"Skriv belopp eller 0","")</f>
        <v/>
      </c>
      <c r="G58" s="158"/>
      <c r="H58" s="4"/>
      <c r="I58" s="4"/>
      <c r="J58" s="181"/>
      <c r="K58" s="1508"/>
      <c r="L58" s="1631"/>
      <c r="M58" s="635"/>
      <c r="N58" s="636"/>
      <c r="O58" s="1124"/>
      <c r="P58" s="1184"/>
      <c r="Q58" s="1184"/>
      <c r="R58" s="1184"/>
    </row>
    <row r="59" spans="1:20" ht="14.85" customHeight="1">
      <c r="A59" s="496" t="s">
        <v>316</v>
      </c>
      <c r="B59" s="571">
        <v>236</v>
      </c>
      <c r="C59" s="468" t="s">
        <v>639</v>
      </c>
      <c r="D59" s="161">
        <v>3421.1089999999999</v>
      </c>
      <c r="E59" s="617"/>
      <c r="F59" s="1100"/>
      <c r="G59" s="158"/>
      <c r="H59" s="4"/>
      <c r="I59" s="1509"/>
      <c r="J59" s="1503" t="s">
        <v>605</v>
      </c>
      <c r="K59" s="1504" t="s">
        <v>706</v>
      </c>
      <c r="M59" s="635"/>
      <c r="N59" s="636"/>
      <c r="O59" s="1124"/>
      <c r="P59" s="1184"/>
      <c r="Q59" s="1184"/>
      <c r="R59" s="1184"/>
    </row>
    <row r="60" spans="1:20" ht="14.85" customHeight="1">
      <c r="A60" s="496" t="s">
        <v>317</v>
      </c>
      <c r="B60" s="571" t="s">
        <v>761</v>
      </c>
      <c r="C60" s="2027" t="s">
        <v>1238</v>
      </c>
      <c r="D60" s="166">
        <v>9761.0280000000002</v>
      </c>
      <c r="E60" s="1499">
        <v>26168.744999999999</v>
      </c>
      <c r="F60" s="193" t="str">
        <f>IF(OR(D60="",E60=""),"Skriv belopp eller 0","")</f>
        <v/>
      </c>
      <c r="G60" s="1251" t="s">
        <v>934</v>
      </c>
      <c r="H60" s="2038" t="s">
        <v>973</v>
      </c>
      <c r="I60" s="2040" t="s">
        <v>1125</v>
      </c>
      <c r="J60" s="1505">
        <v>21917.710999999999</v>
      </c>
      <c r="K60" s="1505">
        <v>26017.75</v>
      </c>
      <c r="L60" s="1631"/>
      <c r="M60" s="601"/>
      <c r="N60" s="636"/>
      <c r="O60" s="1124"/>
      <c r="P60" s="1184"/>
      <c r="Q60" s="1184"/>
      <c r="R60" s="1184"/>
      <c r="S60" s="1115"/>
      <c r="T60" s="1115"/>
    </row>
    <row r="61" spans="1:20" ht="14.85" customHeight="1">
      <c r="A61" s="2024" t="s">
        <v>780</v>
      </c>
      <c r="B61" s="2030" t="s">
        <v>760</v>
      </c>
      <c r="C61" s="2036" t="s">
        <v>1048</v>
      </c>
      <c r="D61" s="166">
        <v>40706.035000000003</v>
      </c>
      <c r="E61" s="1499">
        <v>50349.567000000003</v>
      </c>
      <c r="F61" s="193" t="str">
        <f>IF(D61&gt;E61,"konc. &lt; komm.",IF(OR(D61="",E61=""),"Skriv belopp eller 0",""))</f>
        <v/>
      </c>
      <c r="G61" s="1510"/>
      <c r="H61" s="1510"/>
      <c r="I61" s="1307"/>
      <c r="J61" s="127" t="str">
        <f>IF(AND(D61=0,J60=0),"",IF(SUM(J60)&gt;D61,"Däravrad 132 &gt; rad 087",IF(AND(D61&gt;10,J60=""),"Rad 132: skriv belopp eller 0","")))</f>
        <v/>
      </c>
      <c r="K61" s="127" t="str">
        <f>IF(AND(E61=0,K60=0),"",IF(SUM(K60)&gt;E61,"Däravrad 132 &gt; rad 087",IF(AND(E61&gt;10,K60=""),"Rad 132: skriv belopp eller 0",IF(J60&gt;K60,"konc.&lt;kommun",""))))</f>
        <v/>
      </c>
      <c r="L61" s="160"/>
      <c r="M61" s="601"/>
      <c r="N61" s="636"/>
      <c r="O61" s="1124"/>
      <c r="P61" s="1184"/>
      <c r="Q61" s="1184"/>
      <c r="R61" s="1184"/>
      <c r="S61" s="1115"/>
      <c r="T61" s="1115"/>
    </row>
    <row r="62" spans="1:20" ht="14.85" customHeight="1">
      <c r="A62" s="496" t="s">
        <v>318</v>
      </c>
      <c r="B62" s="572" t="s">
        <v>640</v>
      </c>
      <c r="C62" s="522" t="s">
        <v>641</v>
      </c>
      <c r="D62" s="167">
        <v>98151.263999999996</v>
      </c>
      <c r="E62" s="1499">
        <v>43923.491000000002</v>
      </c>
      <c r="F62" s="193" t="str">
        <f>IF(OR(D62="",E62=""),"Skriv belopp eller 0","")</f>
        <v/>
      </c>
      <c r="G62" s="1254" t="s">
        <v>935</v>
      </c>
      <c r="H62" s="1255" t="s">
        <v>974</v>
      </c>
      <c r="I62" s="1895" t="s">
        <v>1126</v>
      </c>
      <c r="J62" s="1669">
        <v>106176.488</v>
      </c>
      <c r="K62" s="1670">
        <v>115894.357</v>
      </c>
      <c r="L62" s="1101" t="str">
        <f>IF(AND(D63=0,J62=0,E63=0,K62=0),"",IF(SUM(J62)&gt;D63,"Däravrad 133 &gt; rad 089",IF(AND(D63&gt;10,J62=""),"Rad 133,kommun: skriv belopp eller 0",IF(AND(E63=0,K62=0),"",IF(SUM(K62)&gt;E63,"Koncern:Däravrad 133&gt;rad 089",IF(AND(E63&gt;10,K62=""),"Rad 133,koncern:skriv belopp eller 0",""))))))</f>
        <v/>
      </c>
      <c r="M62" s="601"/>
      <c r="N62" s="636"/>
      <c r="O62" s="1124"/>
      <c r="P62" s="1184"/>
      <c r="Q62" s="1176"/>
      <c r="R62" s="1184"/>
      <c r="S62" s="1115"/>
      <c r="T62" s="1115"/>
    </row>
    <row r="63" spans="1:20" ht="14.85" customHeight="1" thickBot="1">
      <c r="A63" s="500" t="s">
        <v>319</v>
      </c>
      <c r="B63" s="620">
        <v>23</v>
      </c>
      <c r="C63" s="485" t="s">
        <v>642</v>
      </c>
      <c r="D63" s="276">
        <f>SUM(D56:D62)</f>
        <v>664935.62100000004</v>
      </c>
      <c r="E63" s="1961">
        <f>SUM(E56:E58,E60:E62)</f>
        <v>885537.58299999998</v>
      </c>
      <c r="F63" s="1861"/>
      <c r="G63" s="1656" t="s">
        <v>336</v>
      </c>
      <c r="H63" s="1660" t="s">
        <v>974</v>
      </c>
      <c r="I63" s="1657" t="s">
        <v>1131</v>
      </c>
      <c r="J63" s="1616">
        <v>279474.571</v>
      </c>
      <c r="K63" s="1676"/>
      <c r="L63" s="1101" t="str">
        <f>IF(AND(D63=0,J63=0),"",IF(SUM(J63)&gt;D63,"Däravrad 088 &gt; rad 089",IF(AND(D63&gt;10,J63=""),"Rad 088,kommun: skriv belopp eller 0","")))</f>
        <v/>
      </c>
      <c r="M63" s="534">
        <f>D63*1000/invanare</f>
        <v>62682.450316049115</v>
      </c>
      <c r="N63" s="535">
        <f>E63*1000/invanare</f>
        <v>83478.25533231844</v>
      </c>
      <c r="O63" s="1124"/>
      <c r="P63" s="1184"/>
      <c r="Q63" s="1350"/>
      <c r="R63" s="1350"/>
    </row>
    <row r="64" spans="1:20" ht="14.85" customHeight="1">
      <c r="A64" s="496" t="s">
        <v>320</v>
      </c>
      <c r="B64" s="621" t="s">
        <v>643</v>
      </c>
      <c r="C64" s="468" t="s">
        <v>644</v>
      </c>
      <c r="D64" s="161">
        <v>111979.78</v>
      </c>
      <c r="E64" s="617"/>
      <c r="F64" s="193"/>
      <c r="G64" s="1128" t="s">
        <v>322</v>
      </c>
      <c r="H64" s="1799" t="s">
        <v>710</v>
      </c>
      <c r="I64" s="1913" t="s">
        <v>1127</v>
      </c>
      <c r="J64" s="1800">
        <v>22396.157999999999</v>
      </c>
      <c r="K64" s="1661" t="s">
        <v>977</v>
      </c>
      <c r="L64" s="127" t="str">
        <f>IF(AND(D64=0,J64=0),"",IF(SUM(J64)&gt;D64,"Däravrad 091 &gt; rad 090",IF(AND(D64&gt;10,J64=""),"Rad 091: skriv belopp eller 0","")))</f>
        <v/>
      </c>
      <c r="M64" s="635"/>
      <c r="N64" s="636"/>
      <c r="O64" s="1124"/>
      <c r="P64" s="1184"/>
      <c r="Q64" s="1176"/>
      <c r="R64" s="1184"/>
      <c r="S64" s="245"/>
      <c r="T64" s="245"/>
    </row>
    <row r="65" spans="1:20" ht="14.85" customHeight="1">
      <c r="A65" s="496" t="s">
        <v>321</v>
      </c>
      <c r="B65" s="572" t="s">
        <v>645</v>
      </c>
      <c r="C65" s="473" t="s">
        <v>646</v>
      </c>
      <c r="D65" s="161">
        <v>42584.120999999999</v>
      </c>
      <c r="E65" s="617"/>
      <c r="F65" s="1100"/>
      <c r="G65" s="1251" t="s">
        <v>936</v>
      </c>
      <c r="H65" s="1873" t="s">
        <v>937</v>
      </c>
      <c r="I65" s="1874" t="s">
        <v>1128</v>
      </c>
      <c r="J65" s="1875">
        <v>66001.112999999998</v>
      </c>
      <c r="K65" s="1767" t="s">
        <v>976</v>
      </c>
      <c r="L65" s="1489" t="str">
        <f>IF(AND(D64=0,J65=0),"",IF(SUM(J65)&gt;D64,"Däravrad 134 &gt; rad 090",IF(J65="","skriv belopp eller 0","")))</f>
        <v/>
      </c>
      <c r="M65" s="635"/>
      <c r="N65" s="636"/>
      <c r="O65" s="1124"/>
      <c r="P65" s="1184"/>
      <c r="Q65" s="1176"/>
      <c r="R65" s="1184"/>
      <c r="S65" s="245"/>
      <c r="T65" s="245"/>
    </row>
    <row r="66" spans="1:20" ht="14.85" customHeight="1" thickBot="1">
      <c r="A66" s="496" t="s">
        <v>337</v>
      </c>
      <c r="B66" s="572">
        <v>271</v>
      </c>
      <c r="C66" s="473" t="s">
        <v>10</v>
      </c>
      <c r="D66" s="161">
        <v>6679.3829999999998</v>
      </c>
      <c r="E66" s="617"/>
      <c r="F66" s="1100"/>
      <c r="G66" s="1876" t="s">
        <v>2</v>
      </c>
      <c r="H66" s="1882" t="s">
        <v>1070</v>
      </c>
      <c r="I66" s="1881" t="s">
        <v>1130</v>
      </c>
      <c r="J66" s="1801">
        <v>45815.896000000001</v>
      </c>
      <c r="K66" s="1767"/>
      <c r="L66" s="1489" t="str">
        <f>IF(AND(D64=0,J66=0),"",IF(SUM(J66)&gt;D64,"Däravrad 135 &gt; rad 090",IF(J65="","skriv belopp eller 0","")))</f>
        <v/>
      </c>
      <c r="M66" s="635"/>
      <c r="N66" s="636"/>
      <c r="O66" s="1124"/>
      <c r="P66" s="1184"/>
      <c r="Q66" s="1176"/>
      <c r="R66" s="1184"/>
    </row>
    <row r="67" spans="1:20" ht="14.85" customHeight="1">
      <c r="A67" s="496" t="s">
        <v>1107</v>
      </c>
      <c r="B67" s="572">
        <v>272</v>
      </c>
      <c r="C67" s="473" t="s">
        <v>1102</v>
      </c>
      <c r="D67" s="1898">
        <v>8599.982</v>
      </c>
      <c r="E67" s="1899"/>
      <c r="F67" s="193" t="str">
        <f>IF(D67&lt;&gt;0,"","Belopp saknas för kommunen")</f>
        <v/>
      </c>
      <c r="G67" s="613" t="s">
        <v>323</v>
      </c>
      <c r="H67" s="1250" t="s">
        <v>727</v>
      </c>
      <c r="I67" s="1914" t="s">
        <v>1129</v>
      </c>
      <c r="J67" s="1801">
        <v>3633.703</v>
      </c>
      <c r="K67" s="1904"/>
      <c r="L67" s="1489" t="str">
        <f>IF(AND(D65=0,J67=0),"",IF(SUM(J67)&gt;D65,"Däravrad 092 &gt; rad 086",IF(J67="","skriv belopp eller 0","")))</f>
        <v/>
      </c>
      <c r="M67" s="635"/>
      <c r="N67" s="636"/>
      <c r="O67" s="1124"/>
      <c r="P67" s="1184"/>
      <c r="Q67" s="1176"/>
      <c r="R67" s="1184"/>
    </row>
    <row r="68" spans="1:20" ht="14.85" customHeight="1">
      <c r="A68" s="496" t="s">
        <v>324</v>
      </c>
      <c r="B68" s="572">
        <v>281</v>
      </c>
      <c r="C68" s="473" t="s">
        <v>1068</v>
      </c>
      <c r="D68" s="168">
        <v>4828.8819999999996</v>
      </c>
      <c r="E68" s="628"/>
      <c r="F68" s="1100"/>
      <c r="J68" s="1903"/>
      <c r="K68" s="1902"/>
      <c r="L68" s="1101"/>
      <c r="M68" s="635"/>
      <c r="N68" s="602"/>
      <c r="O68" s="1124"/>
      <c r="P68" s="1184"/>
      <c r="Q68" s="1176"/>
      <c r="R68" s="1184"/>
    </row>
    <row r="69" spans="1:20" ht="14.85" customHeight="1">
      <c r="A69" s="496" t="s">
        <v>325</v>
      </c>
      <c r="B69" s="572" t="s">
        <v>647</v>
      </c>
      <c r="C69" s="473" t="s">
        <v>648</v>
      </c>
      <c r="D69" s="167">
        <v>19387.455999999998</v>
      </c>
      <c r="E69" s="629"/>
      <c r="F69" s="193" t="str">
        <f>IF(D69&lt;&gt;0,"","Belopp saknas för kommunen")</f>
        <v/>
      </c>
      <c r="G69" s="4"/>
      <c r="H69" s="9"/>
      <c r="I69" s="4"/>
      <c r="J69" s="1511" t="s">
        <v>605</v>
      </c>
      <c r="K69" s="1222"/>
      <c r="M69" s="635"/>
      <c r="N69" s="602"/>
      <c r="O69" s="1124"/>
      <c r="P69" s="1184"/>
      <c r="Q69" s="1176"/>
      <c r="R69" s="1184"/>
    </row>
    <row r="70" spans="1:20" ht="14.85" customHeight="1">
      <c r="A70" s="496" t="s">
        <v>796</v>
      </c>
      <c r="B70" s="572">
        <v>293</v>
      </c>
      <c r="C70" s="473" t="s">
        <v>762</v>
      </c>
      <c r="D70" s="166">
        <v>11875.184999999999</v>
      </c>
      <c r="E70" s="627"/>
      <c r="F70" s="193" t="str">
        <f>IF(D70&lt;&gt;0,"","Belopp saknas för kommunen")</f>
        <v/>
      </c>
      <c r="G70" s="1251" t="s">
        <v>326</v>
      </c>
      <c r="H70" s="1252" t="s">
        <v>649</v>
      </c>
      <c r="I70" s="1502" t="s">
        <v>1132</v>
      </c>
      <c r="J70" s="1505">
        <v>4269.3059999999996</v>
      </c>
      <c r="K70" s="4"/>
      <c r="M70" s="635"/>
      <c r="N70" s="602"/>
      <c r="O70" s="1124"/>
      <c r="P70" s="1184"/>
      <c r="Q70" s="1176"/>
      <c r="R70" s="1184"/>
      <c r="S70" s="245"/>
    </row>
    <row r="71" spans="1:20" ht="14.85" customHeight="1">
      <c r="A71" s="496" t="s">
        <v>327</v>
      </c>
      <c r="B71" s="572" t="s">
        <v>650</v>
      </c>
      <c r="C71" s="473" t="s">
        <v>739</v>
      </c>
      <c r="D71" s="166">
        <v>12374.343000000001</v>
      </c>
      <c r="E71" s="627"/>
      <c r="F71" s="193" t="str">
        <f>IF(D71&lt;&gt;0,"","Belopp saknas för kommunen")</f>
        <v/>
      </c>
      <c r="J71" s="1905" t="str">
        <f>IF(AND(D70=0,J70=0),"",IF(SUM(J70)&gt;D70,"Däravrad 095 &gt; rad 104",IF(J70="","skriv belopp eller 0","")))</f>
        <v/>
      </c>
      <c r="K71" s="1302"/>
      <c r="L71" s="1489"/>
      <c r="M71" s="635"/>
      <c r="N71" s="602"/>
      <c r="O71" s="1124"/>
      <c r="P71" s="1184"/>
      <c r="Q71" s="1176"/>
      <c r="R71" s="1184"/>
    </row>
    <row r="72" spans="1:20" ht="14.85" customHeight="1">
      <c r="A72" s="496" t="s">
        <v>438</v>
      </c>
      <c r="B72" s="572" t="s">
        <v>11</v>
      </c>
      <c r="C72" s="473" t="s">
        <v>12</v>
      </c>
      <c r="D72" s="166">
        <v>2659</v>
      </c>
      <c r="E72" s="627"/>
      <c r="F72" s="1100"/>
      <c r="G72" s="4"/>
      <c r="H72" s="4"/>
      <c r="I72" s="4"/>
      <c r="J72" s="127"/>
      <c r="K72" s="127"/>
      <c r="M72" s="635"/>
      <c r="N72" s="602"/>
      <c r="O72" s="1124"/>
      <c r="P72" s="1184"/>
      <c r="Q72" s="1176"/>
      <c r="R72" s="1184"/>
    </row>
    <row r="73" spans="1:20" ht="14.85" customHeight="1">
      <c r="A73" s="496" t="s">
        <v>328</v>
      </c>
      <c r="B73" s="571" t="s">
        <v>651</v>
      </c>
      <c r="C73" s="468" t="s">
        <v>653</v>
      </c>
      <c r="D73" s="166">
        <v>32544.828000000001</v>
      </c>
      <c r="E73" s="627"/>
      <c r="F73" s="1100"/>
      <c r="G73" s="4"/>
      <c r="H73" s="159"/>
      <c r="I73" s="4"/>
      <c r="J73" s="157"/>
      <c r="K73" s="1511" t="s">
        <v>706</v>
      </c>
      <c r="M73" s="635"/>
      <c r="N73" s="602"/>
      <c r="O73" s="1124"/>
      <c r="P73" s="1184"/>
      <c r="Q73" s="1184"/>
      <c r="R73" s="1184"/>
    </row>
    <row r="74" spans="1:20" ht="14.85" customHeight="1" thickBot="1">
      <c r="A74" s="498" t="s">
        <v>329</v>
      </c>
      <c r="B74" s="622" t="s">
        <v>654</v>
      </c>
      <c r="C74" s="623" t="s">
        <v>655</v>
      </c>
      <c r="D74" s="280">
        <f>SUM(D64:D73)</f>
        <v>253512.96000000002</v>
      </c>
      <c r="E74" s="164">
        <v>327106.891</v>
      </c>
      <c r="F74" s="193" t="str">
        <f>IF(E74="","Skriv belopp eller 0 för koncernen","")</f>
        <v/>
      </c>
      <c r="G74" s="605" t="s">
        <v>320</v>
      </c>
      <c r="H74" s="1915">
        <v>24</v>
      </c>
      <c r="I74" s="1770" t="s">
        <v>1134</v>
      </c>
      <c r="J74" s="1771"/>
      <c r="K74" s="1667">
        <v>110295.433</v>
      </c>
      <c r="L74" s="1489" t="str">
        <f>IF(AND(E74=0,K74=0),"",IF(SUM(K74)&gt;E74,"Därav-rad 090&gt;rad 098 (Excel K68&gt;E68)",IF(AND(E74&gt;100,K74=""),"Rad 090: skriv belopp eller 0","")))</f>
        <v/>
      </c>
      <c r="M74" s="639">
        <f>D74*1000/invanare</f>
        <v>23898.273784424837</v>
      </c>
      <c r="N74" s="640">
        <f>E74*1000/invanare</f>
        <v>30835.859586389633</v>
      </c>
      <c r="O74" s="1124"/>
      <c r="P74" s="1184"/>
      <c r="Q74" s="1350"/>
      <c r="R74" s="1350"/>
    </row>
    <row r="75" spans="1:20" ht="14.85" customHeight="1" thickBot="1">
      <c r="A75" s="490" t="s">
        <v>330</v>
      </c>
      <c r="B75" s="575" t="s">
        <v>656</v>
      </c>
      <c r="C75" s="454" t="s">
        <v>657</v>
      </c>
      <c r="D75" s="271">
        <f>SUM(D63,D74)</f>
        <v>918448.58100000001</v>
      </c>
      <c r="E75" s="281">
        <f>SUM(E63,E74)</f>
        <v>1212644.4739999999</v>
      </c>
      <c r="F75" s="1100"/>
      <c r="G75" s="1251" t="s">
        <v>936</v>
      </c>
      <c r="H75" s="1691" t="s">
        <v>937</v>
      </c>
      <c r="I75" s="1659" t="s">
        <v>1133</v>
      </c>
      <c r="J75" s="1658"/>
      <c r="K75" s="1668">
        <v>73795.831000000006</v>
      </c>
      <c r="L75" s="1489" t="str">
        <f>IF(AND(K74=0,K75=0),"",IF(SUM(K75)&gt;K74,"Varav-rad 134&gt;rad 090",IF(AND(K74&gt;100,K75=""),"Rad 134, skriv belopp eller 0","")))</f>
        <v/>
      </c>
      <c r="M75" s="1124"/>
      <c r="N75" s="1124"/>
      <c r="O75" s="1124"/>
      <c r="P75" s="1184"/>
      <c r="Q75" s="1350"/>
      <c r="R75" s="1350"/>
    </row>
    <row r="76" spans="1:20" ht="14.85" customHeight="1" thickBot="1">
      <c r="A76" s="624">
        <v>100</v>
      </c>
      <c r="B76" s="625" t="s">
        <v>658</v>
      </c>
      <c r="C76" s="626" t="s">
        <v>1122</v>
      </c>
      <c r="D76" s="282">
        <f>SUM(D48,D55,D63,D74)</f>
        <v>1721981.156</v>
      </c>
      <c r="E76" s="278">
        <f>SUM(E48,E55,E63,E74)</f>
        <v>2281182.69</v>
      </c>
      <c r="F76" s="4"/>
      <c r="G76" s="4"/>
      <c r="H76" s="4"/>
      <c r="I76" s="4"/>
      <c r="J76" s="4"/>
      <c r="K76" s="1489"/>
      <c r="L76" s="2020"/>
      <c r="M76" s="56"/>
      <c r="N76" s="56"/>
      <c r="O76" s="182"/>
      <c r="P76" s="1184"/>
      <c r="Q76" s="1350"/>
      <c r="R76" s="1350"/>
    </row>
    <row r="77" spans="1:20">
      <c r="A77" s="1189" t="s">
        <v>1103</v>
      </c>
      <c r="B77" s="129"/>
      <c r="C77" s="67"/>
      <c r="D77" s="5"/>
      <c r="E77" s="5"/>
      <c r="F77" s="4"/>
      <c r="G77" s="4"/>
      <c r="H77" s="4"/>
      <c r="I77" s="4"/>
      <c r="J77" s="4"/>
      <c r="K77" s="2018"/>
      <c r="L77" s="2019" t="s">
        <v>519</v>
      </c>
      <c r="M77" s="538">
        <f>J63*1000/invanare</f>
        <v>26345.634611905745</v>
      </c>
      <c r="N77" s="641"/>
      <c r="O77" s="1157"/>
      <c r="P77" s="1353"/>
      <c r="Q77" s="1354"/>
      <c r="R77" s="1354"/>
    </row>
    <row r="78" spans="1:20">
      <c r="A78" s="1189"/>
      <c r="B78" s="129"/>
      <c r="C78" s="67"/>
      <c r="D78" s="5"/>
      <c r="E78" s="5"/>
      <c r="F78" s="4"/>
      <c r="G78" s="4"/>
      <c r="H78" s="4"/>
      <c r="I78" s="4"/>
      <c r="J78" s="4"/>
      <c r="K78" s="2018"/>
      <c r="L78" s="2017" t="s">
        <v>515</v>
      </c>
      <c r="M78" s="1630">
        <f>SUM(D63-J63)*1000/invanare</f>
        <v>36336.815704143373</v>
      </c>
      <c r="N78" s="598"/>
      <c r="O78" s="1157"/>
      <c r="Q78" s="2412"/>
      <c r="R78" s="2412"/>
      <c r="S78" s="2412"/>
    </row>
    <row r="79" spans="1:20" ht="15" customHeight="1">
      <c r="A79"/>
      <c r="B79" s="8"/>
      <c r="C79" s="7"/>
      <c r="D79" s="5"/>
      <c r="E79" s="5"/>
      <c r="F79" s="4"/>
      <c r="G79" s="4"/>
      <c r="H79" s="4"/>
      <c r="I79" s="4"/>
      <c r="J79" s="4"/>
      <c r="K79" s="2018"/>
      <c r="L79" s="2022" t="s">
        <v>513</v>
      </c>
      <c r="M79" s="534">
        <f>IF(D34=0,"",D48*100/D34)</f>
        <v>39.319999837930766</v>
      </c>
      <c r="N79" s="535">
        <f>IF(E34=0,"",E48*100/E34)</f>
        <v>39.164940163782063</v>
      </c>
      <c r="O79" s="1124"/>
      <c r="Q79" s="2412"/>
      <c r="R79" s="2412"/>
      <c r="S79" s="2412"/>
    </row>
    <row r="80" spans="1:20" ht="18" customHeight="1" thickBot="1">
      <c r="A80" s="1785" t="s">
        <v>721</v>
      </c>
      <c r="D80" s="5"/>
      <c r="E80" s="5"/>
      <c r="F80" s="4"/>
      <c r="G80" s="4"/>
      <c r="H80" s="4"/>
      <c r="I80" s="4"/>
      <c r="J80" s="4"/>
      <c r="L80" s="2023" t="s">
        <v>514</v>
      </c>
      <c r="M80" s="2021">
        <f>IF(D34=0,"",(D48-E86)*100/D34)</f>
        <v>29.92545740303057</v>
      </c>
      <c r="N80" s="640">
        <f>IF(E34=0,"",(E48-E86)*100/E34)</f>
        <v>32.070657169244569</v>
      </c>
      <c r="O80" s="1124"/>
      <c r="Q80" s="129"/>
      <c r="R80" s="129"/>
    </row>
    <row r="81" spans="1:18" ht="27">
      <c r="A81" s="1963" t="s">
        <v>1106</v>
      </c>
      <c r="B81" s="1780"/>
      <c r="C81" s="1781"/>
      <c r="D81" s="1901" t="str">
        <f>"Kommunen  "&amp;År-1&amp;"  "</f>
        <v xml:space="preserve">Kommunen  2024  </v>
      </c>
      <c r="E81" s="1962" t="s">
        <v>605</v>
      </c>
      <c r="F81" s="4"/>
      <c r="G81" s="4"/>
      <c r="H81" s="4"/>
      <c r="I81" s="4"/>
      <c r="J81" s="4"/>
      <c r="K81" s="4"/>
      <c r="M81" s="642" t="str">
        <f>"Föränd. %  "&amp;År-1&amp;" - "&amp;År&amp;" "</f>
        <v xml:space="preserve">Föränd. %  2024 - 2025 </v>
      </c>
      <c r="N81" s="642" t="s">
        <v>1105</v>
      </c>
    </row>
    <row r="82" spans="1:18" ht="18" customHeight="1">
      <c r="A82" s="496" t="s">
        <v>331</v>
      </c>
      <c r="B82" s="647" t="s">
        <v>659</v>
      </c>
      <c r="C82" s="1782"/>
      <c r="D82" s="648">
        <v>150224.74</v>
      </c>
      <c r="E82" s="87">
        <v>148117.78700000001</v>
      </c>
      <c r="F82" s="193" t="str">
        <f>IF(E82="","Skriv belopp eller 0","")</f>
        <v/>
      </c>
      <c r="G82" s="4"/>
      <c r="H82" s="4"/>
      <c r="I82" s="4"/>
      <c r="J82" s="4"/>
      <c r="K82" s="4"/>
      <c r="L82" s="4"/>
      <c r="M82" s="643">
        <f t="shared" ref="M82:M87" si="0">IF(AND(D82=0,E82=0),"",IF(E82=0,1,IF(D82=0,-1,E82/D82-1)))</f>
        <v>-1.4025339634470169E-2</v>
      </c>
      <c r="N82" s="644">
        <f t="shared" ref="N82:N87" si="1">E82*1000/invanare</f>
        <v>13962.834192260314</v>
      </c>
      <c r="O82" s="1180"/>
      <c r="Q82" s="1115"/>
      <c r="R82" s="1115"/>
    </row>
    <row r="83" spans="1:18" ht="18" customHeight="1">
      <c r="A83" s="496" t="s">
        <v>332</v>
      </c>
      <c r="B83" s="649" t="s">
        <v>1135</v>
      </c>
      <c r="C83" s="480"/>
      <c r="D83" s="650">
        <v>5371.1719999999996</v>
      </c>
      <c r="E83" s="87">
        <v>5028.8130000000001</v>
      </c>
      <c r="F83" s="193" t="str">
        <f t="shared" ref="F83:F85" si="2">IF(E83="","Skriv belopp eller 0","")</f>
        <v/>
      </c>
      <c r="G83" s="4"/>
      <c r="H83" s="4"/>
      <c r="I83" s="4"/>
      <c r="J83" s="4"/>
      <c r="K83" s="4"/>
      <c r="L83" s="4"/>
      <c r="M83" s="645">
        <f t="shared" si="0"/>
        <v>-6.3740092478885346E-2</v>
      </c>
      <c r="N83" s="644">
        <f t="shared" si="1"/>
        <v>474.0584066576904</v>
      </c>
      <c r="O83" s="1124"/>
      <c r="Q83" s="1115"/>
      <c r="R83" s="1115"/>
    </row>
    <row r="84" spans="1:18" ht="18" customHeight="1">
      <c r="A84" s="496" t="s">
        <v>209</v>
      </c>
      <c r="B84" s="649" t="s">
        <v>660</v>
      </c>
      <c r="C84" s="480"/>
      <c r="D84" s="650">
        <v>140912.95800000001</v>
      </c>
      <c r="E84" s="87">
        <v>146236.34899999999</v>
      </c>
      <c r="F84" s="193" t="str">
        <f t="shared" si="2"/>
        <v/>
      </c>
      <c r="G84" s="4"/>
      <c r="H84" s="4"/>
      <c r="I84" s="4"/>
      <c r="J84" s="4"/>
      <c r="K84" s="4"/>
      <c r="L84" s="4"/>
      <c r="M84" s="645">
        <f t="shared" si="0"/>
        <v>3.7777867100057483E-2</v>
      </c>
      <c r="N84" s="644">
        <f t="shared" si="1"/>
        <v>13785.473948301107</v>
      </c>
      <c r="O84" s="1124"/>
      <c r="Q84" s="1115"/>
      <c r="R84" s="1115"/>
    </row>
    <row r="85" spans="1:18" ht="18" customHeight="1">
      <c r="A85" s="496" t="s">
        <v>333</v>
      </c>
      <c r="B85" s="1783" t="s">
        <v>1136</v>
      </c>
      <c r="C85" s="1784" t="s">
        <v>921</v>
      </c>
      <c r="D85" s="650">
        <v>20090.530999999999</v>
      </c>
      <c r="E85" s="87">
        <v>15378.763000000001</v>
      </c>
      <c r="F85" s="193" t="str">
        <f t="shared" si="2"/>
        <v/>
      </c>
      <c r="G85" s="4"/>
      <c r="H85" s="4"/>
      <c r="I85" s="4"/>
      <c r="J85" s="4"/>
      <c r="K85" s="4"/>
      <c r="L85" s="4"/>
      <c r="M85" s="645">
        <f t="shared" si="0"/>
        <v>-0.23452680270123261</v>
      </c>
      <c r="N85" s="644">
        <f t="shared" si="1"/>
        <v>1449.7321503397011</v>
      </c>
      <c r="O85" s="1124"/>
      <c r="Q85" s="1115"/>
      <c r="R85" s="1115"/>
    </row>
    <row r="86" spans="1:18" ht="18" customHeight="1">
      <c r="A86" s="496" t="s">
        <v>334</v>
      </c>
      <c r="B86" s="1768" t="s">
        <v>922</v>
      </c>
      <c r="C86" s="1769" t="s">
        <v>923</v>
      </c>
      <c r="D86" s="650">
        <v>168049.321</v>
      </c>
      <c r="E86" s="162">
        <v>161772.15299999999</v>
      </c>
      <c r="F86" s="193" t="str">
        <f>IF(E86=0,"Belopp saknas","")</f>
        <v/>
      </c>
      <c r="G86" s="4"/>
      <c r="H86" s="4"/>
      <c r="I86" s="4"/>
      <c r="J86" s="4"/>
      <c r="L86" s="4"/>
      <c r="M86" s="645">
        <f t="shared" si="0"/>
        <v>-3.7353129204253155E-2</v>
      </c>
      <c r="N86" s="644">
        <f t="shared" si="1"/>
        <v>15250.010110291258</v>
      </c>
      <c r="O86" s="1124"/>
      <c r="Q86" s="1115"/>
      <c r="R86" s="1115"/>
    </row>
    <row r="87" spans="1:18" ht="18" customHeight="1" thickBot="1">
      <c r="A87" s="500" t="s">
        <v>335</v>
      </c>
      <c r="B87" s="651" t="s">
        <v>661</v>
      </c>
      <c r="C87" s="652"/>
      <c r="D87" s="653">
        <f>SUM(D82:D86)</f>
        <v>484648.72200000001</v>
      </c>
      <c r="E87" s="283">
        <f>SUM(E82:E86)</f>
        <v>476533.86499999999</v>
      </c>
      <c r="F87" s="193"/>
      <c r="G87" s="1254" t="s">
        <v>871</v>
      </c>
      <c r="H87" s="1255"/>
      <c r="I87" s="647" t="s">
        <v>867</v>
      </c>
      <c r="J87" s="234">
        <v>300606.38</v>
      </c>
      <c r="K87" s="127"/>
      <c r="L87" s="4"/>
      <c r="M87" s="646">
        <f t="shared" si="0"/>
        <v>-1.6743791186557666E-2</v>
      </c>
      <c r="N87" s="550">
        <f t="shared" si="1"/>
        <v>44922.108807850069</v>
      </c>
      <c r="O87" s="1124"/>
      <c r="Q87" s="1115"/>
      <c r="R87" s="1115"/>
    </row>
    <row r="88" spans="1:18" ht="18" customHeight="1">
      <c r="A88" s="9"/>
      <c r="F88" s="1100"/>
      <c r="G88" s="1342" t="s">
        <v>872</v>
      </c>
      <c r="H88" s="1250"/>
      <c r="I88" s="1312" t="s">
        <v>869</v>
      </c>
      <c r="J88" s="233">
        <v>207020.83300000001</v>
      </c>
      <c r="K88" s="127" t="str">
        <f>IF(AND(J87=0,J88=0),"",IF(J88="","rad 162: skriv belopp eller 0",IF(SUM(J88)&gt;J87,"Varav-rad 162 &gt; rad 161 ",IF(J88&gt;SUM(E82+E84),"varför är rad 162   " &amp;" "&amp;(ROUND(J88-SUM(E82+E84),0))&amp; "tkr större än summan av raderna 121 och 130 (offentligt ägda bolag)?",""))))</f>
        <v/>
      </c>
      <c r="L88" s="4"/>
      <c r="M88" s="4"/>
      <c r="N88" s="4"/>
      <c r="O88" s="1124"/>
      <c r="Q88" s="128"/>
      <c r="R88" s="128"/>
    </row>
    <row r="89" spans="1:18">
      <c r="A89" s="9"/>
      <c r="F89" s="1100"/>
      <c r="G89" s="1184"/>
      <c r="H89" s="1359"/>
      <c r="I89" s="1115"/>
      <c r="J89" s="1302"/>
      <c r="K89" s="127"/>
      <c r="L89" s="4"/>
      <c r="M89" s="4"/>
      <c r="N89" s="4"/>
      <c r="O89" s="1124"/>
      <c r="Q89" s="128"/>
      <c r="R89" s="128"/>
    </row>
    <row r="90" spans="1:18"/>
    <row r="91" spans="1:18" ht="15" customHeight="1">
      <c r="A91" s="30"/>
      <c r="B91" s="4"/>
      <c r="C91" s="4"/>
      <c r="D91" s="4"/>
      <c r="E91" s="4"/>
      <c r="F91" s="1100"/>
      <c r="G91" s="4"/>
      <c r="H91" s="4"/>
      <c r="I91" s="4"/>
      <c r="J91" s="127"/>
      <c r="K91" s="1501"/>
      <c r="L91" s="267"/>
      <c r="M91" s="4"/>
      <c r="N91" s="4"/>
    </row>
    <row r="92" spans="1:18">
      <c r="A92" s="1184"/>
      <c r="B92" s="67"/>
      <c r="C92" s="67"/>
      <c r="E92" s="1501"/>
      <c r="F92" s="193"/>
      <c r="G92" s="4"/>
      <c r="H92" s="4"/>
      <c r="I92" s="4"/>
      <c r="J92" s="4"/>
      <c r="K92" s="4"/>
      <c r="L92" s="4"/>
      <c r="M92" s="4"/>
      <c r="N92" s="4"/>
      <c r="Q92" s="1115"/>
      <c r="R92" s="1115"/>
    </row>
    <row r="93" spans="1:18">
      <c r="A93" s="1989"/>
      <c r="B93" s="1989"/>
      <c r="C93" s="1989"/>
      <c r="D93" s="1989"/>
      <c r="E93" s="1989"/>
      <c r="G93" s="4"/>
      <c r="H93" s="4"/>
      <c r="I93" s="4"/>
      <c r="J93" s="4"/>
      <c r="K93" s="4"/>
      <c r="L93" s="4"/>
      <c r="M93" s="4"/>
      <c r="N93" s="4"/>
      <c r="Q93"/>
      <c r="R93"/>
    </row>
    <row r="94" spans="1:18">
      <c r="A94" s="1989"/>
      <c r="B94" s="1989"/>
      <c r="C94" s="1989"/>
      <c r="D94" s="1989"/>
      <c r="E94" s="1989"/>
      <c r="G94" s="4"/>
      <c r="H94" s="4"/>
      <c r="I94" s="4"/>
      <c r="J94" s="4"/>
      <c r="K94" s="4"/>
      <c r="L94" s="4"/>
      <c r="M94" s="4"/>
      <c r="N94" s="4"/>
    </row>
    <row r="95" spans="1:18">
      <c r="A95" s="1989"/>
      <c r="B95" s="1989"/>
      <c r="C95" s="1989"/>
      <c r="D95" s="1989"/>
      <c r="E95" s="1989"/>
      <c r="G95" s="4"/>
      <c r="H95" s="4"/>
      <c r="I95" s="4"/>
      <c r="J95" s="4"/>
      <c r="K95" s="4"/>
      <c r="L95" s="4"/>
      <c r="M95" s="4"/>
      <c r="N95" s="4"/>
      <c r="P95" s="4"/>
      <c r="Q95"/>
      <c r="R95"/>
    </row>
    <row r="96" spans="1:18">
      <c r="A96" s="1989"/>
      <c r="B96" s="1989"/>
      <c r="C96" s="1989"/>
      <c r="D96" s="1989"/>
      <c r="E96" s="1989"/>
      <c r="G96" s="4"/>
      <c r="H96" s="4"/>
      <c r="I96" s="4"/>
      <c r="J96" s="4"/>
      <c r="K96" s="4"/>
      <c r="L96" s="4"/>
      <c r="M96" s="4"/>
      <c r="N96" s="4"/>
      <c r="P96" s="4"/>
      <c r="Q96"/>
      <c r="R96"/>
    </row>
    <row r="97" spans="1:18">
      <c r="A97" s="1989"/>
      <c r="B97" s="1989"/>
      <c r="C97" s="1989"/>
      <c r="D97" s="1989"/>
      <c r="E97" s="1989"/>
      <c r="K97" s="4"/>
      <c r="L97" s="4"/>
      <c r="P97" s="4"/>
      <c r="Q97"/>
      <c r="R97"/>
    </row>
    <row r="98" spans="1:18">
      <c r="L98" s="4"/>
      <c r="Q98"/>
      <c r="R98"/>
    </row>
    <row r="99" spans="1:18"/>
    <row r="102" spans="1:18"/>
    <row r="103" spans="1:18"/>
    <row r="113"/>
    <row r="114"/>
    <row r="115"/>
    <row r="116"/>
    <row r="117"/>
    <row r="118"/>
    <row r="120"/>
    <row r="121"/>
    <row r="122"/>
  </sheetData>
  <customSheetViews>
    <customSheetView guid="{97D6DB71-3F4C-4C5F-8C5B-51E3EBF78932}" showPageBreaks="1" showGridLines="0" hiddenRows="1" hiddenColumns="1" topLeftCell="A37">
      <selection activeCell="F38" sqref="F38"/>
      <pageMargins left="0.11811023622047245" right="0.11811023622047245" top="0.74803149606299213" bottom="0.74803149606299213" header="0.31496062992125984" footer="0.31496062992125984"/>
      <pageSetup paperSize="9" scale="80" orientation="landscape" r:id="rId1"/>
      <headerFooter>
        <oddHeader>&amp;L&amp;8Statistiska Centralbyrån
Offentlig ekonomi&amp;R&amp;P</oddHeader>
      </headerFooter>
    </customSheetView>
    <customSheetView guid="{99FBDEB7-DD08-4F57-81F4-3C180403E153}" showGridLines="0" hiddenRows="1" hiddenColumns="1" topLeftCell="A37">
      <selection activeCell="F38" sqref="F38"/>
      <pageMargins left="0.11811023622047245" right="0.11811023622047245" top="0.74803149606299213" bottom="0.74803149606299213" header="0.31496062992125984" footer="0.31496062992125984"/>
      <pageSetup paperSize="9" scale="80" orientation="landscape" r:id="rId2"/>
      <headerFooter>
        <oddHeader>&amp;L&amp;8Statistiska Centralbyrån
Offentlig ekonomi&amp;R&amp;P</oddHeader>
      </headerFooter>
    </customSheetView>
    <customSheetView guid="{27C9E95B-0E2B-454F-B637-1CECC9579A10}" showGridLines="0" hiddenRows="1" showRuler="0">
      <selection activeCell="I75" sqref="I75"/>
      <pageMargins left="0.11811023622047245" right="0.11811023622047245" top="0.74803149606299213" bottom="0.74803149606299213" header="0.31496062992125984" footer="0.31496062992125984"/>
      <pageSetup paperSize="9" scale="80" orientation="landscape" r:id="rId3"/>
      <headerFooter alignWithMargins="0">
        <oddHeader>&amp;L&amp;8Statistiska Centralbyrån
Offentlig ekonomi&amp;R&amp;P</oddHeader>
      </headerFooter>
    </customSheetView>
  </customSheetViews>
  <mergeCells count="6">
    <mergeCell ref="Q78:S79"/>
    <mergeCell ref="B5:B6"/>
    <mergeCell ref="M4:N4"/>
    <mergeCell ref="M43:N43"/>
    <mergeCell ref="T5:T6"/>
    <mergeCell ref="S5:S6"/>
  </mergeCells>
  <phoneticPr fontId="90" type="noConversion"/>
  <conditionalFormatting sqref="D22:D25">
    <cfRule type="cellIs" dxfId="153" priority="25" stopIfTrue="1" operator="lessThan">
      <formula>-500</formula>
    </cfRule>
  </conditionalFormatting>
  <conditionalFormatting sqref="D51:D54">
    <cfRule type="cellIs" dxfId="152" priority="5" stopIfTrue="1" operator="lessThan">
      <formula>-500</formula>
    </cfRule>
  </conditionalFormatting>
  <conditionalFormatting sqref="D56:D62">
    <cfRule type="cellIs" dxfId="151" priority="6" stopIfTrue="1" operator="lessThan">
      <formula>-500</formula>
    </cfRule>
  </conditionalFormatting>
  <conditionalFormatting sqref="D19:E19 E92 E9 D9:D11 E12 J13:K13 D13:D15 J15:K15 E17 D21:E21 J22 J27:K27 D27:D30 E31:E32 D32 E56 D64:D73 J70 K71 E74 E82:E86">
    <cfRule type="cellIs" dxfId="150" priority="27" stopIfTrue="1" operator="lessThan">
      <formula>-500</formula>
    </cfRule>
  </conditionalFormatting>
  <conditionalFormatting sqref="D19:E19">
    <cfRule type="cellIs" dxfId="149" priority="22" stopIfTrue="1" operator="lessThan">
      <formula>0</formula>
    </cfRule>
  </conditionalFormatting>
  <conditionalFormatting sqref="E51">
    <cfRule type="cellIs" dxfId="148" priority="3" stopIfTrue="1" operator="lessThan">
      <formula>-500</formula>
    </cfRule>
  </conditionalFormatting>
  <conditionalFormatting sqref="E92">
    <cfRule type="cellIs" dxfId="147" priority="21" stopIfTrue="1" operator="lessThan">
      <formula>0</formula>
    </cfRule>
  </conditionalFormatting>
  <conditionalFormatting sqref="J24:J26">
    <cfRule type="cellIs" dxfId="146" priority="7" stopIfTrue="1" operator="lessThan">
      <formula>-500</formula>
    </cfRule>
  </conditionalFormatting>
  <conditionalFormatting sqref="J87:J89 K91">
    <cfRule type="cellIs" dxfId="145" priority="20" stopIfTrue="1" operator="lessThan">
      <formula>0</formula>
    </cfRule>
    <cfRule type="cellIs" dxfId="144" priority="24" stopIfTrue="1" operator="lessThan">
      <formula>-500</formula>
    </cfRule>
  </conditionalFormatting>
  <conditionalFormatting sqref="J20:K20">
    <cfRule type="cellIs" dxfId="143" priority="23" stopIfTrue="1" operator="lessThan">
      <formula>-500</formula>
    </cfRule>
  </conditionalFormatting>
  <conditionalFormatting sqref="J55:K56">
    <cfRule type="cellIs" dxfId="142" priority="19" stopIfTrue="1" operator="lessThan">
      <formula>-500</formula>
    </cfRule>
  </conditionalFormatting>
  <conditionalFormatting sqref="J60:K60">
    <cfRule type="cellIs" dxfId="141" priority="16" stopIfTrue="1" operator="lessThan">
      <formula>-500</formula>
    </cfRule>
  </conditionalFormatting>
  <conditionalFormatting sqref="J62:K68">
    <cfRule type="cellIs" dxfId="140" priority="14" stopIfTrue="1" operator="lessThan">
      <formula>-500</formula>
    </cfRule>
  </conditionalFormatting>
  <conditionalFormatting sqref="M24:N24">
    <cfRule type="cellIs" dxfId="139" priority="10" stopIfTrue="1" operator="lessThan">
      <formula>-500</formula>
    </cfRule>
  </conditionalFormatting>
  <dataValidations count="5">
    <dataValidation type="decimal" operator="lessThan" allowBlank="1" showInputMessage="1" showErrorMessage="1" error="Beloppet ska vara i 1000 tal kronor" sqref="D9:E9 E82:E86 J55:K56 J13 J20 E74 J15 D56:D62 E56:E58 J22 D64:D73 D32 E31:E32 D21:E21 D19:E19 E17 D13:D16 E12 D10:D11 D22:D30 K62:K63 K68 K74:K75 J87:J89 E26 E60:E62 J62:J68 M24 J24 E91:E92 J70 K71 E49:E51 D49:D54 D42:E47" xr:uid="{00000000-0002-0000-0200-000000000000}">
      <formula1>999999999</formula1>
    </dataValidation>
    <dataValidation type="decimal" operator="lessThan" allowBlank="1" showInputMessage="1" showErrorMessage="1" error="Beloppet ska vara i 1000-tal kronor" sqref="J60:K60" xr:uid="{00000000-0002-0000-0200-000001000000}">
      <formula1>999999999</formula1>
    </dataValidation>
    <dataValidation type="decimal" operator="lessThan" allowBlank="1" showInputMessage="1" error="Beloppet ska vara i 1000 tal kronor" sqref="K13" xr:uid="{00000000-0002-0000-0200-000002000000}">
      <formula1>999999</formula1>
    </dataValidation>
    <dataValidation type="decimal" operator="lessThan" allowBlank="1" showInputMessage="1" error="Beloppet ska vara i 1000 tal kronor" sqref="K15" xr:uid="{00000000-0002-0000-0200-000003000000}">
      <formula1>999999999</formula1>
    </dataValidation>
    <dataValidation allowBlank="1" showInputMessage="1" sqref="K20:K21 N24 K23:K24 K26:K32" xr:uid="{00000000-0002-0000-0200-000004000000}"/>
  </dataValidations>
  <pageMargins left="0.11811023622047245" right="0.11811023622047245" top="0.74803149606299213" bottom="0.74803149606299213" header="0.31496062992125984" footer="0.31496062992125984"/>
  <pageSetup paperSize="9" scale="80" orientation="landscape" r:id="rId4"/>
  <headerFooter>
    <oddHeader>&amp;L&amp;8Statistiska Centralbyrån
Offentlig ekonomi&amp;R&amp;P</oddHeader>
  </headerFooter>
  <rowBreaks count="1" manualBreakCount="1">
    <brk id="56" max="16383" man="1"/>
  </rowBreaks>
  <ignoredErrors>
    <ignoredError sqref="B15:B16 A22:B23 A9:A21 B19 B25 B31 A31:A34 H13 G15:H15 G20:H20 G22 A50 A57:A66 B61:B62 B64:B65 A68:A75 B69 B71:B72 G55:H55 G60 H64:H65 G74:G75 H75 A82:A87 G62:G66 A24:A30 B27:B29" numberStoredAsText="1"/>
  </ignoredErrors>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Y93"/>
  <sheetViews>
    <sheetView showGridLines="0" zoomScaleNormal="100" workbookViewId="0">
      <pane ySplit="1" topLeftCell="A2" activePane="bottomLeft" state="frozen"/>
      <selection activeCell="F36" sqref="F36"/>
      <selection pane="bottomLeft"/>
    </sheetView>
  </sheetViews>
  <sheetFormatPr defaultColWidth="0" defaultRowHeight="0" customHeight="1" zeroHeight="1"/>
  <cols>
    <col min="1" max="1" width="4" customWidth="1"/>
    <col min="2" max="2" width="14.42578125" customWidth="1"/>
    <col min="3" max="3" width="40.42578125" customWidth="1"/>
    <col min="4" max="4" width="11.5703125" customWidth="1"/>
    <col min="5" max="5" width="26.28515625" customWidth="1"/>
    <col min="6" max="6" width="4" customWidth="1"/>
    <col min="7" max="7" width="8.42578125" customWidth="1"/>
    <col min="8" max="8" width="30.5703125" customWidth="1"/>
    <col min="9" max="9" width="9.42578125" customWidth="1"/>
    <col min="10" max="10" width="29.42578125" customWidth="1"/>
    <col min="11" max="11" width="1.5703125" customWidth="1"/>
    <col min="12" max="12" width="4.42578125" customWidth="1"/>
    <col min="13" max="13" width="9.42578125" customWidth="1"/>
    <col min="14" max="14" width="9.140625" customWidth="1"/>
    <col min="15" max="15" width="15" customWidth="1"/>
    <col min="16" max="16" width="1.5703125" customWidth="1"/>
    <col min="17" max="17" width="3.5703125" customWidth="1"/>
    <col min="18" max="18" width="13.5703125" customWidth="1"/>
    <col min="19" max="19" width="4.42578125" customWidth="1"/>
    <col min="20" max="20" width="8.42578125" customWidth="1"/>
    <col min="21" max="21" width="8" customWidth="1"/>
    <col min="22" max="22" width="16" customWidth="1"/>
    <col min="23" max="25" width="9.42578125" customWidth="1"/>
  </cols>
  <sheetData>
    <row r="1" spans="1:20" ht="20.25">
      <c r="A1" s="81" t="str">
        <f>"Verksamhetens intäkter och kostnader "&amp;År&amp;", miljoner kr"</f>
        <v>Verksamhetens intäkter och kostnader 2025, miljoner kr</v>
      </c>
      <c r="B1" s="150"/>
      <c r="C1" s="150"/>
      <c r="D1" s="150"/>
      <c r="E1" s="150"/>
      <c r="F1" s="150"/>
      <c r="G1" s="150"/>
      <c r="H1" s="433"/>
      <c r="I1" s="429" t="s">
        <v>446</v>
      </c>
      <c r="J1" s="430" t="str">
        <f>Information!A2</f>
        <v>RIKSTOTAL</v>
      </c>
      <c r="K1" s="430"/>
      <c r="L1" s="430"/>
      <c r="M1" s="430"/>
      <c r="N1" s="430"/>
      <c r="O1" s="430"/>
      <c r="P1" s="1172"/>
    </row>
    <row r="2" spans="1:20" ht="12.75" customHeight="1">
      <c r="A2" s="1989"/>
      <c r="B2" s="1989"/>
      <c r="C2" s="1989"/>
      <c r="D2" s="1989"/>
      <c r="E2" s="1989"/>
      <c r="F2" s="1989"/>
      <c r="G2" s="1989"/>
      <c r="H2" s="1989"/>
      <c r="I2" s="1989"/>
      <c r="J2" s="1989"/>
      <c r="K2" s="1989"/>
      <c r="L2" s="1989"/>
      <c r="M2" s="1989"/>
      <c r="N2" s="1989"/>
      <c r="O2" s="1989"/>
    </row>
    <row r="3" spans="1:20" ht="12.75" customHeight="1">
      <c r="A3" s="1989"/>
      <c r="B3" s="1989"/>
      <c r="C3" s="1989"/>
      <c r="D3" s="1989"/>
      <c r="E3" s="1989"/>
      <c r="F3" s="1989"/>
      <c r="G3" s="1989"/>
      <c r="H3" s="1989"/>
      <c r="I3" s="1989"/>
      <c r="J3" s="1989"/>
      <c r="K3" s="1989"/>
      <c r="L3" s="1989"/>
      <c r="M3" s="1989"/>
      <c r="N3" s="1989"/>
      <c r="O3" s="1989"/>
    </row>
    <row r="4" spans="1:20" ht="16.5" customHeight="1" thickBot="1">
      <c r="A4" s="30" t="s">
        <v>353</v>
      </c>
      <c r="B4" s="4"/>
      <c r="C4" s="4"/>
      <c r="D4" s="4"/>
      <c r="E4" s="67"/>
      <c r="H4" s="4"/>
      <c r="I4" s="4"/>
      <c r="J4" s="4"/>
      <c r="K4" s="4"/>
      <c r="L4" s="351" t="str">
        <f>"Kontroller av förändring mellan "&amp;År-1&amp;" och "&amp;År&amp;""</f>
        <v>Kontroller av förändring mellan 2024 och 2025</v>
      </c>
      <c r="O4" s="1989"/>
    </row>
    <row r="5" spans="1:20" ht="12.75" customHeight="1">
      <c r="A5" s="513" t="s">
        <v>604</v>
      </c>
      <c r="B5" s="1919" t="str">
        <f>"BAS "&amp;År-2000&amp;""</f>
        <v>BAS 25</v>
      </c>
      <c r="C5" s="512"/>
      <c r="D5" s="668"/>
      <c r="E5" s="4"/>
      <c r="H5" s="4"/>
      <c r="I5" s="4"/>
      <c r="J5" s="4"/>
      <c r="K5" s="4"/>
      <c r="L5" s="513" t="s">
        <v>604</v>
      </c>
      <c r="M5" s="2052" t="s">
        <v>1248</v>
      </c>
      <c r="N5" s="2061" t="s">
        <v>719</v>
      </c>
      <c r="O5" s="1989"/>
      <c r="P5" s="1173"/>
      <c r="Q5" s="77"/>
      <c r="R5" s="350"/>
      <c r="S5" s="77"/>
      <c r="T5" s="1116"/>
    </row>
    <row r="6" spans="1:20" ht="15.75" customHeight="1">
      <c r="A6" s="654" t="s">
        <v>606</v>
      </c>
      <c r="B6" s="2420"/>
      <c r="C6" s="656"/>
      <c r="D6" s="669"/>
      <c r="E6" s="4"/>
      <c r="H6" s="56"/>
      <c r="I6" s="56"/>
      <c r="J6" s="4"/>
      <c r="K6" s="4"/>
      <c r="L6" s="654" t="s">
        <v>606</v>
      </c>
      <c r="M6" s="2053">
        <f>År-1</f>
        <v>2024</v>
      </c>
      <c r="N6" s="2062" t="str">
        <f>År-1&amp;-År</f>
        <v>2024-2025</v>
      </c>
      <c r="O6" s="1989"/>
      <c r="P6" s="1173"/>
      <c r="Q6" s="1355"/>
      <c r="R6" s="1176"/>
      <c r="S6" s="218"/>
      <c r="T6" s="1786"/>
    </row>
    <row r="7" spans="1:20" ht="15" customHeight="1">
      <c r="A7" s="657"/>
      <c r="B7" s="2421"/>
      <c r="C7" s="658"/>
      <c r="D7" s="592"/>
      <c r="E7" s="4"/>
      <c r="H7" s="56"/>
      <c r="I7" s="56"/>
      <c r="J7" s="4"/>
      <c r="K7" s="4"/>
      <c r="L7" s="657"/>
      <c r="M7" s="2054"/>
      <c r="N7" s="2063" t="s">
        <v>720</v>
      </c>
      <c r="O7" s="1989"/>
      <c r="P7" s="1173"/>
      <c r="Q7" s="75"/>
      <c r="R7" s="1356"/>
      <c r="S7" s="1149"/>
      <c r="T7" s="1357"/>
    </row>
    <row r="8" spans="1:20" ht="14.85" customHeight="1" thickBot="1">
      <c r="A8" s="463">
        <v>130</v>
      </c>
      <c r="B8" s="1917" t="s">
        <v>728</v>
      </c>
      <c r="C8" s="1916" t="s">
        <v>1141</v>
      </c>
      <c r="D8" s="183">
        <v>12842.885</v>
      </c>
      <c r="E8" s="112"/>
      <c r="F8" s="4"/>
      <c r="G8" s="4"/>
      <c r="H8" s="56"/>
      <c r="I8" s="56"/>
      <c r="J8" s="4"/>
      <c r="K8" s="4"/>
      <c r="L8" s="463">
        <v>130</v>
      </c>
      <c r="M8" s="2055">
        <v>12029.762000000001</v>
      </c>
      <c r="N8" s="2064">
        <f>IF(ISERROR((D8-M8)/M8),0,((D8-M8)/M8))</f>
        <v>6.7592609064086179E-2</v>
      </c>
      <c r="O8" s="1989"/>
      <c r="P8" s="1174"/>
      <c r="Q8" s="1176"/>
      <c r="R8" s="1176"/>
      <c r="S8" s="1176"/>
    </row>
    <row r="9" spans="1:20" ht="14.85" customHeight="1">
      <c r="A9" s="660">
        <v>200</v>
      </c>
      <c r="B9" s="661">
        <v>311</v>
      </c>
      <c r="C9" s="662" t="s">
        <v>662</v>
      </c>
      <c r="D9" s="154">
        <v>3846.413</v>
      </c>
      <c r="E9" s="112"/>
      <c r="F9" s="4"/>
      <c r="G9" s="4"/>
      <c r="H9" s="56"/>
      <c r="I9" s="56"/>
      <c r="J9" s="4"/>
      <c r="K9" s="4"/>
      <c r="L9" s="1082"/>
      <c r="M9" s="2056"/>
      <c r="N9" s="2045"/>
      <c r="O9" s="1989"/>
      <c r="P9" s="1174"/>
      <c r="Q9" s="1135"/>
      <c r="R9" s="1135"/>
      <c r="S9" s="1135"/>
    </row>
    <row r="10" spans="1:20" ht="14.85" customHeight="1">
      <c r="A10" s="663">
        <v>210</v>
      </c>
      <c r="B10" s="572">
        <v>312</v>
      </c>
      <c r="C10" s="666" t="s">
        <v>1049</v>
      </c>
      <c r="D10" s="154">
        <v>1142.8789999999999</v>
      </c>
      <c r="E10" s="112"/>
      <c r="F10" s="4"/>
      <c r="G10" s="4"/>
      <c r="H10" s="56"/>
      <c r="I10" s="56"/>
      <c r="J10" s="4"/>
      <c r="K10" s="4"/>
      <c r="L10" s="1083"/>
      <c r="M10" s="2057"/>
      <c r="N10" s="2046"/>
      <c r="O10" s="1989"/>
      <c r="P10" s="1174"/>
      <c r="Q10" s="1135"/>
      <c r="R10" s="1135"/>
      <c r="S10" s="1135"/>
    </row>
    <row r="11" spans="1:20" ht="14.85" customHeight="1">
      <c r="A11" s="663">
        <v>280</v>
      </c>
      <c r="B11" s="2067">
        <v>313</v>
      </c>
      <c r="C11" s="662" t="s">
        <v>663</v>
      </c>
      <c r="D11" s="154">
        <v>45201.116000000002</v>
      </c>
      <c r="E11" s="112"/>
      <c r="F11" s="4"/>
      <c r="G11" s="4"/>
      <c r="H11" s="56"/>
      <c r="I11" s="56"/>
      <c r="J11" s="4"/>
      <c r="K11" s="4"/>
      <c r="L11" s="660"/>
      <c r="M11" s="2058"/>
      <c r="N11" s="2047"/>
      <c r="O11" s="1989"/>
      <c r="P11" s="1174"/>
      <c r="Q11" s="1135"/>
      <c r="R11" s="1358"/>
      <c r="S11" s="1358"/>
    </row>
    <row r="12" spans="1:20" ht="14.85" customHeight="1" thickBot="1">
      <c r="A12" s="664">
        <v>290</v>
      </c>
      <c r="B12" s="1911"/>
      <c r="C12" s="665" t="s">
        <v>664</v>
      </c>
      <c r="D12" s="284">
        <f>SUM(D9:D11)</f>
        <v>50190.408000000003</v>
      </c>
      <c r="E12" s="112"/>
      <c r="G12" s="4"/>
      <c r="H12" s="56"/>
      <c r="I12" s="56"/>
      <c r="J12" s="4"/>
      <c r="K12" s="4"/>
      <c r="L12" s="664">
        <v>290</v>
      </c>
      <c r="M12" s="2059">
        <v>47757.02</v>
      </c>
      <c r="N12" s="2048">
        <f>IF(ISERROR((D12-M12)/M12),0,((D12-M12)/M12))</f>
        <v>5.0953514268687751E-2</v>
      </c>
      <c r="O12" s="1989"/>
      <c r="P12" s="1174"/>
      <c r="Q12" s="1135"/>
      <c r="R12" s="1135"/>
      <c r="S12" s="1135"/>
    </row>
    <row r="13" spans="1:20" ht="14.85" customHeight="1">
      <c r="A13" s="467">
        <v>400</v>
      </c>
      <c r="B13" s="462">
        <v>341</v>
      </c>
      <c r="C13" s="666" t="s">
        <v>665</v>
      </c>
      <c r="D13" s="154">
        <v>16292.477999999999</v>
      </c>
      <c r="E13" s="112"/>
      <c r="F13" s="4"/>
      <c r="G13" s="4"/>
      <c r="H13" s="56"/>
      <c r="I13" s="56"/>
      <c r="J13" s="4"/>
      <c r="K13" s="4"/>
      <c r="L13" s="467">
        <v>400</v>
      </c>
      <c r="M13" s="2058">
        <v>15592.054</v>
      </c>
      <c r="N13" s="2047">
        <f>IF(ISERROR((D13-M13)/M13),0,((D13-M13)/M13))</f>
        <v>4.49218557093247E-2</v>
      </c>
      <c r="O13" s="1989"/>
      <c r="P13" s="1174"/>
      <c r="Q13" s="1176"/>
      <c r="R13" s="1176"/>
      <c r="S13" s="1176"/>
    </row>
    <row r="14" spans="1:20" ht="14.85" customHeight="1">
      <c r="A14" s="465">
        <v>420</v>
      </c>
      <c r="B14" s="572">
        <v>342</v>
      </c>
      <c r="C14" s="666" t="s">
        <v>666</v>
      </c>
      <c r="D14" s="154">
        <v>7200.6170000000002</v>
      </c>
      <c r="E14" s="112"/>
      <c r="F14" s="4"/>
      <c r="G14" s="4"/>
      <c r="H14" s="56"/>
      <c r="I14" s="56"/>
      <c r="J14" s="4"/>
      <c r="K14" s="4"/>
      <c r="L14" s="469"/>
      <c r="M14" s="1071"/>
      <c r="N14" s="2050"/>
      <c r="O14" s="1989"/>
      <c r="P14" s="1174"/>
      <c r="Q14" s="1176"/>
      <c r="R14" s="1176"/>
      <c r="S14" s="1176"/>
    </row>
    <row r="15" spans="1:20" ht="14.85" customHeight="1">
      <c r="A15" s="465">
        <v>480</v>
      </c>
      <c r="B15" s="572" t="s">
        <v>667</v>
      </c>
      <c r="C15" s="666" t="s">
        <v>729</v>
      </c>
      <c r="D15" s="154">
        <v>2070.9960000000001</v>
      </c>
      <c r="E15" s="112"/>
      <c r="G15" s="4"/>
      <c r="H15" s="56"/>
      <c r="I15" s="56"/>
      <c r="J15" s="4"/>
      <c r="K15" s="4"/>
      <c r="L15" s="677"/>
      <c r="M15" s="2057"/>
      <c r="N15" s="2046"/>
      <c r="O15" s="1989"/>
      <c r="P15" s="1174"/>
      <c r="Q15" s="1176"/>
      <c r="R15" s="1176"/>
      <c r="S15" s="1176"/>
    </row>
    <row r="16" spans="1:20" ht="14.85" customHeight="1" thickBot="1">
      <c r="A16" s="476">
        <v>490</v>
      </c>
      <c r="B16" s="659"/>
      <c r="C16" s="667" t="s">
        <v>668</v>
      </c>
      <c r="D16" s="284">
        <f>SUM(D13:D15)</f>
        <v>25564.091</v>
      </c>
      <c r="E16" s="112"/>
      <c r="F16" s="63" t="s">
        <v>730</v>
      </c>
      <c r="G16" s="7"/>
      <c r="H16" s="244"/>
      <c r="I16" s="56"/>
      <c r="J16" s="4"/>
      <c r="K16" s="4"/>
      <c r="L16" s="463">
        <v>490</v>
      </c>
      <c r="M16" s="1073">
        <v>24630.315999999999</v>
      </c>
      <c r="N16" s="2051">
        <f>IF(ISERROR((D16-M16)/M16),0,((D16-M16)/M16))</f>
        <v>3.7911612664652844E-2</v>
      </c>
      <c r="O16" s="1989"/>
      <c r="P16" s="1174"/>
      <c r="Q16" s="1176"/>
      <c r="R16" s="1176"/>
      <c r="S16" s="1176"/>
    </row>
    <row r="17" spans="1:22" ht="14.85" customHeight="1">
      <c r="A17" s="660">
        <v>500</v>
      </c>
      <c r="B17" s="661">
        <v>351</v>
      </c>
      <c r="C17" s="666" t="s">
        <v>1063</v>
      </c>
      <c r="D17" s="154">
        <v>43556.589</v>
      </c>
      <c r="E17" s="193"/>
      <c r="F17" s="1184"/>
      <c r="G17" s="1184"/>
      <c r="H17" s="1185"/>
      <c r="I17" s="61"/>
      <c r="J17" s="173"/>
      <c r="K17" s="4"/>
      <c r="L17" s="1082"/>
      <c r="M17" s="2056"/>
      <c r="N17" s="2045"/>
      <c r="O17" s="1989"/>
      <c r="P17" s="1174"/>
      <c r="Q17" s="1135"/>
      <c r="R17" s="1135"/>
      <c r="S17" s="1135"/>
    </row>
    <row r="18" spans="1:22" ht="14.85" customHeight="1">
      <c r="A18" s="663">
        <v>510</v>
      </c>
      <c r="B18" s="458">
        <v>351</v>
      </c>
      <c r="C18" s="666" t="s">
        <v>1061</v>
      </c>
      <c r="D18" s="154">
        <v>3394.1880000000001</v>
      </c>
      <c r="E18" s="112"/>
      <c r="G18" s="1182"/>
      <c r="H18" s="77"/>
      <c r="I18" s="131"/>
      <c r="J18" s="4"/>
      <c r="K18" s="4"/>
      <c r="L18" s="1083"/>
      <c r="M18" s="2057"/>
      <c r="N18" s="2046"/>
      <c r="O18" s="1989"/>
      <c r="P18" s="1174"/>
      <c r="Q18" s="1135"/>
      <c r="R18" s="1135"/>
      <c r="S18" s="1135"/>
    </row>
    <row r="19" spans="1:22" ht="14.85" customHeight="1">
      <c r="A19" s="663">
        <v>520</v>
      </c>
      <c r="B19" s="458">
        <v>351</v>
      </c>
      <c r="C19" s="666" t="s">
        <v>1062</v>
      </c>
      <c r="D19" s="154">
        <v>1824.242</v>
      </c>
      <c r="E19" s="112" t="str">
        <f>IF((D19-I19)&gt;10000, "Vad ingår på rad 520? Kommentera beloppet", "")</f>
        <v/>
      </c>
      <c r="F19" s="1251" t="s">
        <v>1039</v>
      </c>
      <c r="G19" s="1252" t="s">
        <v>370</v>
      </c>
      <c r="H19" s="1134" t="s">
        <v>1151</v>
      </c>
      <c r="I19" s="232">
        <v>907.06700000000001</v>
      </c>
      <c r="J19" s="1101"/>
      <c r="K19" s="4"/>
      <c r="L19" s="1083"/>
      <c r="M19" s="2057"/>
      <c r="N19" s="2046"/>
      <c r="O19" s="1989"/>
      <c r="P19" s="1174"/>
      <c r="Q19" s="1135"/>
      <c r="R19" s="1135"/>
      <c r="S19" s="1135"/>
    </row>
    <row r="20" spans="1:22" ht="14.85" customHeight="1">
      <c r="A20" s="2065">
        <v>521</v>
      </c>
      <c r="B20" s="2068">
        <v>351</v>
      </c>
      <c r="C20" s="2073" t="s">
        <v>1108</v>
      </c>
      <c r="D20" s="154">
        <v>327.65699999999998</v>
      </c>
      <c r="E20" s="112"/>
      <c r="F20" s="1184"/>
      <c r="G20" s="1184"/>
      <c r="H20" s="1115"/>
      <c r="I20" s="1302"/>
      <c r="J20" s="1101"/>
      <c r="K20" s="4"/>
      <c r="L20" s="1083"/>
      <c r="M20" s="2057"/>
      <c r="N20" s="2046"/>
      <c r="O20" s="1989"/>
      <c r="P20" s="1174"/>
      <c r="Q20" s="1135"/>
      <c r="R20" s="1135"/>
      <c r="S20" s="1135"/>
    </row>
    <row r="21" spans="1:22" ht="14.85" customHeight="1">
      <c r="A21" s="663">
        <v>525</v>
      </c>
      <c r="B21" s="458">
        <v>354</v>
      </c>
      <c r="C21" s="666" t="s">
        <v>1088</v>
      </c>
      <c r="D21" s="2075">
        <v>4869.3429999999998</v>
      </c>
      <c r="E21" s="112"/>
      <c r="F21" s="1176"/>
      <c r="G21" s="1182"/>
      <c r="H21" s="1183"/>
      <c r="I21" s="131"/>
      <c r="J21" s="4"/>
      <c r="K21" s="4"/>
      <c r="L21" s="660"/>
      <c r="M21" s="2058"/>
      <c r="N21" s="2047"/>
      <c r="O21" s="1989"/>
      <c r="P21" s="1174"/>
      <c r="Q21" s="1135"/>
      <c r="R21" s="1135"/>
      <c r="S21" s="1135"/>
    </row>
    <row r="22" spans="1:22" ht="14.85" customHeight="1">
      <c r="A22" s="663">
        <v>527</v>
      </c>
      <c r="B22" s="458">
        <v>356</v>
      </c>
      <c r="C22" s="2073" t="s">
        <v>1239</v>
      </c>
      <c r="D22" s="184">
        <v>8707.6059999999998</v>
      </c>
      <c r="E22" s="112" t="str">
        <f>IF(D22="","Ange belopp eller 0","")</f>
        <v/>
      </c>
      <c r="F22" s="4"/>
      <c r="G22" s="56"/>
      <c r="H22" s="56"/>
      <c r="I22" s="56"/>
      <c r="J22" s="4"/>
      <c r="K22" s="4"/>
      <c r="L22" s="663">
        <v>527</v>
      </c>
      <c r="M22" s="2060">
        <v>8527.2860000000001</v>
      </c>
      <c r="N22" s="2049">
        <f>IF(ISERROR((D22-M22)/M22),0,((D22-M22)/M22))</f>
        <v>2.1146235742532819E-2</v>
      </c>
      <c r="O22" s="1989"/>
      <c r="P22" s="1174"/>
      <c r="Q22" s="1135"/>
      <c r="R22" s="1135"/>
      <c r="S22" s="1135"/>
    </row>
    <row r="23" spans="1:22" ht="14.85" customHeight="1">
      <c r="A23" s="663">
        <v>550</v>
      </c>
      <c r="B23" s="458">
        <v>358</v>
      </c>
      <c r="C23" s="666" t="s">
        <v>187</v>
      </c>
      <c r="D23" s="184">
        <v>839.73599999999999</v>
      </c>
      <c r="E23" s="193"/>
      <c r="F23" s="4"/>
      <c r="G23" s="4"/>
      <c r="H23" s="56"/>
      <c r="I23" s="56"/>
      <c r="J23" s="4"/>
      <c r="K23" s="4"/>
      <c r="L23" s="1084"/>
      <c r="M23" s="1071"/>
      <c r="N23" s="2050"/>
      <c r="O23" s="1989"/>
      <c r="P23" s="1174"/>
      <c r="Q23" s="1135"/>
      <c r="R23" s="1135"/>
      <c r="S23" s="1135"/>
    </row>
    <row r="24" spans="1:22" ht="14.85" customHeight="1">
      <c r="A24" s="663">
        <v>560</v>
      </c>
      <c r="B24" s="2068">
        <v>357</v>
      </c>
      <c r="C24" s="2074" t="s">
        <v>1050</v>
      </c>
      <c r="D24" s="184">
        <v>747.35699999999997</v>
      </c>
      <c r="E24" s="193"/>
      <c r="F24" s="1184"/>
      <c r="G24" s="2079"/>
      <c r="H24" s="2084"/>
      <c r="I24" s="131"/>
      <c r="J24" s="1117"/>
      <c r="K24" s="4"/>
      <c r="L24" s="660"/>
      <c r="M24" s="2058"/>
      <c r="N24" s="2047"/>
      <c r="O24" s="1989"/>
      <c r="P24" s="1174"/>
      <c r="Q24" s="1135"/>
      <c r="R24" s="1359"/>
      <c r="S24" s="1360"/>
      <c r="T24" s="1361"/>
      <c r="V24" s="1176"/>
    </row>
    <row r="25" spans="1:22" ht="14.85" customHeight="1">
      <c r="A25" s="1084">
        <v>570</v>
      </c>
      <c r="B25" s="572" t="s">
        <v>1072</v>
      </c>
      <c r="C25" s="1883" t="s">
        <v>1137</v>
      </c>
      <c r="D25" s="89">
        <v>1446.873</v>
      </c>
      <c r="E25" s="1838"/>
      <c r="F25" s="1251" t="s">
        <v>1044</v>
      </c>
      <c r="G25" s="1252" t="s">
        <v>1071</v>
      </c>
      <c r="H25" s="1134" t="s">
        <v>1083</v>
      </c>
      <c r="I25" s="1872">
        <v>681.096</v>
      </c>
      <c r="J25" s="1101" t="str">
        <f>IF(SUM(I25)&gt;D25,"Däravrad 577 &gt; rad 570",IF(D25=0,"",IF(I25="","Skriv belopp eller 0","")))</f>
        <v/>
      </c>
      <c r="K25" s="4"/>
      <c r="L25" s="1083"/>
      <c r="M25" s="2057"/>
      <c r="N25" s="2046"/>
      <c r="O25" s="1989"/>
      <c r="P25" s="1174"/>
      <c r="Q25" s="1135"/>
      <c r="R25" s="1359"/>
      <c r="S25" s="1360"/>
      <c r="T25" s="1361"/>
      <c r="V25" s="1176"/>
    </row>
    <row r="26" spans="1:22" ht="14.85" customHeight="1" thickBot="1">
      <c r="A26" s="664">
        <v>590</v>
      </c>
      <c r="B26" s="464"/>
      <c r="C26" s="1906" t="s">
        <v>669</v>
      </c>
      <c r="D26" s="284">
        <f>SUM(D17:D25)</f>
        <v>65713.591</v>
      </c>
      <c r="E26" s="1838" t="str">
        <f>IF(D25=0,"",IF(OR(SUM(D25-I25)&gt;2000,SUM(D25-I25)/D26&gt;2%),"OBS! Kostn.ers./bidrag från stat. myndigheter, t.ex. Migrationsverket eller Skolverket redovisas på rad 500!",""))</f>
        <v/>
      </c>
      <c r="F26" s="4"/>
      <c r="G26" s="7"/>
      <c r="H26" s="56"/>
      <c r="I26" s="56"/>
      <c r="J26" s="4"/>
      <c r="K26" s="4"/>
      <c r="L26" s="664">
        <v>590</v>
      </c>
      <c r="M26" s="2059">
        <v>63213.423000000003</v>
      </c>
      <c r="N26" s="2048">
        <f>IF(ISERROR((D26-M26)/M26),0,((D26-M26)/M26))</f>
        <v>3.955121999958771E-2</v>
      </c>
      <c r="O26" s="1989"/>
      <c r="P26" s="1174"/>
      <c r="Q26" s="1135"/>
      <c r="R26" s="1135"/>
      <c r="S26" s="1135"/>
      <c r="V26" s="1176"/>
    </row>
    <row r="27" spans="1:22" ht="14.85" customHeight="1">
      <c r="A27" s="467">
        <v>310</v>
      </c>
      <c r="B27" s="462" t="s">
        <v>772</v>
      </c>
      <c r="C27" s="666" t="s">
        <v>1012</v>
      </c>
      <c r="D27" s="184">
        <v>16230.843000000001</v>
      </c>
      <c r="E27" s="193"/>
      <c r="F27" s="1254" t="s">
        <v>778</v>
      </c>
      <c r="G27" s="1255" t="s">
        <v>773</v>
      </c>
      <c r="H27" s="647" t="s">
        <v>731</v>
      </c>
      <c r="I27" s="234">
        <v>15809.063</v>
      </c>
      <c r="J27" s="1101"/>
      <c r="K27" s="4"/>
      <c r="L27" s="1085"/>
      <c r="M27" s="2056"/>
      <c r="N27" s="2045"/>
      <c r="O27" s="1989"/>
      <c r="P27" s="1174"/>
      <c r="Q27" s="1176"/>
      <c r="R27" s="1176"/>
      <c r="S27" s="1176"/>
      <c r="T27" s="1182"/>
      <c r="V27" s="1176"/>
    </row>
    <row r="28" spans="1:22" ht="14.85" customHeight="1">
      <c r="A28" s="467">
        <v>320</v>
      </c>
      <c r="B28" s="621" t="s">
        <v>772</v>
      </c>
      <c r="C28" s="666" t="s">
        <v>1041</v>
      </c>
      <c r="D28" s="184">
        <v>524.22900000000004</v>
      </c>
      <c r="E28" s="193"/>
      <c r="F28" s="1794" t="s">
        <v>779</v>
      </c>
      <c r="G28" s="472">
        <v>361</v>
      </c>
      <c r="H28" s="1795" t="s">
        <v>1014</v>
      </c>
      <c r="I28" s="1765">
        <v>474.90899999999999</v>
      </c>
      <c r="J28" s="1101"/>
      <c r="K28" s="4"/>
      <c r="L28" s="677"/>
      <c r="M28" s="2057"/>
      <c r="N28" s="2046"/>
      <c r="O28" s="1989"/>
      <c r="P28" s="1174"/>
      <c r="Q28" s="1176"/>
      <c r="R28" s="1176"/>
      <c r="S28" s="1176"/>
      <c r="T28" s="1182"/>
      <c r="V28" s="1176"/>
    </row>
    <row r="29" spans="1:22" ht="14.85" customHeight="1">
      <c r="A29" s="467">
        <v>321</v>
      </c>
      <c r="B29" s="621" t="s">
        <v>772</v>
      </c>
      <c r="C29" s="666" t="s">
        <v>1013</v>
      </c>
      <c r="D29" s="184">
        <v>455.428</v>
      </c>
      <c r="E29" s="193"/>
      <c r="F29" s="2076" t="s">
        <v>1040</v>
      </c>
      <c r="G29" s="2080">
        <v>361</v>
      </c>
      <c r="H29" s="2085" t="s">
        <v>1140</v>
      </c>
      <c r="I29" s="1866">
        <v>304.06</v>
      </c>
      <c r="J29" s="1101" t="str">
        <f>IF(SUM(I29)&gt;D29,"Däravrad 328 &gt; rad 321",IF(D29=0,"",IF(I29="","Skriv belopp eller 0","")))</f>
        <v/>
      </c>
      <c r="K29" s="4"/>
      <c r="L29" s="677"/>
      <c r="M29" s="2057"/>
      <c r="N29" s="2046"/>
      <c r="O29" s="1989"/>
      <c r="P29" s="1174"/>
      <c r="Q29" s="1176"/>
      <c r="R29" s="1176"/>
      <c r="S29" s="1176"/>
      <c r="T29" s="1182"/>
    </row>
    <row r="30" spans="1:22" ht="14.85" customHeight="1">
      <c r="A30" s="465">
        <v>380</v>
      </c>
      <c r="B30" s="1253" t="s">
        <v>763</v>
      </c>
      <c r="C30" s="666" t="s">
        <v>1142</v>
      </c>
      <c r="D30" s="184">
        <v>5064.2449999999999</v>
      </c>
      <c r="E30" s="193"/>
      <c r="F30" s="1343" t="s">
        <v>1080</v>
      </c>
      <c r="G30" s="1884">
        <v>365</v>
      </c>
      <c r="H30" s="1885" t="s">
        <v>1073</v>
      </c>
      <c r="I30" s="1867">
        <v>120.023</v>
      </c>
      <c r="J30" s="1117" t="str">
        <f>IF(SUM(I30)&gt;D30,"Däravrad 329 &gt; rad 380",IF(D30=0,"",IF(I30="","Skriv belopp eller 0","")))</f>
        <v/>
      </c>
      <c r="K30" s="4"/>
      <c r="L30" s="467"/>
      <c r="M30" s="2058"/>
      <c r="N30" s="2047"/>
      <c r="O30" s="1989"/>
      <c r="P30" s="1174"/>
      <c r="Q30" s="1176"/>
      <c r="R30" s="1176"/>
      <c r="S30" s="1176"/>
    </row>
    <row r="31" spans="1:22" ht="14.85" customHeight="1" thickBot="1">
      <c r="A31" s="469">
        <v>390</v>
      </c>
      <c r="B31" s="459"/>
      <c r="C31" s="2014" t="s">
        <v>733</v>
      </c>
      <c r="D31" s="285">
        <f>SUM(D27:D30)</f>
        <v>22274.744999999999</v>
      </c>
      <c r="E31" s="193"/>
      <c r="F31" s="2077"/>
      <c r="G31" s="2081"/>
      <c r="H31" s="2086"/>
      <c r="I31" s="1865"/>
      <c r="J31" s="4"/>
      <c r="K31" s="4"/>
      <c r="L31" s="476">
        <v>390</v>
      </c>
      <c r="M31" s="2059">
        <v>22181.682000000001</v>
      </c>
      <c r="N31" s="2048">
        <f>IF(ISERROR((D31-M31)/M31),0,((D31-M31)/M31))</f>
        <v>4.1954888723045565E-3</v>
      </c>
      <c r="O31" s="1989"/>
      <c r="P31" s="1174"/>
      <c r="Q31" s="1176"/>
      <c r="R31" s="1176"/>
      <c r="S31" s="1176"/>
    </row>
    <row r="32" spans="1:22" ht="14.85" customHeight="1" thickBot="1">
      <c r="A32" s="456">
        <v>891</v>
      </c>
      <c r="B32" s="2069">
        <v>37</v>
      </c>
      <c r="C32" s="1887" t="s">
        <v>1074</v>
      </c>
      <c r="D32" s="185">
        <v>9752.7630000000008</v>
      </c>
      <c r="E32" s="193"/>
      <c r="F32" s="1251" t="s">
        <v>225</v>
      </c>
      <c r="G32" s="1886">
        <v>373</v>
      </c>
      <c r="H32" s="836" t="s">
        <v>1077</v>
      </c>
      <c r="I32" s="1834">
        <v>3289.7669999999998</v>
      </c>
      <c r="J32" s="1117" t="str">
        <f>IF(SUM(I32)&gt;D32,"Däravrad 330 &gt; rad 891",IF(D32=0,"",IF(I32="","Skriv belopp eller 0","")))</f>
        <v/>
      </c>
      <c r="K32" s="4"/>
      <c r="L32" s="1085"/>
      <c r="M32" s="2056"/>
      <c r="N32" s="2045"/>
      <c r="O32" s="1989"/>
      <c r="P32" s="1174"/>
      <c r="Q32" s="1359"/>
      <c r="R32" s="1362"/>
      <c r="S32" s="1362"/>
    </row>
    <row r="33" spans="1:25" ht="14.85" customHeight="1">
      <c r="A33" s="457">
        <v>892</v>
      </c>
      <c r="B33" s="1896">
        <v>38</v>
      </c>
      <c r="C33" s="666" t="s">
        <v>862</v>
      </c>
      <c r="D33" s="185">
        <v>1553.316</v>
      </c>
      <c r="E33" s="193"/>
      <c r="F33" s="1864"/>
      <c r="G33" s="1864"/>
      <c r="H33" s="1863"/>
      <c r="I33" s="56"/>
      <c r="J33" s="4"/>
      <c r="K33" s="4"/>
      <c r="L33" s="677"/>
      <c r="M33" s="2057"/>
      <c r="N33" s="2046"/>
      <c r="O33" s="1989"/>
      <c r="P33" s="1174"/>
      <c r="Q33" s="1359"/>
      <c r="R33" s="1363"/>
      <c r="S33" s="1363"/>
    </row>
    <row r="34" spans="1:25" ht="14.85" customHeight="1" thickBot="1">
      <c r="A34" s="455">
        <v>894</v>
      </c>
      <c r="B34" s="464"/>
      <c r="C34" s="460" t="s">
        <v>442</v>
      </c>
      <c r="D34" s="246">
        <v>4.2000000000000003E-2</v>
      </c>
      <c r="E34" s="193" t="str">
        <f>IF(D34&lt;50,"","Vad avser övr.periodiseringar?")</f>
        <v/>
      </c>
      <c r="F34" s="1989"/>
      <c r="G34" s="1989"/>
      <c r="H34" s="1989"/>
      <c r="I34" s="1989"/>
      <c r="J34" s="1989"/>
      <c r="K34" s="4"/>
      <c r="L34" s="677"/>
      <c r="M34" s="2057"/>
      <c r="N34" s="2046"/>
      <c r="O34" s="1989"/>
      <c r="P34" s="1174"/>
      <c r="Q34" s="1359"/>
      <c r="R34" s="1176"/>
      <c r="S34" s="1176"/>
    </row>
    <row r="35" spans="1:25" ht="14.85" customHeight="1" thickBot="1">
      <c r="A35" s="461">
        <v>886</v>
      </c>
      <c r="B35" s="462"/>
      <c r="C35" s="1918" t="s">
        <v>1138</v>
      </c>
      <c r="D35" s="286">
        <f>SUM(D8+D12+D16+D26+D31+D32+D33+D34)</f>
        <v>187891.84099999999</v>
      </c>
      <c r="E35" s="1764"/>
      <c r="F35" s="1989"/>
      <c r="G35" s="1989"/>
      <c r="H35" s="1989"/>
      <c r="I35" s="1989"/>
      <c r="J35" s="1989"/>
      <c r="K35" s="4"/>
      <c r="L35" s="463"/>
      <c r="M35" s="1073"/>
      <c r="N35" s="2051"/>
      <c r="O35" s="1989"/>
      <c r="P35" s="1174"/>
      <c r="Q35" s="1176"/>
      <c r="R35" s="1176"/>
      <c r="S35" s="1176"/>
    </row>
    <row r="36" spans="1:25" ht="14.85" customHeight="1" thickBot="1">
      <c r="A36" s="463">
        <v>896</v>
      </c>
      <c r="B36" s="464"/>
      <c r="C36" s="519" t="s">
        <v>89</v>
      </c>
      <c r="D36" s="247">
        <f>RR!C7</f>
        <v>187891.83900000001</v>
      </c>
      <c r="F36" s="1989"/>
      <c r="G36" s="1989"/>
      <c r="H36" s="1989"/>
      <c r="I36" s="1989"/>
      <c r="J36" s="1989"/>
      <c r="K36" s="4"/>
      <c r="M36" s="15"/>
      <c r="O36" s="1989"/>
      <c r="Q36" s="1176"/>
      <c r="R36" s="1135"/>
      <c r="S36" s="1135"/>
    </row>
    <row r="37" spans="1:25" ht="45" customHeight="1" thickBot="1">
      <c r="A37" s="1766" t="s">
        <v>354</v>
      </c>
      <c r="B37" s="4"/>
      <c r="C37" s="4"/>
      <c r="D37" s="1802" t="str">
        <f>IF(ABS(D35-D36)&lt;50,"",IF(OR(D35=0,D36=0),"",IF((SUM(D35)/(D36))&lt;&gt;1,(ROUND(D35-D36,0))&amp;" Mnkr diff. mellan verks. intäkter i RR och verks.intäkter här - måste rättas!","")))</f>
        <v/>
      </c>
      <c r="E37" s="193"/>
      <c r="G37" s="4"/>
      <c r="H37" s="56"/>
      <c r="I37" s="56"/>
      <c r="J37" s="4"/>
      <c r="K37" s="4"/>
      <c r="L37" s="351" t="str">
        <f>"Kontroller av förändring mellan "&amp;År-1&amp;" och "&amp;År&amp;""</f>
        <v>Kontroller av förändring mellan 2024 och 2025</v>
      </c>
      <c r="N37" s="2018"/>
      <c r="O37" s="1989"/>
    </row>
    <row r="38" spans="1:25" ht="45" customHeight="1" thickBot="1">
      <c r="A38" s="1922" t="s">
        <v>941</v>
      </c>
      <c r="B38" s="1919" t="str">
        <f>"BAS "&amp;År-2000&amp;""</f>
        <v>BAS 25</v>
      </c>
      <c r="C38" s="1920"/>
      <c r="D38" s="668"/>
      <c r="E38" s="193"/>
      <c r="F38" s="63" t="s">
        <v>718</v>
      </c>
      <c r="G38" s="63"/>
      <c r="H38" s="176"/>
      <c r="I38" s="176"/>
      <c r="J38" s="63"/>
      <c r="K38" s="63"/>
      <c r="L38" s="1935" t="s">
        <v>941</v>
      </c>
      <c r="M38" s="1934" t="str">
        <f>"Värde Mnkr "&amp;År-1&amp;""</f>
        <v>Värde Mnkr 2024</v>
      </c>
      <c r="N38" s="2043" t="str">
        <f>"Förändring "&amp;År-1&amp;" - "&amp;År&amp;" procent"</f>
        <v>Förändring 2024 - 2025 procent</v>
      </c>
      <c r="O38" s="1989"/>
      <c r="P38" s="1173"/>
      <c r="Q38" s="77"/>
      <c r="R38" s="1177"/>
      <c r="S38" s="77"/>
      <c r="T38" s="1116"/>
      <c r="U38" s="157"/>
      <c r="V38" s="157"/>
      <c r="W38" s="157"/>
      <c r="X38" s="157"/>
      <c r="Y38" s="157"/>
    </row>
    <row r="39" spans="1:25" s="157" customFormat="1" ht="13.5" hidden="1" thickBot="1">
      <c r="A39" s="673" t="s">
        <v>606</v>
      </c>
      <c r="B39" s="1894"/>
      <c r="C39" s="675"/>
      <c r="D39" s="669"/>
      <c r="E39" s="193"/>
      <c r="F39" s="177"/>
      <c r="G39" s="6"/>
      <c r="H39" s="1772"/>
      <c r="I39" s="56"/>
      <c r="J39" s="63"/>
      <c r="K39" s="63"/>
      <c r="L39" s="678" t="s">
        <v>606</v>
      </c>
      <c r="M39" s="679">
        <f>År-1</f>
        <v>2024</v>
      </c>
      <c r="N39" s="2044" t="str">
        <f>År-1&amp;-År</f>
        <v>2024-2025</v>
      </c>
      <c r="O39" s="1989"/>
      <c r="P39" s="1173"/>
      <c r="Q39" s="218"/>
      <c r="R39" s="1183"/>
      <c r="S39" s="1149"/>
      <c r="T39" s="1357"/>
    </row>
    <row r="40" spans="1:25" ht="14.85" customHeight="1" thickBot="1">
      <c r="A40" s="677">
        <v>600</v>
      </c>
      <c r="B40" s="1921">
        <v>451</v>
      </c>
      <c r="C40" s="1778" t="s">
        <v>670</v>
      </c>
      <c r="D40" s="1303">
        <v>12751.494000000001</v>
      </c>
      <c r="E40" s="193"/>
      <c r="F40" s="608">
        <v>602</v>
      </c>
      <c r="G40" s="609">
        <v>4513</v>
      </c>
      <c r="H40" s="610" t="s">
        <v>150</v>
      </c>
      <c r="I40" s="1900">
        <v>97.748999999999995</v>
      </c>
      <c r="J40" s="127"/>
      <c r="K40" s="127"/>
      <c r="L40" s="1085"/>
      <c r="M40" s="1081"/>
      <c r="N40" s="2045"/>
      <c r="O40" s="1989"/>
      <c r="P40" s="1171"/>
      <c r="Q40" s="1176"/>
      <c r="R40" s="1182"/>
      <c r="S40" s="1182"/>
      <c r="T40" s="1176"/>
    </row>
    <row r="41" spans="1:25" ht="14.85" customHeight="1">
      <c r="A41" s="474">
        <v>610</v>
      </c>
      <c r="B41" s="475">
        <v>452</v>
      </c>
      <c r="C41" s="468" t="s">
        <v>671</v>
      </c>
      <c r="D41" s="87">
        <v>1054.1659999999999</v>
      </c>
      <c r="E41" s="193"/>
      <c r="F41" s="680">
        <v>630</v>
      </c>
      <c r="G41" s="681">
        <v>4538</v>
      </c>
      <c r="H41" s="2087" t="s">
        <v>1090</v>
      </c>
      <c r="I41" s="2090">
        <v>4749.6859999999997</v>
      </c>
      <c r="J41" s="238"/>
      <c r="K41" s="238"/>
      <c r="L41" s="677"/>
      <c r="M41" s="655"/>
      <c r="N41" s="2046"/>
      <c r="O41" s="1989"/>
      <c r="P41" s="1171"/>
      <c r="Q41" s="1176"/>
      <c r="R41" s="1182"/>
      <c r="S41" s="1182"/>
      <c r="T41" s="1176"/>
    </row>
    <row r="42" spans="1:25" ht="21" customHeight="1" thickBot="1">
      <c r="A42" s="474">
        <v>620</v>
      </c>
      <c r="B42" s="472">
        <v>453</v>
      </c>
      <c r="C42" s="2031" t="s">
        <v>1089</v>
      </c>
      <c r="D42" s="155">
        <v>15700.942999999999</v>
      </c>
      <c r="E42" s="193"/>
      <c r="F42" s="491">
        <v>631</v>
      </c>
      <c r="G42" s="1590" t="s">
        <v>966</v>
      </c>
      <c r="H42" s="1789" t="s">
        <v>970</v>
      </c>
      <c r="I42" s="192">
        <v>1234.972</v>
      </c>
      <c r="J42" s="127"/>
      <c r="K42" s="127"/>
      <c r="L42" s="467"/>
      <c r="M42" s="671"/>
      <c r="N42" s="2047"/>
      <c r="O42" s="1989"/>
      <c r="P42" s="1171"/>
      <c r="Q42" s="1176"/>
      <c r="R42" s="1182"/>
      <c r="S42" s="1182"/>
      <c r="T42" s="1176"/>
    </row>
    <row r="43" spans="1:25" ht="14.85" customHeight="1">
      <c r="A43" s="572">
        <v>650</v>
      </c>
      <c r="B43" s="472">
        <v>454</v>
      </c>
      <c r="C43" s="473" t="s">
        <v>889</v>
      </c>
      <c r="D43" s="155">
        <v>-1776.818</v>
      </c>
      <c r="E43" s="193"/>
      <c r="F43" s="1260" t="s">
        <v>777</v>
      </c>
      <c r="G43" s="1261" t="s">
        <v>732</v>
      </c>
      <c r="H43" s="1181" t="s">
        <v>890</v>
      </c>
      <c r="I43" s="1126">
        <v>-2152.6869999999999</v>
      </c>
      <c r="J43" s="1939"/>
      <c r="K43" s="127"/>
      <c r="L43" s="677"/>
      <c r="M43" s="655"/>
      <c r="N43" s="2046"/>
      <c r="O43" s="1989"/>
      <c r="P43" s="1171"/>
      <c r="Q43" s="1176"/>
      <c r="R43" s="1182"/>
      <c r="S43" s="1182"/>
      <c r="T43" s="1176"/>
    </row>
    <row r="44" spans="1:25" ht="14.85" customHeight="1" thickBot="1">
      <c r="A44" s="463">
        <v>690</v>
      </c>
      <c r="B44" s="477"/>
      <c r="C44" s="454" t="s">
        <v>734</v>
      </c>
      <c r="D44" s="287">
        <f>SUM(D40,D41,D42,D43)</f>
        <v>27729.785</v>
      </c>
      <c r="E44" s="193"/>
      <c r="F44" s="1262">
        <v>652</v>
      </c>
      <c r="G44" s="1263">
        <v>4542</v>
      </c>
      <c r="H44" s="1190" t="s">
        <v>891</v>
      </c>
      <c r="I44" s="1127">
        <v>365.78100000000001</v>
      </c>
      <c r="J44" s="1939"/>
      <c r="L44" s="476">
        <v>690</v>
      </c>
      <c r="M44" s="1075">
        <v>30168.292000000001</v>
      </c>
      <c r="N44" s="2048">
        <f>IF(ISERROR((D44-M44)/M44),0,((D44-M44)/M44))</f>
        <v>-8.0830131185418166E-2</v>
      </c>
      <c r="O44" s="1989"/>
      <c r="P44" s="1175"/>
      <c r="Q44" s="1176"/>
      <c r="R44" s="1177"/>
      <c r="S44" s="1182"/>
      <c r="T44" s="1176"/>
      <c r="V44" s="447"/>
    </row>
    <row r="45" spans="1:25" ht="23.25" customHeight="1">
      <c r="A45" s="478">
        <v>100</v>
      </c>
      <c r="B45" s="1257" t="s">
        <v>1051</v>
      </c>
      <c r="C45" s="480" t="s">
        <v>672</v>
      </c>
      <c r="D45" s="87">
        <v>346131.62099999998</v>
      </c>
      <c r="E45" s="193"/>
      <c r="F45" s="1128">
        <v>102</v>
      </c>
      <c r="G45" s="1129">
        <v>512</v>
      </c>
      <c r="H45" s="1130" t="s">
        <v>151</v>
      </c>
      <c r="I45" s="1131">
        <v>7111.6019999999999</v>
      </c>
      <c r="J45" s="127"/>
      <c r="K45" s="127"/>
      <c r="L45" s="660">
        <v>100</v>
      </c>
      <c r="M45" s="1074">
        <v>333595.94099999999</v>
      </c>
      <c r="N45" s="2047">
        <f>IF(ISERROR((D45-M45)/M45),0,((D45-M45)/M45))</f>
        <v>3.7577435631928127E-2</v>
      </c>
      <c r="O45" s="1989"/>
      <c r="P45" s="1171"/>
      <c r="Q45" s="1135"/>
      <c r="R45" s="1787"/>
      <c r="S45" s="1364"/>
      <c r="T45" s="1176"/>
    </row>
    <row r="46" spans="1:25" ht="21" customHeight="1">
      <c r="A46" s="465">
        <v>110</v>
      </c>
      <c r="B46" s="1804" t="s">
        <v>1052</v>
      </c>
      <c r="C46" s="466" t="str">
        <f>"Sociala avg. enl. lag o. avtal (inkl. lönesk för "&amp;År&amp;"), exkl särskild löneskatt på avsättning för pensioner"</f>
        <v>Sociala avg. enl. lag o. avtal (inkl. lönesk för 2025), exkl särskild löneskatt på avsättning för pensioner</v>
      </c>
      <c r="D46" s="252">
        <v>116681.68399999999</v>
      </c>
      <c r="E46" s="193"/>
      <c r="F46" s="492">
        <v>111</v>
      </c>
      <c r="G46" s="1113" t="s">
        <v>725</v>
      </c>
      <c r="H46" s="493" t="s">
        <v>1161</v>
      </c>
      <c r="I46" s="236">
        <v>9094.3940000000002</v>
      </c>
      <c r="J46" s="127"/>
      <c r="K46" s="127"/>
      <c r="L46" s="1083"/>
      <c r="M46" s="934"/>
      <c r="N46" s="2046"/>
      <c r="O46" s="1989"/>
      <c r="P46" s="1171"/>
      <c r="Q46" s="1135"/>
      <c r="R46" s="1787"/>
      <c r="S46" s="1364"/>
      <c r="T46" s="1176"/>
    </row>
    <row r="47" spans="1:25" ht="14.85" customHeight="1">
      <c r="A47" s="1847">
        <v>103</v>
      </c>
      <c r="B47" s="1807">
        <v>591</v>
      </c>
      <c r="C47" s="468" t="s">
        <v>1143</v>
      </c>
      <c r="D47" s="87">
        <v>-1726.373</v>
      </c>
      <c r="E47" s="193"/>
      <c r="F47" s="1809"/>
      <c r="G47" s="1810"/>
      <c r="H47" s="1811"/>
      <c r="I47" s="1826"/>
      <c r="J47" s="127"/>
      <c r="K47" s="127"/>
      <c r="L47" s="1083"/>
      <c r="M47" s="934"/>
      <c r="N47" s="2046"/>
      <c r="O47" s="1989"/>
      <c r="P47" s="1171"/>
      <c r="Q47" s="1135"/>
      <c r="R47" s="1787"/>
      <c r="S47" s="1364"/>
      <c r="T47" s="1176"/>
    </row>
    <row r="48" spans="1:25" ht="14.85" customHeight="1">
      <c r="A48" s="2003">
        <v>104</v>
      </c>
      <c r="B48" s="2070" t="s">
        <v>1200</v>
      </c>
      <c r="C48" s="2027" t="s">
        <v>1201</v>
      </c>
      <c r="D48" s="87">
        <v>-144.90299999999999</v>
      </c>
      <c r="E48" s="193"/>
      <c r="F48" s="1176"/>
      <c r="G48" s="1787"/>
      <c r="H48" s="1183"/>
      <c r="I48" s="27"/>
      <c r="J48" s="127"/>
      <c r="K48" s="127"/>
      <c r="L48" s="1083"/>
      <c r="M48" s="934"/>
      <c r="N48" s="2046"/>
      <c r="O48" s="1989"/>
      <c r="P48" s="1171"/>
      <c r="Q48" s="1135"/>
      <c r="R48" s="1787"/>
      <c r="S48" s="1364"/>
      <c r="T48" s="1176"/>
    </row>
    <row r="49" spans="1:20" ht="14.85" customHeight="1">
      <c r="A49" s="467">
        <v>115</v>
      </c>
      <c r="B49" s="1805" t="s">
        <v>1053</v>
      </c>
      <c r="C49" s="468" t="s">
        <v>1144</v>
      </c>
      <c r="D49" s="87">
        <v>331.07299999999998</v>
      </c>
      <c r="E49" s="193" t="str">
        <f>IF(ABS(D49-Drift!P119)&gt;50,"beloppet avviker med" &amp;" "&amp;(ROUND(D49-Drift!P119,0))&amp;" tkr från beloppet på rad 980 i driften - rätta eller kommentera","")</f>
        <v/>
      </c>
      <c r="F49" s="1812"/>
      <c r="G49" s="1813"/>
      <c r="H49" s="1814"/>
      <c r="I49" s="1808"/>
      <c r="J49" s="127"/>
      <c r="L49" s="467">
        <v>115</v>
      </c>
      <c r="M49" s="1074">
        <v>14669.683999999999</v>
      </c>
      <c r="N49" s="2047">
        <f>IF(ISERROR((D49-M49)/M49),0,((D49-M49)/M49))</f>
        <v>-0.9774314838683642</v>
      </c>
      <c r="O49" s="1989"/>
      <c r="P49" s="1171"/>
      <c r="Q49" s="1176"/>
      <c r="R49" s="1176"/>
      <c r="S49" s="1176"/>
      <c r="T49" s="1176"/>
    </row>
    <row r="50" spans="1:20" ht="14.85" customHeight="1">
      <c r="A50" s="469">
        <v>120</v>
      </c>
      <c r="B50" s="470">
        <v>573</v>
      </c>
      <c r="C50" s="468" t="s">
        <v>884</v>
      </c>
      <c r="D50" s="187">
        <v>12473.062</v>
      </c>
      <c r="E50" s="193"/>
      <c r="F50" s="608">
        <v>121</v>
      </c>
      <c r="G50" s="609" t="s">
        <v>536</v>
      </c>
      <c r="H50" s="647" t="s">
        <v>766</v>
      </c>
      <c r="I50" s="234">
        <v>2114.08</v>
      </c>
      <c r="J50" s="1101"/>
      <c r="L50" s="465">
        <v>120</v>
      </c>
      <c r="M50" s="1068">
        <v>12763.734</v>
      </c>
      <c r="N50" s="2049">
        <f>IF(ISERROR((D50-M50)/M50),0,((D50-M50)/M50))</f>
        <v>-2.2773273087640378E-2</v>
      </c>
      <c r="O50" s="1989"/>
      <c r="P50" s="1174"/>
      <c r="Q50" s="1176"/>
      <c r="R50" s="1182"/>
      <c r="S50" s="1182"/>
      <c r="T50" s="1176"/>
    </row>
    <row r="51" spans="1:20" ht="14.85" customHeight="1">
      <c r="A51" s="469">
        <v>180</v>
      </c>
      <c r="B51" s="472">
        <v>571</v>
      </c>
      <c r="C51" s="468" t="s">
        <v>735</v>
      </c>
      <c r="D51" s="155">
        <v>2423.52</v>
      </c>
      <c r="E51" s="193"/>
      <c r="F51" s="611">
        <v>122</v>
      </c>
      <c r="G51" s="573" t="s">
        <v>537</v>
      </c>
      <c r="H51" s="649" t="s">
        <v>1152</v>
      </c>
      <c r="I51" s="235">
        <v>10180.025</v>
      </c>
      <c r="J51" s="1752"/>
      <c r="K51" s="4"/>
      <c r="L51" s="469"/>
      <c r="M51" s="943"/>
      <c r="N51" s="2050"/>
      <c r="O51" s="1989"/>
      <c r="P51" s="1171"/>
      <c r="Q51" s="1176"/>
      <c r="R51" s="1182"/>
      <c r="S51" s="1182"/>
      <c r="T51" s="1176"/>
    </row>
    <row r="52" spans="1:20" ht="14.85" customHeight="1" thickBot="1">
      <c r="A52" s="474">
        <v>186</v>
      </c>
      <c r="B52" s="475">
        <v>574</v>
      </c>
      <c r="C52" s="468" t="s">
        <v>3</v>
      </c>
      <c r="D52" s="87">
        <v>99.936999999999998</v>
      </c>
      <c r="E52" s="193"/>
      <c r="F52" s="1967">
        <v>123</v>
      </c>
      <c r="G52" s="1968">
        <v>5733</v>
      </c>
      <c r="H52" s="1190" t="s">
        <v>1153</v>
      </c>
      <c r="I52" s="1969">
        <v>178.95099999999999</v>
      </c>
      <c r="J52" s="1752" t="str">
        <f>IF(I52="","Ange belopp eller 0",IF((SUM(I50:I52)-D50)&gt;1,"Däravraderna 121+122+123 &gt; rad 120",""))</f>
        <v/>
      </c>
      <c r="K52" s="139"/>
      <c r="L52" s="677"/>
      <c r="M52" s="934"/>
      <c r="N52" s="2046"/>
      <c r="O52" s="1989"/>
      <c r="P52" s="1171"/>
      <c r="Q52" s="1176"/>
      <c r="R52" s="1182"/>
      <c r="S52" s="1182"/>
      <c r="T52" s="1176"/>
    </row>
    <row r="53" spans="1:20" ht="21" customHeight="1">
      <c r="A53" s="474">
        <v>185</v>
      </c>
      <c r="B53" s="472">
        <v>575</v>
      </c>
      <c r="C53" s="473" t="str">
        <f>"Pensionskostnad, avgiftsbestämd ålderspension"</f>
        <v>Pensionskostnad, avgiftsbestämd ålderspension</v>
      </c>
      <c r="D53" s="155">
        <v>22500.556</v>
      </c>
      <c r="E53" s="1735"/>
      <c r="F53" s="2078" t="s">
        <v>1244</v>
      </c>
      <c r="G53" s="2082">
        <v>5713</v>
      </c>
      <c r="H53" s="2088" t="s">
        <v>1243</v>
      </c>
      <c r="I53" s="236">
        <v>342.22500000000002</v>
      </c>
      <c r="J53" s="1970" t="str">
        <f>IF(I53="","Ange belopp eller 0",IF(I53&gt;D51,"Däravrad 5713 &gt; rad 571",""))</f>
        <v/>
      </c>
      <c r="K53" s="4"/>
      <c r="L53" s="677"/>
      <c r="M53" s="934"/>
      <c r="N53" s="2046"/>
      <c r="O53" s="1989"/>
      <c r="P53" s="1171"/>
      <c r="Q53" s="1176"/>
      <c r="R53" s="1182"/>
      <c r="S53" s="1182"/>
    </row>
    <row r="54" spans="1:20" ht="14.85" customHeight="1" thickBot="1">
      <c r="A54" s="476">
        <v>189</v>
      </c>
      <c r="B54" s="477"/>
      <c r="C54" s="454" t="s">
        <v>673</v>
      </c>
      <c r="D54" s="287">
        <f>SUM(D45:D53)</f>
        <v>498770.17699999991</v>
      </c>
      <c r="E54" s="193"/>
      <c r="F54" s="4"/>
      <c r="G54" s="4"/>
      <c r="H54" s="56"/>
      <c r="I54" s="56"/>
      <c r="L54" s="476"/>
      <c r="M54" s="1075"/>
      <c r="N54" s="2048"/>
      <c r="O54" s="1989"/>
      <c r="P54" s="1175"/>
      <c r="Q54" s="1176"/>
      <c r="R54" s="1177"/>
      <c r="S54" s="1177"/>
    </row>
    <row r="55" spans="1:20" ht="14.85" customHeight="1">
      <c r="A55" s="478">
        <v>300</v>
      </c>
      <c r="B55" s="2071" t="s">
        <v>1240</v>
      </c>
      <c r="C55" s="468" t="s">
        <v>1145</v>
      </c>
      <c r="D55" s="87">
        <v>12271.349</v>
      </c>
      <c r="E55" s="193"/>
      <c r="F55" s="605">
        <v>318</v>
      </c>
      <c r="G55" s="682">
        <v>628</v>
      </c>
      <c r="H55" s="683" t="s">
        <v>152</v>
      </c>
      <c r="I55" s="191">
        <v>928.17600000000004</v>
      </c>
      <c r="J55" s="127" t="str">
        <f>IF(SUM(I55)&gt;D55,"Däravrad 318 &gt; rad 300",IF(I55="","Belopp saknas",""))</f>
        <v/>
      </c>
      <c r="K55" s="127"/>
      <c r="L55" s="1085"/>
      <c r="M55" s="1104"/>
      <c r="N55" s="2045"/>
      <c r="O55" s="1989"/>
      <c r="P55" s="1171"/>
      <c r="Q55" s="1135"/>
      <c r="R55" s="1197"/>
      <c r="S55" s="1182"/>
      <c r="T55" s="1176"/>
    </row>
    <row r="56" spans="1:20" ht="14.85" customHeight="1">
      <c r="A56" s="474">
        <v>325</v>
      </c>
      <c r="B56" s="475">
        <v>644</v>
      </c>
      <c r="C56" s="468" t="s">
        <v>674</v>
      </c>
      <c r="D56" s="87">
        <v>10028.378000000001</v>
      </c>
      <c r="E56" s="193"/>
      <c r="F56" s="4"/>
      <c r="G56" s="4"/>
      <c r="H56" s="56"/>
      <c r="K56" s="4"/>
      <c r="L56" s="677"/>
      <c r="M56" s="934"/>
      <c r="N56" s="2046"/>
      <c r="O56" s="1989"/>
      <c r="P56" s="1171"/>
      <c r="Q56" s="1176"/>
      <c r="R56" s="1182"/>
      <c r="S56" s="1182"/>
    </row>
    <row r="57" spans="1:20" ht="14.85" customHeight="1">
      <c r="A57" s="474">
        <v>330</v>
      </c>
      <c r="B57" s="475">
        <v>651</v>
      </c>
      <c r="C57" s="468" t="s">
        <v>675</v>
      </c>
      <c r="D57" s="87">
        <v>393.89100000000002</v>
      </c>
      <c r="E57" s="193"/>
      <c r="F57" s="4"/>
      <c r="G57" s="4"/>
      <c r="H57" s="56"/>
      <c r="I57" s="56"/>
      <c r="L57" s="677"/>
      <c r="M57" s="934"/>
      <c r="N57" s="2046"/>
      <c r="O57" s="1989"/>
      <c r="P57" s="1171"/>
      <c r="Q57" s="1176"/>
      <c r="R57" s="1182"/>
      <c r="S57" s="1182"/>
    </row>
    <row r="58" spans="1:20" ht="14.85" customHeight="1">
      <c r="A58" s="474">
        <v>340</v>
      </c>
      <c r="B58" s="479" t="s">
        <v>651</v>
      </c>
      <c r="C58" s="480" t="s">
        <v>676</v>
      </c>
      <c r="D58" s="87">
        <v>22238.974999999999</v>
      </c>
      <c r="E58" s="193"/>
      <c r="F58" s="1254" t="s">
        <v>776</v>
      </c>
      <c r="G58" s="2083">
        <v>641</v>
      </c>
      <c r="H58" s="2089" t="s">
        <v>742</v>
      </c>
      <c r="I58" s="1488">
        <v>4601.0950000000003</v>
      </c>
      <c r="J58" s="127"/>
      <c r="K58" s="4"/>
      <c r="L58" s="467"/>
      <c r="M58" s="1074"/>
      <c r="N58" s="2047"/>
      <c r="O58" s="1989"/>
      <c r="P58" s="1171"/>
      <c r="Q58" s="1176"/>
      <c r="R58" s="1197"/>
      <c r="S58" s="1182"/>
      <c r="T58" s="1197"/>
    </row>
    <row r="59" spans="1:20" ht="14.85" customHeight="1" thickBot="1">
      <c r="A59" s="476">
        <v>360</v>
      </c>
      <c r="B59" s="481"/>
      <c r="C59" s="482" t="s">
        <v>677</v>
      </c>
      <c r="D59" s="287">
        <f>SUM(D55,D56,D57,D58)</f>
        <v>44932.592999999993</v>
      </c>
      <c r="E59" s="193"/>
      <c r="F59" s="1256" t="s">
        <v>919</v>
      </c>
      <c r="G59" s="1888">
        <v>418</v>
      </c>
      <c r="H59" s="1897" t="s">
        <v>1091</v>
      </c>
      <c r="I59" s="1158">
        <v>2144.2310000000002</v>
      </c>
      <c r="J59" s="127" t="str">
        <f>IF(I59="","Ange belopp eller 0","")</f>
        <v/>
      </c>
      <c r="K59" s="4"/>
      <c r="L59" s="476">
        <v>360</v>
      </c>
      <c r="M59" s="1075">
        <v>41977.050999999999</v>
      </c>
      <c r="N59" s="2048">
        <f>IF(ISERROR((D59-M59)/M59),0,((D59-M59)/M59))</f>
        <v>7.0408519169200184E-2</v>
      </c>
      <c r="O59" s="1989"/>
      <c r="P59" s="1175"/>
      <c r="Q59" s="1176"/>
      <c r="R59" s="13"/>
      <c r="S59" s="1182"/>
      <c r="T59" s="1197"/>
    </row>
    <row r="60" spans="1:20" ht="14.85" customHeight="1">
      <c r="A60" s="474">
        <v>345</v>
      </c>
      <c r="B60" s="475" t="s">
        <v>770</v>
      </c>
      <c r="C60" s="468" t="s">
        <v>1146</v>
      </c>
      <c r="D60" s="87">
        <v>10066.208000000001</v>
      </c>
      <c r="E60" s="193"/>
      <c r="F60" s="4"/>
      <c r="G60" s="4"/>
      <c r="H60" s="56"/>
      <c r="I60" s="56"/>
      <c r="K60" s="4"/>
      <c r="L60" s="1085"/>
      <c r="M60" s="1104"/>
      <c r="N60" s="2045"/>
      <c r="O60" s="1989"/>
      <c r="P60" s="1171"/>
      <c r="Q60" s="1176"/>
      <c r="R60" s="1182"/>
      <c r="S60" s="1182"/>
    </row>
    <row r="61" spans="1:20" ht="14.85" customHeight="1">
      <c r="A61" s="474">
        <v>401</v>
      </c>
      <c r="B61" s="475">
        <v>46</v>
      </c>
      <c r="C61" s="468" t="s">
        <v>736</v>
      </c>
      <c r="D61" s="87">
        <v>172912.29199999999</v>
      </c>
      <c r="E61" s="193"/>
      <c r="F61" s="4"/>
      <c r="G61" s="4"/>
      <c r="H61" s="56"/>
      <c r="I61" s="56"/>
      <c r="K61" s="4"/>
      <c r="L61" s="465">
        <v>401</v>
      </c>
      <c r="M61" s="1068">
        <v>167544.24799999999</v>
      </c>
      <c r="N61" s="2049">
        <f>IF(ISERROR((D61-M61)/M61),0,((D61-M61)/M61))</f>
        <v>3.2039560080868876E-2</v>
      </c>
      <c r="O61" s="1989"/>
      <c r="P61" s="1171"/>
      <c r="Q61" s="1176"/>
      <c r="R61" s="1182"/>
      <c r="S61" s="1182"/>
    </row>
    <row r="62" spans="1:20" ht="14.85" customHeight="1">
      <c r="A62" s="474">
        <v>410</v>
      </c>
      <c r="B62" s="475">
        <v>74</v>
      </c>
      <c r="C62" s="468" t="s">
        <v>764</v>
      </c>
      <c r="D62" s="87">
        <v>30841.613000000001</v>
      </c>
      <c r="E62" s="193"/>
      <c r="F62" s="4"/>
      <c r="G62" s="4"/>
      <c r="H62" s="56"/>
      <c r="I62" s="56"/>
      <c r="K62" s="4"/>
      <c r="L62" s="677"/>
      <c r="M62" s="934"/>
      <c r="N62" s="2046"/>
      <c r="O62" s="1989"/>
      <c r="P62" s="1171"/>
      <c r="Q62" s="1176"/>
      <c r="R62" s="1357"/>
      <c r="S62" s="1182"/>
    </row>
    <row r="63" spans="1:20" ht="14.85" customHeight="1">
      <c r="A63" s="474">
        <v>411</v>
      </c>
      <c r="B63" s="475">
        <v>75</v>
      </c>
      <c r="C63" s="468" t="s">
        <v>1019</v>
      </c>
      <c r="D63" s="87">
        <v>2657.9580000000001</v>
      </c>
      <c r="E63" s="193"/>
      <c r="F63" s="4"/>
      <c r="G63" s="4"/>
      <c r="H63" s="56"/>
      <c r="I63" s="56"/>
      <c r="K63" s="4"/>
      <c r="L63" s="677"/>
      <c r="M63" s="934"/>
      <c r="N63" s="2046"/>
      <c r="O63" s="1989"/>
      <c r="P63" s="1171"/>
      <c r="Q63" s="1176"/>
      <c r="R63" s="1182"/>
      <c r="S63" s="1182"/>
    </row>
    <row r="64" spans="1:20" ht="14.85" customHeight="1">
      <c r="A64" s="474">
        <v>415</v>
      </c>
      <c r="B64" s="475" t="s">
        <v>771</v>
      </c>
      <c r="C64" s="468" t="s">
        <v>1147</v>
      </c>
      <c r="D64" s="87">
        <v>5174.7150000000001</v>
      </c>
      <c r="E64" s="193"/>
      <c r="F64" s="4"/>
      <c r="G64" s="4"/>
      <c r="H64" s="56"/>
      <c r="I64" s="56"/>
      <c r="K64" s="4"/>
      <c r="L64" s="677"/>
      <c r="M64" s="934"/>
      <c r="N64" s="2046"/>
      <c r="O64" s="1989"/>
      <c r="P64" s="1171"/>
      <c r="Q64" s="1176"/>
      <c r="R64" s="1197"/>
      <c r="S64" s="1182"/>
    </row>
    <row r="65" spans="1:20" ht="14.85" customHeight="1">
      <c r="A65" s="474">
        <v>416</v>
      </c>
      <c r="B65" s="479">
        <v>68</v>
      </c>
      <c r="C65" s="468" t="s">
        <v>1148</v>
      </c>
      <c r="D65" s="87">
        <v>2100.029</v>
      </c>
      <c r="E65" s="193"/>
      <c r="F65" s="4"/>
      <c r="G65" s="4"/>
      <c r="H65" s="56"/>
      <c r="I65" s="56"/>
      <c r="K65" s="4"/>
      <c r="L65" s="677"/>
      <c r="M65" s="934"/>
      <c r="N65" s="2046"/>
      <c r="O65" s="1989"/>
      <c r="P65" s="1171"/>
      <c r="Q65" s="1176"/>
      <c r="R65" s="1197"/>
      <c r="S65" s="1197"/>
    </row>
    <row r="66" spans="1:20" ht="14.85" customHeight="1">
      <c r="A66" s="474">
        <v>430</v>
      </c>
      <c r="B66" s="479">
        <v>66</v>
      </c>
      <c r="C66" s="468" t="s">
        <v>737</v>
      </c>
      <c r="D66" s="87">
        <v>2563.5219999999999</v>
      </c>
      <c r="E66" s="193"/>
      <c r="F66" s="4"/>
      <c r="G66" s="4"/>
      <c r="H66" s="56"/>
      <c r="I66" s="56"/>
      <c r="K66" s="4"/>
      <c r="L66" s="677"/>
      <c r="M66" s="934"/>
      <c r="N66" s="2046"/>
      <c r="O66" s="1989"/>
      <c r="P66" s="1171"/>
      <c r="Q66" s="1176"/>
      <c r="R66" s="1197"/>
      <c r="S66" s="1197"/>
    </row>
    <row r="67" spans="1:20" ht="14.85" customHeight="1">
      <c r="A67" s="474">
        <v>440</v>
      </c>
      <c r="B67" s="479">
        <v>701</v>
      </c>
      <c r="C67" s="468" t="s">
        <v>1017</v>
      </c>
      <c r="D67" s="87">
        <v>9058.8160000000007</v>
      </c>
      <c r="E67" s="193"/>
      <c r="F67" s="4"/>
      <c r="G67" s="4"/>
      <c r="H67" s="56"/>
      <c r="I67" s="56"/>
      <c r="K67" s="4"/>
      <c r="L67" s="467"/>
      <c r="M67" s="1074"/>
      <c r="N67" s="2047"/>
      <c r="O67" s="1989"/>
      <c r="P67" s="1171"/>
      <c r="Q67" s="1176"/>
      <c r="R67" s="1182"/>
      <c r="S67" s="1197"/>
    </row>
    <row r="68" spans="1:20" ht="18.75">
      <c r="A68" s="474">
        <v>450</v>
      </c>
      <c r="B68" s="479">
        <v>601</v>
      </c>
      <c r="C68" s="468" t="s">
        <v>1018</v>
      </c>
      <c r="D68" s="87">
        <v>36612.735000000001</v>
      </c>
      <c r="E68" s="193"/>
      <c r="F68" s="1521">
        <v>469</v>
      </c>
      <c r="G68" s="1522" t="s">
        <v>893</v>
      </c>
      <c r="H68" s="1368" t="s">
        <v>1154</v>
      </c>
      <c r="I68" s="1366">
        <v>4051.26</v>
      </c>
      <c r="K68" s="4"/>
      <c r="L68" s="465">
        <v>450</v>
      </c>
      <c r="M68" s="1068">
        <v>39082.627999999997</v>
      </c>
      <c r="N68" s="2049">
        <f>IF(ISERROR((D68-M68)/M68),0,((D68-M68)/M68))</f>
        <v>-6.3196697008194955E-2</v>
      </c>
      <c r="O68" s="1989"/>
      <c r="P68" s="1171"/>
      <c r="Q68" s="1176"/>
      <c r="R68" s="1197"/>
      <c r="S68" s="1197"/>
    </row>
    <row r="69" spans="1:20" ht="14.85" customHeight="1">
      <c r="A69" s="474">
        <v>460</v>
      </c>
      <c r="B69" s="479">
        <v>602</v>
      </c>
      <c r="C69" s="480" t="s">
        <v>678</v>
      </c>
      <c r="D69" s="87">
        <v>102.462</v>
      </c>
      <c r="E69" s="193"/>
      <c r="F69" s="611">
        <v>472</v>
      </c>
      <c r="G69" s="612">
        <v>731</v>
      </c>
      <c r="H69" s="1790" t="s">
        <v>1020</v>
      </c>
      <c r="I69" s="1367">
        <v>1530.7190000000001</v>
      </c>
      <c r="K69" s="4"/>
      <c r="L69" s="469"/>
      <c r="M69" s="943"/>
      <c r="N69" s="2050"/>
      <c r="O69" s="1989"/>
      <c r="P69" s="1171"/>
      <c r="Q69" s="1176"/>
      <c r="R69" s="1197"/>
      <c r="S69" s="1197"/>
      <c r="T69" s="1176"/>
    </row>
    <row r="70" spans="1:20" ht="20.25" customHeight="1">
      <c r="A70" s="474">
        <v>470</v>
      </c>
      <c r="B70" s="1257" t="s">
        <v>1021</v>
      </c>
      <c r="C70" s="504" t="s">
        <v>1149</v>
      </c>
      <c r="D70" s="188">
        <v>10700.648999999999</v>
      </c>
      <c r="E70" s="193"/>
      <c r="F70" s="611">
        <v>474</v>
      </c>
      <c r="G70" s="573">
        <v>732</v>
      </c>
      <c r="H70" s="649" t="s">
        <v>992</v>
      </c>
      <c r="I70" s="235">
        <v>96.116</v>
      </c>
      <c r="K70" s="4"/>
      <c r="L70" s="677"/>
      <c r="M70" s="934"/>
      <c r="N70" s="2046"/>
      <c r="O70" s="1989"/>
      <c r="P70" s="1171"/>
      <c r="Q70" s="1176"/>
      <c r="R70" s="1182"/>
      <c r="S70" s="1182"/>
      <c r="T70" s="1176"/>
    </row>
    <row r="71" spans="1:20" ht="21" customHeight="1">
      <c r="A71" s="474">
        <v>471</v>
      </c>
      <c r="B71" s="475" t="s">
        <v>652</v>
      </c>
      <c r="C71" s="468" t="s">
        <v>679</v>
      </c>
      <c r="D71" s="88">
        <v>14767.41</v>
      </c>
      <c r="E71" s="193"/>
      <c r="F71" s="1742">
        <v>476</v>
      </c>
      <c r="G71" s="1746" t="s">
        <v>1002</v>
      </c>
      <c r="H71" s="1708" t="s">
        <v>1155</v>
      </c>
      <c r="I71" s="235">
        <v>1379.9</v>
      </c>
      <c r="K71" s="4"/>
      <c r="L71" s="467"/>
      <c r="M71" s="1074"/>
      <c r="N71" s="2047"/>
      <c r="O71" s="1989"/>
      <c r="P71" s="1171"/>
      <c r="Q71" s="1176"/>
      <c r="R71" s="1182"/>
      <c r="S71" s="1182"/>
      <c r="T71" s="1176"/>
    </row>
    <row r="72" spans="1:20" ht="14.85" customHeight="1" thickBot="1">
      <c r="A72" s="483">
        <v>479</v>
      </c>
      <c r="B72" s="484"/>
      <c r="C72" s="485" t="s">
        <v>680</v>
      </c>
      <c r="D72" s="288">
        <f>SUM(D60:D71)</f>
        <v>297558.40899999999</v>
      </c>
      <c r="E72" s="193"/>
      <c r="F72" s="611">
        <v>477</v>
      </c>
      <c r="G72" s="573">
        <v>737</v>
      </c>
      <c r="H72" s="649" t="s">
        <v>993</v>
      </c>
      <c r="I72" s="235">
        <v>9.7509999999999994</v>
      </c>
      <c r="K72" s="4"/>
      <c r="L72" s="476">
        <v>479</v>
      </c>
      <c r="M72" s="1075">
        <v>290578.24699999997</v>
      </c>
      <c r="N72" s="2048">
        <f>IF(ISERROR((D72-M72)/M72),0,((D72-M72)/M72))</f>
        <v>2.4021626092334474E-2</v>
      </c>
      <c r="O72" s="1989"/>
      <c r="P72" s="1175"/>
      <c r="Q72" s="1176"/>
      <c r="R72" s="1177"/>
      <c r="S72" s="1182"/>
      <c r="T72" s="1176"/>
    </row>
    <row r="73" spans="1:20" ht="12.75" customHeight="1">
      <c r="A73" s="486">
        <v>897</v>
      </c>
      <c r="B73" s="1257" t="s">
        <v>765</v>
      </c>
      <c r="C73" s="468" t="s">
        <v>1150</v>
      </c>
      <c r="D73" s="189">
        <v>1265.0999999999999</v>
      </c>
      <c r="E73" s="1736"/>
      <c r="F73" s="1966">
        <v>475</v>
      </c>
      <c r="G73" s="573"/>
      <c r="H73" s="1965" t="s">
        <v>1207</v>
      </c>
      <c r="I73" s="235">
        <v>9.6300000000000008</v>
      </c>
      <c r="K73" s="4"/>
      <c r="L73" s="1085"/>
      <c r="M73" s="1104"/>
      <c r="N73" s="2045"/>
      <c r="O73" s="1989"/>
      <c r="P73" s="1171"/>
      <c r="Q73" s="1176"/>
      <c r="R73" s="1365"/>
      <c r="S73" s="1182"/>
      <c r="T73" s="1176"/>
    </row>
    <row r="74" spans="1:20" ht="14.85" customHeight="1" thickBot="1">
      <c r="A74" s="483">
        <v>900</v>
      </c>
      <c r="B74" s="487">
        <v>789</v>
      </c>
      <c r="C74" s="488" t="s">
        <v>442</v>
      </c>
      <c r="D74" s="190">
        <v>-28.873000000000001</v>
      </c>
      <c r="E74" s="193"/>
      <c r="F74" s="684">
        <v>478</v>
      </c>
      <c r="G74" s="573" t="s">
        <v>740</v>
      </c>
      <c r="H74" s="649" t="s">
        <v>994</v>
      </c>
      <c r="I74" s="235">
        <v>2446.5990000000002</v>
      </c>
      <c r="K74" s="127"/>
      <c r="L74" s="677"/>
      <c r="M74" s="934"/>
      <c r="N74" s="2046"/>
      <c r="O74" s="1989"/>
      <c r="P74" s="1171"/>
      <c r="Q74" s="1176"/>
      <c r="R74" s="1176"/>
      <c r="S74" s="1176"/>
      <c r="T74" s="1176"/>
    </row>
    <row r="75" spans="1:20" ht="21" customHeight="1" thickBot="1">
      <c r="A75" s="478">
        <v>887</v>
      </c>
      <c r="B75" s="2072"/>
      <c r="C75" s="489" t="s">
        <v>1139</v>
      </c>
      <c r="D75" s="289">
        <f>SUM(D44+D54+D59+D72+D73+D74)</f>
        <v>870227.19099999988</v>
      </c>
      <c r="F75" s="491">
        <v>473</v>
      </c>
      <c r="G75" s="1259" t="s">
        <v>783</v>
      </c>
      <c r="H75" s="1191" t="s">
        <v>1156</v>
      </c>
      <c r="I75" s="1944">
        <v>638.298</v>
      </c>
      <c r="J75" s="127"/>
      <c r="K75" s="4"/>
      <c r="L75" s="463"/>
      <c r="M75" s="1105"/>
      <c r="N75" s="2051"/>
      <c r="O75" s="1989"/>
      <c r="P75" s="1175"/>
      <c r="Q75" s="1135"/>
      <c r="R75" s="1197"/>
      <c r="S75" s="1197"/>
      <c r="T75" s="1176"/>
    </row>
    <row r="76" spans="1:20" ht="14.85" customHeight="1" thickBot="1">
      <c r="A76" s="490" t="s">
        <v>443</v>
      </c>
      <c r="B76" s="477"/>
      <c r="C76" s="454" t="s">
        <v>90</v>
      </c>
      <c r="D76" s="247">
        <f>RR!C8</f>
        <v>870227.19</v>
      </c>
      <c r="E76" s="193"/>
      <c r="F76" s="1989"/>
      <c r="G76" s="1989"/>
      <c r="H76" s="1989"/>
      <c r="I76" s="1989"/>
      <c r="J76" s="1989"/>
      <c r="L76" s="1086"/>
      <c r="M76" s="1087"/>
      <c r="N76" s="2042"/>
      <c r="O76" s="1989"/>
      <c r="P76" s="1171"/>
      <c r="R76" s="1177"/>
      <c r="S76" s="1177"/>
    </row>
    <row r="77" spans="1:20" ht="15.75" customHeight="1">
      <c r="A77" s="2066" t="s">
        <v>1183</v>
      </c>
      <c r="B77" s="1258"/>
      <c r="C77" s="1258"/>
      <c r="D77" s="1495"/>
      <c r="F77" s="1989"/>
      <c r="G77" s="1989"/>
      <c r="H77" s="1989"/>
      <c r="I77" s="1989"/>
      <c r="J77" s="1989"/>
      <c r="K77" s="4"/>
      <c r="O77" s="1989"/>
      <c r="R77" s="1179"/>
      <c r="S77" s="1179"/>
    </row>
    <row r="78" spans="1:20" ht="21" customHeight="1">
      <c r="A78" s="130" t="s">
        <v>1184</v>
      </c>
      <c r="B78" s="67"/>
      <c r="C78" s="67"/>
      <c r="D78" s="4"/>
      <c r="F78" s="1989"/>
      <c r="G78" s="1989"/>
      <c r="H78" s="1989"/>
      <c r="I78" s="1989"/>
      <c r="J78" s="1989"/>
      <c r="K78" s="4"/>
      <c r="R78" s="2422"/>
      <c r="S78" s="2422"/>
      <c r="T78" s="2422"/>
    </row>
    <row r="79" spans="1:20" ht="12.75" customHeight="1">
      <c r="F79" s="1989"/>
      <c r="G79" s="1989"/>
      <c r="H79" s="1989"/>
      <c r="I79" s="1989"/>
      <c r="J79" s="1989"/>
      <c r="K79" s="4"/>
      <c r="R79" s="2422"/>
      <c r="S79" s="2422"/>
      <c r="T79" s="2422"/>
    </row>
    <row r="80" spans="1:20" ht="12.75">
      <c r="F80" s="4"/>
      <c r="G80" s="4"/>
      <c r="H80" s="4"/>
      <c r="I80" s="4"/>
      <c r="J80" s="4"/>
    </row>
    <row r="81" ht="12.75"/>
    <row r="82" ht="12.75"/>
    <row r="83" ht="12.75"/>
    <row r="84" ht="12.75"/>
    <row r="85" ht="12.75" hidden="1"/>
    <row r="86" ht="12.75" hidden="1"/>
    <row r="87" ht="12.75" hidden="1"/>
    <row r="88" ht="12.75" hidden="1"/>
    <row r="89" ht="12.75" hidden="1"/>
    <row r="90" ht="12.75" hidden="1"/>
    <row r="91" ht="12.75" hidden="1"/>
    <row r="92" ht="12.75"/>
    <row r="93" ht="12.75" hidden="1"/>
  </sheetData>
  <mergeCells count="2">
    <mergeCell ref="B6:B7"/>
    <mergeCell ref="R78:T79"/>
  </mergeCells>
  <conditionalFormatting sqref="D8:D11 D13:D15 D17:D25 D27:D30 D32:D34 D40:D42 D50:D53 I55 D55:D58 D60:D71 D73:D74">
    <cfRule type="cellIs" dxfId="138" priority="17" stopIfTrue="1" operator="lessThan">
      <formula>-500</formula>
    </cfRule>
  </conditionalFormatting>
  <conditionalFormatting sqref="D45:D46">
    <cfRule type="cellIs" dxfId="137" priority="9" stopIfTrue="1" operator="lessThan">
      <formula>-500</formula>
    </cfRule>
  </conditionalFormatting>
  <conditionalFormatting sqref="I17:I21">
    <cfRule type="cellIs" dxfId="136" priority="14" stopIfTrue="1" operator="lessThan">
      <formula>-500</formula>
    </cfRule>
  </conditionalFormatting>
  <conditionalFormatting sqref="I19:I20">
    <cfRule type="cellIs" dxfId="135" priority="13" stopIfTrue="1" operator="lessThan">
      <formula>-500</formula>
    </cfRule>
  </conditionalFormatting>
  <conditionalFormatting sqref="I24:I25">
    <cfRule type="cellIs" dxfId="134" priority="11" stopIfTrue="1" operator="lessThan">
      <formula>-500</formula>
    </cfRule>
    <cfRule type="cellIs" dxfId="133" priority="12" stopIfTrue="1" operator="lessThan">
      <formula>-500</formula>
    </cfRule>
  </conditionalFormatting>
  <conditionalFormatting sqref="I27:I30">
    <cfRule type="cellIs" dxfId="132" priority="6" stopIfTrue="1" operator="lessThan">
      <formula>-500</formula>
    </cfRule>
    <cfRule type="cellIs" dxfId="131" priority="7" stopIfTrue="1" operator="lessThan">
      <formula>-500</formula>
    </cfRule>
  </conditionalFormatting>
  <conditionalFormatting sqref="I32">
    <cfRule type="cellIs" dxfId="130" priority="4" stopIfTrue="1" operator="lessThan">
      <formula>-500</formula>
    </cfRule>
    <cfRule type="cellIs" dxfId="129" priority="5" stopIfTrue="1" operator="lessThan">
      <formula>-500</formula>
    </cfRule>
  </conditionalFormatting>
  <conditionalFormatting sqref="I40:I42 I44:I53">
    <cfRule type="cellIs" dxfId="128" priority="8" stopIfTrue="1" operator="lessThan">
      <formula>-500</formula>
    </cfRule>
  </conditionalFormatting>
  <conditionalFormatting sqref="I44">
    <cfRule type="cellIs" dxfId="127" priority="20" stopIfTrue="1" operator="lessThan">
      <formula>0</formula>
    </cfRule>
  </conditionalFormatting>
  <conditionalFormatting sqref="I58:I59">
    <cfRule type="cellIs" dxfId="126" priority="15" stopIfTrue="1" operator="lessThan">
      <formula>-500</formula>
    </cfRule>
    <cfRule type="cellIs" dxfId="125" priority="16" stopIfTrue="1" operator="lessThan">
      <formula>-500</formula>
    </cfRule>
  </conditionalFormatting>
  <conditionalFormatting sqref="I68">
    <cfRule type="cellIs" dxfId="124" priority="3" stopIfTrue="1" operator="lessThan">
      <formula>-500</formula>
    </cfRule>
  </conditionalFormatting>
  <conditionalFormatting sqref="I68:I75">
    <cfRule type="cellIs" dxfId="123" priority="1" stopIfTrue="1" operator="lessThan">
      <formula>-500</formula>
    </cfRule>
  </conditionalFormatting>
  <dataValidations count="4">
    <dataValidation type="decimal" operator="lessThan" allowBlank="1" showInputMessage="1" showErrorMessage="1" error="beloppet ska vara 1000tal kr" sqref="I68" xr:uid="{5E3C84FA-3272-499F-8AE4-C2919C259F0D}">
      <formula1>99999999</formula1>
    </dataValidation>
    <dataValidation operator="lessThan" allowBlank="1" showInputMessage="1" showErrorMessage="1" sqref="D75 D35" xr:uid="{00000000-0002-0000-0300-000001000000}"/>
    <dataValidation type="decimal" operator="lessThan" allowBlank="1" showInputMessage="1" showErrorMessage="1" error="Beloppet ska vara i 1000 tal kronor" sqref="I17:I21 D55:D58 D40:D43 D17:D25 D27:D30 D13:D15 D8:D11 I55 I58:I59 D32:D34 D60:D71 D49:D53 I24:I25 D45:D46 I27:I30 I32 I69:I75 D73:D74 I40:I53" xr:uid="{00000000-0002-0000-0300-000002000000}">
      <formula1>99999999</formula1>
    </dataValidation>
    <dataValidation type="decimal" operator="lessThanOrEqual" allowBlank="1" showInputMessage="1" showErrorMessage="1" error="Beloppet ska redovisas med minustecken" sqref="D47:D48" xr:uid="{00000000-0002-0000-0300-000003000000}">
      <formula1>0</formula1>
    </dataValidation>
  </dataValidations>
  <pageMargins left="0.7" right="0.7" top="0.75" bottom="0.75" header="0.3" footer="0.3"/>
  <pageSetup paperSize="9" scale="70" orientation="portrait" r:id="rId1"/>
  <headerFooter>
    <oddHeader>&amp;L&amp;8Statistiska Centralbyrån
Offentlig ekonomi&amp;R&amp;P</oddHeader>
  </headerFooter>
  <ignoredErrors>
    <ignoredError sqref="F19:G19 F25 F27:G27 F28:F29 F43:G43 G50:G51 A76 G74 F58:F59 F53" numberStoredAsText="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XFC63"/>
  <sheetViews>
    <sheetView showGridLines="0" zoomScaleNormal="100" workbookViewId="0">
      <pane ySplit="1" topLeftCell="A2" activePane="bottomLeft" state="frozen"/>
      <selection activeCell="F36" sqref="F36"/>
      <selection pane="bottomLeft"/>
    </sheetView>
  </sheetViews>
  <sheetFormatPr defaultColWidth="9.42578125" defaultRowHeight="0" customHeight="1" zeroHeight="1"/>
  <cols>
    <col min="1" max="1" width="4" customWidth="1"/>
    <col min="2" max="2" width="9.42578125" customWidth="1"/>
    <col min="3" max="3" width="30.5703125" customWidth="1"/>
    <col min="4" max="4" width="10.5703125" customWidth="1"/>
    <col min="5" max="5" width="22" customWidth="1"/>
    <col min="6" max="6" width="5" customWidth="1"/>
    <col min="7" max="7" width="27.5703125" customWidth="1"/>
    <col min="8" max="8" width="4" customWidth="1"/>
    <col min="9" max="9" width="8.42578125" customWidth="1"/>
    <col min="10" max="10" width="31.42578125" customWidth="1"/>
    <col min="11" max="12" width="10.5703125" customWidth="1"/>
    <col min="13" max="13" width="13.42578125" customWidth="1"/>
    <col min="14" max="14" width="4.42578125" customWidth="1"/>
    <col min="15" max="15" width="3.5703125" customWidth="1"/>
    <col min="16" max="16" width="19.5703125" customWidth="1"/>
    <col min="17" max="17" width="7" customWidth="1"/>
    <col min="18" max="18" width="3.5703125" customWidth="1"/>
    <col min="19" max="19" width="1.5703125" customWidth="1"/>
    <col min="20" max="20" width="21.5703125" customWidth="1"/>
    <col min="21" max="16383" width="0" hidden="1" customWidth="1"/>
    <col min="16384" max="16384" width="4.42578125" hidden="1" customWidth="1"/>
  </cols>
  <sheetData>
    <row r="1" spans="1:20" ht="18">
      <c r="A1" s="1324" t="str">
        <f>"Skatteintäkter, utjämningssystem o. generella statliga bidrag samt finansiella poster "&amp;År&amp;", miljoner kr"</f>
        <v>Skatteintäkter, utjämningssystem o. generella statliga bidrag samt finansiella poster 2025, miljoner kr</v>
      </c>
      <c r="B1" s="434"/>
      <c r="C1" s="434"/>
      <c r="D1" s="434"/>
      <c r="E1" s="434"/>
      <c r="F1" s="434"/>
      <c r="G1" s="434"/>
      <c r="H1" s="434"/>
      <c r="I1" s="434"/>
      <c r="J1" s="434"/>
      <c r="K1" s="434"/>
      <c r="L1" s="434"/>
      <c r="M1" s="434"/>
      <c r="N1" s="436" t="s">
        <v>446</v>
      </c>
      <c r="O1" s="436"/>
      <c r="P1" s="436"/>
      <c r="Q1" s="436"/>
      <c r="R1" s="436"/>
      <c r="S1" s="436"/>
      <c r="T1" s="437" t="str">
        <f>Information!A2</f>
        <v>RIKSTOTAL</v>
      </c>
    </row>
    <row r="2" spans="1:20" ht="12.75" customHeight="1">
      <c r="A2" s="1989"/>
      <c r="B2" s="1989"/>
      <c r="C2" s="1989"/>
      <c r="D2" s="1989"/>
      <c r="E2" s="1989"/>
      <c r="F2" s="1989"/>
      <c r="G2" s="1989"/>
      <c r="H2" s="1989"/>
      <c r="I2" s="1989"/>
      <c r="J2" s="1989"/>
      <c r="K2" s="1989"/>
      <c r="L2" s="1989"/>
      <c r="M2" s="1989"/>
      <c r="N2" s="1989"/>
      <c r="O2" s="1989"/>
      <c r="P2" s="1989"/>
      <c r="Q2" s="1989"/>
      <c r="R2" s="1989"/>
      <c r="S2" s="1989"/>
      <c r="T2" s="1989"/>
    </row>
    <row r="3" spans="1:20" ht="12.75" customHeight="1">
      <c r="A3" s="1989"/>
      <c r="B3" s="1989"/>
      <c r="C3" s="1989"/>
      <c r="D3" s="1989"/>
      <c r="E3" s="1989"/>
      <c r="F3" s="1989"/>
      <c r="G3" s="1989"/>
      <c r="H3" s="1989"/>
      <c r="I3" s="1989"/>
      <c r="J3" s="1989"/>
      <c r="K3" s="1989"/>
      <c r="L3" s="1989"/>
      <c r="M3" s="1989"/>
      <c r="N3" s="1989"/>
      <c r="O3" s="1989"/>
      <c r="P3" s="1989"/>
      <c r="Q3" s="1989"/>
      <c r="R3" s="1989"/>
      <c r="S3" s="1989"/>
      <c r="T3" s="1989"/>
    </row>
    <row r="4" spans="1:20" ht="17.25" customHeight="1" thickBot="1">
      <c r="A4" s="30" t="s">
        <v>608</v>
      </c>
      <c r="B4" s="4"/>
      <c r="C4" s="4"/>
      <c r="D4" s="28"/>
      <c r="G4" s="4"/>
      <c r="H4" s="30" t="s">
        <v>609</v>
      </c>
      <c r="M4" s="4"/>
      <c r="N4" s="4"/>
      <c r="O4" s="4"/>
      <c r="P4" s="4"/>
      <c r="Q4" s="4"/>
      <c r="R4" s="4"/>
      <c r="S4" s="4"/>
      <c r="T4" s="4"/>
    </row>
    <row r="5" spans="1:20" s="157" customFormat="1" ht="12.75">
      <c r="A5" s="513" t="s">
        <v>604</v>
      </c>
      <c r="B5" s="1912" t="str">
        <f>"BAS "&amp;År-2000&amp;""</f>
        <v>BAS 25</v>
      </c>
      <c r="C5" s="685"/>
      <c r="D5" s="691"/>
      <c r="E5" s="63"/>
      <c r="F5" s="63"/>
      <c r="G5" s="63"/>
      <c r="H5" s="513" t="s">
        <v>604</v>
      </c>
      <c r="I5" s="1912" t="str">
        <f>"BAS "&amp;År-2000&amp;""</f>
        <v>BAS 25</v>
      </c>
      <c r="J5" s="685"/>
      <c r="K5" s="524" t="s">
        <v>605</v>
      </c>
      <c r="L5" s="1694" t="s">
        <v>706</v>
      </c>
      <c r="M5" s="1199"/>
      <c r="N5" s="176" t="s">
        <v>892</v>
      </c>
      <c r="O5" s="63"/>
      <c r="P5" s="63"/>
      <c r="Q5" s="63"/>
      <c r="S5" s="350"/>
      <c r="T5" s="63"/>
    </row>
    <row r="6" spans="1:20" s="157" customFormat="1" ht="12.75">
      <c r="A6" s="515" t="s">
        <v>606</v>
      </c>
      <c r="B6" s="674"/>
      <c r="C6" s="686"/>
      <c r="D6" s="690"/>
      <c r="E6" s="63"/>
      <c r="F6" s="63"/>
      <c r="G6" s="63"/>
      <c r="H6" s="515" t="s">
        <v>606</v>
      </c>
      <c r="I6" s="526"/>
      <c r="J6" s="686"/>
      <c r="K6" s="526" t="s">
        <v>1248</v>
      </c>
      <c r="L6" s="908" t="s">
        <v>1248</v>
      </c>
      <c r="M6" s="1200"/>
      <c r="N6" s="63"/>
      <c r="O6" s="63"/>
      <c r="P6" s="63"/>
      <c r="Q6" s="63"/>
      <c r="S6" s="77"/>
      <c r="T6" s="63"/>
    </row>
    <row r="7" spans="1:20" ht="15">
      <c r="A7" s="1923"/>
      <c r="B7" s="1924"/>
      <c r="C7" s="687"/>
      <c r="D7" s="692"/>
      <c r="E7" s="4"/>
      <c r="F7" s="4"/>
      <c r="G7" s="4"/>
      <c r="H7" s="693"/>
      <c r="I7" s="508"/>
      <c r="J7" s="508"/>
      <c r="K7" s="508"/>
      <c r="L7" s="694"/>
      <c r="M7" s="1201"/>
      <c r="N7" s="4"/>
      <c r="O7" s="4"/>
      <c r="P7" s="4"/>
      <c r="Q7" s="4"/>
      <c r="S7" s="14"/>
      <c r="T7" s="4"/>
    </row>
    <row r="8" spans="1:20" ht="14.85" customHeight="1">
      <c r="A8" s="663">
        <v>600</v>
      </c>
      <c r="B8" s="479">
        <v>801</v>
      </c>
      <c r="C8" s="480" t="s">
        <v>681</v>
      </c>
      <c r="D8" s="290">
        <v>618654</v>
      </c>
      <c r="E8" s="4"/>
      <c r="F8" s="4"/>
      <c r="G8" s="4"/>
      <c r="H8" s="660">
        <v>800</v>
      </c>
      <c r="I8" s="479">
        <v>841</v>
      </c>
      <c r="J8" s="480" t="s">
        <v>694</v>
      </c>
      <c r="K8" s="1513">
        <v>4029.03</v>
      </c>
      <c r="L8" s="1514">
        <v>1023.71</v>
      </c>
      <c r="M8" s="1738"/>
      <c r="N8" s="492">
        <v>801</v>
      </c>
      <c r="O8" s="1515">
        <v>8411</v>
      </c>
      <c r="P8" s="1414" t="s">
        <v>1164</v>
      </c>
      <c r="Q8" s="1415">
        <v>3177.8980000000001</v>
      </c>
      <c r="R8" s="1489" t="str">
        <f>IF(Q8&gt;K8,"däravrad 801&gt;rad 800",IF(AND(K8&gt;1,Q8=""),"skriv belopp eller 0",""))</f>
        <v/>
      </c>
      <c r="S8" s="1197"/>
      <c r="T8" s="4"/>
    </row>
    <row r="9" spans="1:20" ht="14.85" customHeight="1">
      <c r="A9" s="663">
        <v>620</v>
      </c>
      <c r="B9" s="572">
        <v>8052</v>
      </c>
      <c r="C9" s="473" t="str">
        <f>"Slutavräkning, prognos för "&amp;År&amp;""</f>
        <v>Slutavräkning, prognos för 2025</v>
      </c>
      <c r="D9" s="290">
        <v>-3387</v>
      </c>
      <c r="E9" s="4"/>
      <c r="F9" s="4"/>
      <c r="G9" s="4"/>
      <c r="H9" s="663">
        <v>810</v>
      </c>
      <c r="I9" s="688">
        <v>844</v>
      </c>
      <c r="J9" s="689" t="s">
        <v>695</v>
      </c>
      <c r="K9" s="19">
        <v>13750.355</v>
      </c>
      <c r="L9" s="89">
        <v>4529.8220000000001</v>
      </c>
      <c r="M9" s="1738"/>
      <c r="N9" s="4"/>
      <c r="O9" s="4"/>
      <c r="P9" s="4"/>
      <c r="Q9" s="4"/>
      <c r="S9" s="1197"/>
      <c r="T9" s="4"/>
    </row>
    <row r="10" spans="1:20" ht="14.85" customHeight="1">
      <c r="A10" s="663">
        <v>625</v>
      </c>
      <c r="B10" s="572">
        <v>8051</v>
      </c>
      <c r="C10" s="473" t="str">
        <f>"Justering slutavräkning "&amp;År-1&amp;""</f>
        <v>Justering slutavräkning 2024</v>
      </c>
      <c r="D10" s="290">
        <v>-84</v>
      </c>
      <c r="E10" s="4"/>
      <c r="F10" s="4"/>
      <c r="G10" s="4"/>
      <c r="H10" s="663">
        <v>880</v>
      </c>
      <c r="I10" s="479">
        <v>845</v>
      </c>
      <c r="J10" s="480" t="s">
        <v>696</v>
      </c>
      <c r="K10" s="19">
        <v>69.921999999999997</v>
      </c>
      <c r="L10" s="801"/>
      <c r="M10" s="1738"/>
      <c r="N10" s="4"/>
      <c r="O10" s="4"/>
      <c r="P10" s="4"/>
      <c r="Q10" s="4"/>
      <c r="S10" s="1197"/>
      <c r="T10" s="4"/>
    </row>
    <row r="11" spans="1:20" ht="14.85" customHeight="1">
      <c r="A11" s="663">
        <v>630</v>
      </c>
      <c r="B11" s="572"/>
      <c r="C11" s="473" t="str">
        <f>"Justeringspost slutavräkning "&amp;År&amp;""</f>
        <v>Justeringspost slutavräkning 2025</v>
      </c>
      <c r="D11" s="189">
        <v>3.5070000000000001</v>
      </c>
      <c r="E11" s="112"/>
      <c r="F11" s="4"/>
      <c r="G11" s="4"/>
      <c r="H11" s="663">
        <v>885</v>
      </c>
      <c r="I11" s="479">
        <v>8481</v>
      </c>
      <c r="J11" s="480" t="s">
        <v>468</v>
      </c>
      <c r="K11" s="19">
        <v>8.484</v>
      </c>
      <c r="L11" s="801"/>
      <c r="M11" s="1738"/>
      <c r="N11" s="4"/>
      <c r="O11" s="4"/>
      <c r="P11" s="4"/>
      <c r="Q11" s="4"/>
      <c r="S11" s="1197"/>
      <c r="T11" s="4"/>
    </row>
    <row r="12" spans="1:20" ht="14.85" customHeight="1">
      <c r="A12" s="663">
        <v>640</v>
      </c>
      <c r="B12" s="475" t="s">
        <v>907</v>
      </c>
      <c r="C12" s="468" t="s">
        <v>1165</v>
      </c>
      <c r="D12" s="189">
        <v>16.547000000000001</v>
      </c>
      <c r="E12" s="1222"/>
      <c r="F12" s="4"/>
      <c r="G12" s="4"/>
      <c r="H12" s="663">
        <v>886</v>
      </c>
      <c r="I12" s="479">
        <v>8482</v>
      </c>
      <c r="J12" s="480" t="s">
        <v>707</v>
      </c>
      <c r="K12" s="19">
        <v>133.499</v>
      </c>
      <c r="L12" s="801"/>
      <c r="M12" s="1738"/>
      <c r="N12" s="1176"/>
      <c r="O12" s="1176"/>
      <c r="P12" s="67"/>
      <c r="Q12" s="1500"/>
      <c r="S12" s="1197"/>
      <c r="T12" s="4"/>
    </row>
    <row r="13" spans="1:20" ht="14.85" customHeight="1" thickBot="1">
      <c r="A13" s="664">
        <v>680</v>
      </c>
      <c r="B13" s="1195"/>
      <c r="C13" s="1196" t="s">
        <v>898</v>
      </c>
      <c r="D13" s="287">
        <v>268</v>
      </c>
      <c r="E13" s="28"/>
      <c r="F13" s="4"/>
      <c r="G13" s="4"/>
      <c r="H13" s="663">
        <v>884</v>
      </c>
      <c r="I13" s="475">
        <v>843</v>
      </c>
      <c r="J13" s="468" t="s">
        <v>1086</v>
      </c>
      <c r="K13" s="19">
        <v>609.92499999999995</v>
      </c>
      <c r="L13" s="89">
        <v>876.87300000000005</v>
      </c>
      <c r="M13" s="1738"/>
      <c r="N13" s="1176"/>
      <c r="O13" s="1176"/>
      <c r="P13" s="67"/>
      <c r="Q13" s="1500"/>
      <c r="S13" s="1197"/>
      <c r="T13" s="4"/>
    </row>
    <row r="14" spans="1:20" ht="21" customHeight="1" thickBot="1">
      <c r="A14" s="476">
        <v>690</v>
      </c>
      <c r="B14" s="481"/>
      <c r="C14" s="482" t="s">
        <v>608</v>
      </c>
      <c r="D14" s="287">
        <f>SUM(D8:D13)</f>
        <v>615471.054</v>
      </c>
      <c r="E14" s="4"/>
      <c r="F14" s="4"/>
      <c r="G14" s="4"/>
      <c r="H14" s="465">
        <v>882</v>
      </c>
      <c r="I14" s="1257">
        <v>846</v>
      </c>
      <c r="J14" s="468" t="s">
        <v>1085</v>
      </c>
      <c r="K14" s="19">
        <v>3364.5949999999998</v>
      </c>
      <c r="L14" s="801"/>
      <c r="M14" s="1738"/>
      <c r="N14" s="1176"/>
      <c r="O14" s="1176"/>
      <c r="P14" s="67"/>
      <c r="Q14" s="1500"/>
      <c r="R14" s="1222"/>
      <c r="S14" s="1182"/>
      <c r="T14" s="4"/>
    </row>
    <row r="15" spans="1:20" ht="13.5" thickBot="1">
      <c r="A15" s="4"/>
      <c r="B15" s="4"/>
      <c r="C15" s="160"/>
      <c r="D15" s="4"/>
      <c r="E15" s="4"/>
      <c r="F15" s="4"/>
      <c r="G15" s="4"/>
      <c r="H15" s="476">
        <v>888</v>
      </c>
      <c r="I15" s="1806">
        <v>849</v>
      </c>
      <c r="J15" s="488" t="s">
        <v>1035</v>
      </c>
      <c r="K15" s="96">
        <v>2501.681</v>
      </c>
      <c r="L15" s="1793"/>
      <c r="M15" s="1738"/>
      <c r="N15" s="1344">
        <v>889</v>
      </c>
      <c r="O15" s="1344">
        <v>8491</v>
      </c>
      <c r="P15" s="1778" t="s">
        <v>1009</v>
      </c>
      <c r="Q15" s="1321">
        <v>1469.789</v>
      </c>
      <c r="R15" s="1222" t="str">
        <f>IF(SUM(Q15+Q16)&gt;K15,"däravrader 889+891&gt;rad888",IF(AND(K15&gt;1,Q15=""),"skriv belopp eller 0",""))</f>
        <v/>
      </c>
      <c r="S15" s="1176"/>
      <c r="T15" s="4"/>
    </row>
    <row r="16" spans="1:20" ht="16.5" thickBot="1">
      <c r="A16" s="30" t="s">
        <v>712</v>
      </c>
      <c r="B16" s="4"/>
      <c r="C16" s="4"/>
      <c r="D16" s="4"/>
      <c r="E16" s="4"/>
      <c r="F16" s="4"/>
      <c r="G16" s="4"/>
      <c r="H16" s="463">
        <v>890</v>
      </c>
      <c r="I16" s="477"/>
      <c r="J16" s="454" t="s">
        <v>7</v>
      </c>
      <c r="K16" s="1512">
        <f>RR!C14</f>
        <v>24467.491000000002</v>
      </c>
      <c r="L16" s="1516"/>
      <c r="M16" s="1485"/>
      <c r="N16" s="1345">
        <v>891</v>
      </c>
      <c r="O16" s="1345"/>
      <c r="P16" s="1191" t="s">
        <v>870</v>
      </c>
      <c r="Q16" s="1322">
        <v>2.536</v>
      </c>
      <c r="R16" s="1222" t="str">
        <f>IF(AND(K15&gt;1,Q16=""),"skriv belopp eller 0","")</f>
        <v/>
      </c>
      <c r="T16" s="4"/>
    </row>
    <row r="17" spans="1:20" ht="16.5" thickBot="1">
      <c r="A17" s="30" t="s">
        <v>713</v>
      </c>
      <c r="B17" s="4"/>
      <c r="C17" s="4"/>
      <c r="D17" s="28"/>
      <c r="E17" s="4"/>
      <c r="F17" s="4"/>
      <c r="G17" s="4"/>
      <c r="H17" s="7"/>
      <c r="I17" s="1202" t="s">
        <v>991</v>
      </c>
      <c r="J17" s="112"/>
      <c r="K17" s="1202">
        <f>(K16-SUM(K8:K15))*-1</f>
        <v>-3.637978807091713E-12</v>
      </c>
      <c r="L17" s="1117"/>
      <c r="M17" s="1101"/>
      <c r="N17" s="4"/>
      <c r="O17" s="4"/>
      <c r="P17" s="4"/>
      <c r="Q17" s="4"/>
      <c r="R17" s="4"/>
      <c r="T17" s="4"/>
    </row>
    <row r="18" spans="1:20" ht="16.5" thickBot="1">
      <c r="A18" s="513" t="s">
        <v>604</v>
      </c>
      <c r="B18" s="1912" t="str">
        <f>"BAS "&amp;År-2000&amp;""</f>
        <v>BAS 25</v>
      </c>
      <c r="C18" s="685"/>
      <c r="D18" s="691"/>
      <c r="E18" s="4"/>
      <c r="F18" s="4"/>
      <c r="G18" s="4"/>
      <c r="H18" s="30" t="s">
        <v>610</v>
      </c>
      <c r="I18" s="4"/>
      <c r="J18" s="4"/>
      <c r="K18" s="4"/>
      <c r="L18" s="4"/>
      <c r="N18" s="2423"/>
      <c r="O18" s="2423"/>
      <c r="P18" s="2423"/>
      <c r="Q18" s="2424"/>
      <c r="R18" s="4"/>
      <c r="T18" s="4"/>
    </row>
    <row r="19" spans="1:20" ht="12.75">
      <c r="A19" s="515" t="s">
        <v>606</v>
      </c>
      <c r="B19" s="674"/>
      <c r="C19" s="523"/>
      <c r="D19" s="695"/>
      <c r="E19" s="4"/>
      <c r="F19" s="4"/>
      <c r="G19" s="4"/>
      <c r="H19" s="513" t="s">
        <v>604</v>
      </c>
      <c r="I19" s="1912" t="str">
        <f>"BAS "&amp;År-2000&amp;""</f>
        <v>BAS 25</v>
      </c>
      <c r="J19" s="685"/>
      <c r="K19" s="1519" t="s">
        <v>605</v>
      </c>
      <c r="L19" s="1692" t="s">
        <v>706</v>
      </c>
      <c r="M19" s="1176"/>
      <c r="N19" s="2423"/>
      <c r="O19" s="2423"/>
      <c r="P19" s="2423"/>
      <c r="Q19" s="2424"/>
      <c r="S19" s="350"/>
      <c r="T19" s="4"/>
    </row>
    <row r="20" spans="1:20" s="157" customFormat="1" ht="15">
      <c r="A20" s="715"/>
      <c r="B20" s="676"/>
      <c r="C20" s="508"/>
      <c r="D20" s="696"/>
      <c r="E20" s="63"/>
      <c r="F20" s="63"/>
      <c r="G20" s="63"/>
      <c r="H20" s="515" t="s">
        <v>606</v>
      </c>
      <c r="I20" s="697"/>
      <c r="J20" s="686"/>
      <c r="K20" s="1520" t="s">
        <v>1248</v>
      </c>
      <c r="L20" s="1693" t="s">
        <v>1248</v>
      </c>
      <c r="M20" s="77"/>
      <c r="Q20" s="63"/>
      <c r="S20" s="77"/>
      <c r="T20" s="63"/>
    </row>
    <row r="21" spans="1:20" s="157" customFormat="1" ht="14.85" customHeight="1">
      <c r="A21" s="465">
        <v>711</v>
      </c>
      <c r="B21" s="572">
        <v>821</v>
      </c>
      <c r="C21" s="473" t="s">
        <v>687</v>
      </c>
      <c r="D21" s="290">
        <v>103624</v>
      </c>
      <c r="E21" s="63"/>
      <c r="F21" s="1748"/>
      <c r="G21" s="1631"/>
      <c r="H21" s="698"/>
      <c r="I21" s="699"/>
      <c r="J21" s="687"/>
      <c r="K21" s="1517"/>
      <c r="L21" s="700"/>
      <c r="M21" s="14"/>
      <c r="N21" s="160"/>
      <c r="O21" s="160"/>
      <c r="P21" s="160"/>
      <c r="Q21" s="4"/>
      <c r="S21" s="14"/>
      <c r="T21" s="63"/>
    </row>
    <row r="22" spans="1:20" ht="14.85" customHeight="1">
      <c r="A22" s="465">
        <v>713</v>
      </c>
      <c r="B22" s="572">
        <v>822</v>
      </c>
      <c r="C22" s="473" t="s">
        <v>688</v>
      </c>
      <c r="D22" s="290">
        <v>1128</v>
      </c>
      <c r="E22" s="4"/>
      <c r="G22" s="1631"/>
      <c r="H22" s="465">
        <v>900</v>
      </c>
      <c r="I22" s="479">
        <v>852</v>
      </c>
      <c r="J22" s="468" t="s">
        <v>743</v>
      </c>
      <c r="K22" s="372">
        <v>18068.743999999999</v>
      </c>
      <c r="L22" s="88">
        <v>21243.456999999999</v>
      </c>
      <c r="M22" s="1738"/>
      <c r="N22" s="1176"/>
      <c r="O22" s="67"/>
      <c r="P22" s="217"/>
      <c r="Q22" s="112"/>
      <c r="S22" s="1197"/>
      <c r="T22" s="4"/>
    </row>
    <row r="23" spans="1:20" ht="14.85" customHeight="1">
      <c r="A23" s="465">
        <v>715</v>
      </c>
      <c r="B23" s="572">
        <v>823</v>
      </c>
      <c r="C23" s="473" t="s">
        <v>689</v>
      </c>
      <c r="D23" s="290">
        <v>0</v>
      </c>
      <c r="G23" s="1631"/>
      <c r="H23" s="465">
        <v>910</v>
      </c>
      <c r="I23" s="475">
        <v>853</v>
      </c>
      <c r="J23" s="468" t="s">
        <v>1162</v>
      </c>
      <c r="K23" s="372">
        <v>2827.652</v>
      </c>
      <c r="L23" s="89">
        <v>2641.663</v>
      </c>
      <c r="M23" s="1738"/>
      <c r="N23" s="4"/>
      <c r="O23" s="4"/>
      <c r="P23" s="4"/>
      <c r="Q23" s="4"/>
      <c r="S23" s="1182"/>
      <c r="T23" s="4"/>
    </row>
    <row r="24" spans="1:20" ht="14.85" customHeight="1">
      <c r="A24" s="465">
        <v>717</v>
      </c>
      <c r="B24" s="572">
        <v>824</v>
      </c>
      <c r="C24" s="473" t="s">
        <v>690</v>
      </c>
      <c r="D24" s="290">
        <v>28026</v>
      </c>
      <c r="G24" s="1631"/>
      <c r="H24" s="465">
        <v>920</v>
      </c>
      <c r="I24" s="2071">
        <v>855</v>
      </c>
      <c r="J24" s="2027" t="s">
        <v>1185</v>
      </c>
      <c r="K24" s="372">
        <v>88.081000000000003</v>
      </c>
      <c r="L24" s="801"/>
      <c r="M24" s="1738"/>
      <c r="N24" s="4"/>
      <c r="O24" s="4"/>
      <c r="P24" s="4"/>
      <c r="Q24" s="4"/>
      <c r="S24" s="1197"/>
      <c r="T24" s="4"/>
    </row>
    <row r="25" spans="1:20" ht="14.85" customHeight="1">
      <c r="A25" s="465">
        <v>719</v>
      </c>
      <c r="B25" s="572">
        <v>825</v>
      </c>
      <c r="C25" s="473" t="s">
        <v>691</v>
      </c>
      <c r="D25" s="290">
        <v>11578</v>
      </c>
      <c r="F25" s="2425" t="s">
        <v>1084</v>
      </c>
      <c r="G25" s="2426"/>
      <c r="H25" s="465">
        <v>985</v>
      </c>
      <c r="I25" s="475">
        <v>8581</v>
      </c>
      <c r="J25" s="468" t="s">
        <v>714</v>
      </c>
      <c r="K25" s="372">
        <v>4.2380000000000004</v>
      </c>
      <c r="L25" s="801"/>
      <c r="M25" s="1738"/>
      <c r="N25" s="1176"/>
      <c r="O25" s="1176"/>
      <c r="P25" s="67"/>
      <c r="Q25" s="212"/>
      <c r="S25" s="1182"/>
      <c r="T25" s="4"/>
    </row>
    <row r="26" spans="1:20" ht="14.85" customHeight="1">
      <c r="A26" s="465">
        <v>785</v>
      </c>
      <c r="B26" s="572">
        <v>826</v>
      </c>
      <c r="C26" s="473" t="s">
        <v>692</v>
      </c>
      <c r="D26" s="290">
        <v>6128</v>
      </c>
      <c r="E26" s="1743"/>
      <c r="F26" s="2425"/>
      <c r="G26" s="2426"/>
      <c r="H26" s="465">
        <v>996</v>
      </c>
      <c r="I26" s="475">
        <v>8582</v>
      </c>
      <c r="J26" s="468" t="s">
        <v>715</v>
      </c>
      <c r="K26" s="372">
        <v>86.813999999999993</v>
      </c>
      <c r="L26" s="801"/>
      <c r="M26" s="1738"/>
      <c r="N26" s="1176"/>
      <c r="O26" s="1176"/>
      <c r="P26" s="67"/>
      <c r="Q26" s="212"/>
      <c r="S26" s="1182"/>
      <c r="T26" s="4"/>
    </row>
    <row r="27" spans="1:20" ht="14.85" customHeight="1">
      <c r="A27" s="465">
        <v>740</v>
      </c>
      <c r="B27" s="475">
        <v>829</v>
      </c>
      <c r="C27" s="2031" t="s">
        <v>1205</v>
      </c>
      <c r="D27" s="189">
        <v>2374.2350000000001</v>
      </c>
      <c r="E27" s="1753"/>
      <c r="F27" s="2425"/>
      <c r="G27" s="2426"/>
      <c r="H27" s="469">
        <v>984</v>
      </c>
      <c r="I27" s="475">
        <v>851</v>
      </c>
      <c r="J27" s="468" t="s">
        <v>1163</v>
      </c>
      <c r="K27" s="372">
        <v>545.17999999999995</v>
      </c>
      <c r="L27" s="89">
        <v>233.572</v>
      </c>
      <c r="M27" s="1738"/>
      <c r="N27" s="1176"/>
      <c r="O27" s="1176"/>
      <c r="P27" s="67"/>
      <c r="Q27" s="212"/>
      <c r="S27" s="1182"/>
      <c r="T27" s="4"/>
    </row>
    <row r="28" spans="1:20" ht="20.25" customHeight="1" thickBot="1">
      <c r="A28" s="476">
        <v>750</v>
      </c>
      <c r="B28" s="477">
        <v>82</v>
      </c>
      <c r="C28" s="1192" t="s">
        <v>693</v>
      </c>
      <c r="D28" s="287">
        <f>SUM(D21:D27)</f>
        <v>152858.23499999999</v>
      </c>
      <c r="E28" s="1737"/>
      <c r="G28" s="1852"/>
      <c r="H28" s="2093">
        <v>992</v>
      </c>
      <c r="I28" s="2091">
        <v>856</v>
      </c>
      <c r="J28" s="468" t="s">
        <v>1037</v>
      </c>
      <c r="K28" s="372">
        <v>1808.6769999999999</v>
      </c>
      <c r="L28" s="801"/>
      <c r="M28" s="1738"/>
      <c r="N28" s="1176"/>
      <c r="O28" s="1176"/>
      <c r="P28" s="67"/>
      <c r="Q28" s="212"/>
      <c r="S28" s="1198"/>
      <c r="T28" s="4"/>
    </row>
    <row r="29" spans="1:20" ht="18" customHeight="1" thickBot="1">
      <c r="A29" s="4"/>
      <c r="B29" s="4"/>
      <c r="C29" s="4"/>
      <c r="D29" s="4"/>
      <c r="E29" s="1754"/>
      <c r="G29" s="1852"/>
      <c r="H29" s="2094">
        <v>998</v>
      </c>
      <c r="I29" s="2092">
        <v>859</v>
      </c>
      <c r="J29" s="1196" t="s">
        <v>1036</v>
      </c>
      <c r="K29" s="1518">
        <v>1378.0060000000001</v>
      </c>
      <c r="L29" s="1827"/>
      <c r="M29" s="1738"/>
      <c r="N29" s="4"/>
      <c r="O29" s="4"/>
      <c r="P29" s="4"/>
      <c r="Q29" s="4"/>
      <c r="S29" s="1176"/>
      <c r="T29" s="4"/>
    </row>
    <row r="30" spans="1:20" ht="21" customHeight="1" thickBot="1">
      <c r="A30" s="4"/>
      <c r="B30" s="4"/>
      <c r="C30" s="4"/>
      <c r="D30" s="4"/>
      <c r="E30" s="1755"/>
      <c r="F30" s="1989"/>
      <c r="G30" s="1989"/>
      <c r="H30" s="463">
        <v>990</v>
      </c>
      <c r="I30" s="481"/>
      <c r="J30" s="482" t="s">
        <v>8</v>
      </c>
      <c r="K30" s="1313">
        <f>RR!C15</f>
        <v>24807.392</v>
      </c>
      <c r="L30" s="15"/>
      <c r="N30" s="4"/>
      <c r="O30" s="4"/>
      <c r="P30" s="4"/>
      <c r="Q30" s="4"/>
      <c r="R30" s="4"/>
      <c r="T30" s="4"/>
    </row>
    <row r="31" spans="1:20" ht="16.5" customHeight="1" thickBot="1">
      <c r="A31" s="30" t="s">
        <v>886</v>
      </c>
      <c r="B31" s="4"/>
      <c r="C31" s="4"/>
      <c r="D31" s="28"/>
      <c r="F31" s="1989"/>
      <c r="G31" s="1989"/>
      <c r="H31" s="4"/>
      <c r="I31" s="1203" t="s">
        <v>784</v>
      </c>
      <c r="J31" s="112"/>
      <c r="K31" s="1496">
        <f>(K30-SUM(K22:K29))*-1</f>
        <v>0</v>
      </c>
      <c r="L31" s="1117"/>
      <c r="M31" s="1117"/>
      <c r="N31" s="4"/>
      <c r="O31" s="4"/>
      <c r="P31" s="4"/>
      <c r="Q31" s="4"/>
      <c r="R31" s="4"/>
      <c r="T31" s="4"/>
    </row>
    <row r="32" spans="1:20" ht="12.75">
      <c r="A32" s="513" t="s">
        <v>604</v>
      </c>
      <c r="B32" s="1912" t="str">
        <f>"BAS "&amp;År-2000&amp;""</f>
        <v>BAS 25</v>
      </c>
      <c r="C32" s="685"/>
      <c r="D32" s="691"/>
      <c r="F32" s="1989"/>
      <c r="G32" s="1989"/>
      <c r="H32" s="4"/>
      <c r="I32" s="4"/>
      <c r="J32" s="4"/>
      <c r="K32" s="4"/>
      <c r="L32" s="4"/>
      <c r="M32" s="4"/>
      <c r="N32" s="4"/>
      <c r="O32" s="4"/>
      <c r="P32" s="4"/>
      <c r="Q32" s="4"/>
      <c r="R32" s="4"/>
      <c r="S32" s="4"/>
      <c r="T32" s="4"/>
    </row>
    <row r="33" spans="1:20" ht="12.75">
      <c r="A33" s="515" t="s">
        <v>606</v>
      </c>
      <c r="B33" s="674"/>
      <c r="C33" s="523"/>
      <c r="D33" s="695"/>
      <c r="E33" s="4"/>
      <c r="F33" s="1989"/>
      <c r="G33" s="1989"/>
      <c r="H33" s="4"/>
      <c r="I33" s="4"/>
      <c r="J33" s="4"/>
      <c r="K33" s="4"/>
      <c r="L33" s="4"/>
      <c r="M33" s="4"/>
      <c r="N33" s="4"/>
      <c r="O33" s="4"/>
      <c r="P33" s="4"/>
      <c r="Q33" s="4"/>
      <c r="R33" s="4"/>
      <c r="S33" s="4"/>
      <c r="T33" s="4"/>
    </row>
    <row r="34" spans="1:20" ht="15">
      <c r="A34" s="715"/>
      <c r="B34" s="676"/>
      <c r="C34" s="508"/>
      <c r="D34" s="696"/>
      <c r="E34" s="4"/>
      <c r="F34" s="1989"/>
      <c r="G34" s="1989"/>
      <c r="H34" s="1989"/>
      <c r="I34" s="1989"/>
      <c r="J34" s="1989"/>
      <c r="K34" s="1989"/>
      <c r="L34" s="4"/>
      <c r="M34" s="4"/>
      <c r="R34" s="4"/>
      <c r="S34" s="4"/>
      <c r="T34" s="4"/>
    </row>
    <row r="35" spans="1:20" ht="14.85" customHeight="1">
      <c r="A35" s="663">
        <v>760</v>
      </c>
      <c r="B35" s="479">
        <v>831</v>
      </c>
      <c r="C35" s="480" t="s">
        <v>682</v>
      </c>
      <c r="D35" s="290">
        <v>13385</v>
      </c>
      <c r="E35" s="4"/>
      <c r="F35" s="4"/>
      <c r="G35" s="4"/>
      <c r="H35" s="1989"/>
      <c r="I35" s="1989"/>
      <c r="J35" s="1989"/>
      <c r="K35" s="1989"/>
      <c r="L35" s="1159"/>
    </row>
    <row r="36" spans="1:20" ht="14.85" customHeight="1">
      <c r="A36" s="663">
        <v>770</v>
      </c>
      <c r="B36" s="479">
        <v>834</v>
      </c>
      <c r="C36" s="480" t="s">
        <v>683</v>
      </c>
      <c r="D36" s="290">
        <v>0</v>
      </c>
      <c r="E36" s="4"/>
      <c r="F36" s="4"/>
      <c r="G36" s="4"/>
      <c r="H36" s="1989"/>
      <c r="I36" s="1989"/>
      <c r="J36" s="1989"/>
      <c r="K36" s="1989"/>
      <c r="L36" s="1159"/>
      <c r="N36" s="4"/>
      <c r="O36" s="4"/>
      <c r="P36" s="4"/>
      <c r="Q36" s="4"/>
    </row>
    <row r="37" spans="1:20" ht="14.85" customHeight="1">
      <c r="A37" s="663">
        <v>780</v>
      </c>
      <c r="B37" s="479">
        <v>835</v>
      </c>
      <c r="C37" s="480" t="s">
        <v>684</v>
      </c>
      <c r="D37" s="291">
        <v>11458</v>
      </c>
      <c r="E37" s="4"/>
      <c r="F37" s="4"/>
      <c r="G37" s="4"/>
      <c r="H37" s="1989"/>
      <c r="I37" s="1989"/>
      <c r="J37" s="1989"/>
      <c r="K37" s="1989"/>
      <c r="L37" s="1159"/>
      <c r="M37" s="4"/>
      <c r="N37" s="4"/>
      <c r="O37" s="4"/>
      <c r="P37" s="4"/>
      <c r="Q37" s="4"/>
      <c r="R37" s="4"/>
      <c r="S37" s="4"/>
      <c r="T37" s="4"/>
    </row>
    <row r="38" spans="1:20" ht="14.85" customHeight="1">
      <c r="A38" s="663">
        <v>786</v>
      </c>
      <c r="B38" s="479">
        <v>836</v>
      </c>
      <c r="C38" s="480" t="s">
        <v>685</v>
      </c>
      <c r="D38" s="291">
        <v>6128</v>
      </c>
      <c r="E38" s="4"/>
      <c r="F38" s="4"/>
      <c r="G38" s="4"/>
      <c r="H38" s="1989"/>
      <c r="I38" s="1989"/>
      <c r="J38" s="1989"/>
      <c r="K38" s="1989"/>
      <c r="L38" s="1159"/>
      <c r="M38" s="4"/>
      <c r="N38" s="4"/>
      <c r="O38" s="4"/>
      <c r="P38" s="4"/>
      <c r="Q38" s="4"/>
      <c r="R38" s="4"/>
      <c r="S38" s="4"/>
      <c r="T38" s="4"/>
    </row>
    <row r="39" spans="1:20" ht="14.85" customHeight="1" thickBot="1">
      <c r="A39" s="664">
        <v>790</v>
      </c>
      <c r="B39" s="701"/>
      <c r="C39" s="1193" t="s">
        <v>686</v>
      </c>
      <c r="D39" s="288">
        <f>SUM(D35:D38)</f>
        <v>30971</v>
      </c>
      <c r="E39" s="28"/>
      <c r="F39" s="4"/>
      <c r="G39" s="4"/>
      <c r="H39" s="4"/>
      <c r="I39" s="4"/>
      <c r="J39" s="4"/>
      <c r="K39" s="4"/>
      <c r="L39" s="4"/>
      <c r="M39" s="4"/>
      <c r="N39" s="4"/>
      <c r="O39" s="4"/>
      <c r="P39" s="4"/>
      <c r="Q39" s="4"/>
      <c r="R39" s="4"/>
      <c r="S39" s="4"/>
      <c r="T39" s="4"/>
    </row>
    <row r="40" spans="1:20" ht="14.85" customHeight="1" thickBot="1">
      <c r="A40" s="194"/>
      <c r="B40" s="13"/>
      <c r="C40" s="14"/>
      <c r="D40" s="15"/>
      <c r="E40" s="28"/>
      <c r="F40" s="4"/>
      <c r="G40" s="4"/>
      <c r="H40" s="4"/>
      <c r="I40" s="4"/>
      <c r="J40" s="4"/>
      <c r="K40" s="4"/>
      <c r="L40" s="4"/>
      <c r="M40" s="4"/>
      <c r="N40" s="4"/>
      <c r="O40" s="4"/>
      <c r="P40" s="4"/>
      <c r="Q40" s="4"/>
      <c r="R40" s="4"/>
      <c r="S40" s="4"/>
      <c r="T40" s="4"/>
    </row>
    <row r="41" spans="1:20" ht="14.85" customHeight="1" thickBot="1">
      <c r="A41" s="672">
        <v>765</v>
      </c>
      <c r="B41" s="702">
        <v>828</v>
      </c>
      <c r="C41" s="1194" t="s">
        <v>741</v>
      </c>
      <c r="D41" s="195">
        <v>24996.987000000001</v>
      </c>
      <c r="E41" s="1892" t="str">
        <f>IF(OR(D41="",D41=0),"Kontrollera Kommunal fastighetsavgift","")</f>
        <v/>
      </c>
      <c r="F41" s="4"/>
      <c r="G41" s="4"/>
      <c r="H41" s="4"/>
      <c r="I41" s="4"/>
      <c r="J41" s="4"/>
      <c r="K41" s="4"/>
      <c r="L41" s="4"/>
      <c r="M41" s="4"/>
      <c r="N41" s="4"/>
      <c r="O41" s="4"/>
      <c r="P41" s="4"/>
      <c r="Q41" s="4"/>
      <c r="R41" s="4"/>
      <c r="S41" s="4"/>
      <c r="T41" s="4"/>
    </row>
    <row r="42" spans="1:20" ht="12.75">
      <c r="A42" s="4"/>
      <c r="B42" s="4"/>
      <c r="C42" s="4"/>
      <c r="D42" s="4"/>
      <c r="E42" s="4"/>
      <c r="F42" s="4"/>
      <c r="G42" s="4"/>
      <c r="H42" s="4"/>
      <c r="I42" s="4"/>
      <c r="J42" s="4"/>
      <c r="K42" s="4"/>
      <c r="L42" s="4"/>
      <c r="M42" s="4"/>
      <c r="N42" s="4"/>
      <c r="O42" s="4"/>
      <c r="P42" s="4"/>
      <c r="Q42" s="4"/>
      <c r="R42" s="4"/>
      <c r="S42" s="4"/>
      <c r="T42" s="4"/>
    </row>
    <row r="43" spans="1:20" ht="12.75">
      <c r="A43" s="4"/>
      <c r="B43" s="4"/>
      <c r="C43" s="4"/>
      <c r="D43" s="4"/>
      <c r="E43" s="4"/>
      <c r="F43" s="4"/>
      <c r="G43" s="4"/>
      <c r="H43" s="4"/>
      <c r="I43" s="4"/>
      <c r="J43" s="4"/>
      <c r="K43" s="4"/>
      <c r="L43" s="4"/>
      <c r="M43" s="4"/>
      <c r="N43" s="4"/>
      <c r="O43" s="4"/>
      <c r="P43" s="4"/>
      <c r="Q43" s="4"/>
      <c r="R43" s="4"/>
      <c r="S43" s="4"/>
      <c r="T43" s="4"/>
    </row>
    <row r="44" spans="1:20" ht="12.75" hidden="1">
      <c r="A44" s="4"/>
      <c r="B44" s="4"/>
      <c r="C44" s="4"/>
      <c r="D44" s="4"/>
      <c r="E44" s="4"/>
      <c r="H44" s="4"/>
      <c r="I44" s="4"/>
      <c r="J44" s="4"/>
      <c r="K44" s="4"/>
      <c r="L44" s="4"/>
      <c r="M44" s="4"/>
      <c r="R44" s="4"/>
      <c r="S44" s="4"/>
      <c r="T44" s="4"/>
    </row>
    <row r="45" spans="1:20" ht="12.75" hidden="1" customHeight="1"/>
    <row r="49" customFormat="1" ht="0" hidden="1" customHeight="1"/>
    <row r="50" customFormat="1" ht="0" hidden="1" customHeight="1"/>
    <row r="51" customFormat="1" ht="0" hidden="1" customHeight="1"/>
    <row r="52" customFormat="1" ht="0" hidden="1" customHeight="1"/>
    <row r="53" customFormat="1" ht="0" hidden="1" customHeight="1"/>
    <row r="54" customFormat="1" ht="0" hidden="1" customHeight="1"/>
    <row r="55" customFormat="1" ht="0" hidden="1" customHeight="1"/>
    <row r="56" customFormat="1" ht="0" hidden="1" customHeight="1"/>
    <row r="57" customFormat="1" ht="0" hidden="1" customHeight="1"/>
    <row r="58" customFormat="1" ht="0" hidden="1" customHeight="1"/>
    <row r="59" customFormat="1" ht="0" hidden="1" customHeight="1"/>
    <row r="60" customFormat="1" ht="0" hidden="1" customHeight="1"/>
    <row r="61" customFormat="1" ht="0" hidden="1" customHeight="1"/>
    <row r="62" customFormat="1" ht="0" hidden="1" customHeight="1"/>
    <row r="63" customFormat="1" ht="0" hidden="1" customHeight="1"/>
  </sheetData>
  <mergeCells count="2">
    <mergeCell ref="N18:Q19"/>
    <mergeCell ref="F25:G27"/>
  </mergeCells>
  <conditionalFormatting sqref="F21">
    <cfRule type="expression" dxfId="122" priority="20">
      <formula>G27&gt;0</formula>
    </cfRule>
  </conditionalFormatting>
  <conditionalFormatting sqref="F25:G27">
    <cfRule type="expression" dxfId="121" priority="10" stopIfTrue="1">
      <formula>(D27)&lt;10</formula>
    </cfRule>
  </conditionalFormatting>
  <conditionalFormatting sqref="G28:G29">
    <cfRule type="cellIs" dxfId="120" priority="1" stopIfTrue="1" operator="lessThan">
      <formula>0</formula>
    </cfRule>
  </conditionalFormatting>
  <conditionalFormatting sqref="I17">
    <cfRule type="expression" dxfId="119" priority="16" stopIfTrue="1">
      <formula>ABS(K17)&gt;100</formula>
    </cfRule>
  </conditionalFormatting>
  <conditionalFormatting sqref="I31">
    <cfRule type="expression" dxfId="118" priority="14" stopIfTrue="1">
      <formula>ABS(K31)&gt;100</formula>
    </cfRule>
  </conditionalFormatting>
  <conditionalFormatting sqref="K8:L15 D27 D41">
    <cfRule type="cellIs" dxfId="117" priority="19" stopIfTrue="1" operator="lessThan">
      <formula>-500</formula>
    </cfRule>
  </conditionalFormatting>
  <conditionalFormatting sqref="K17:L17">
    <cfRule type="expression" dxfId="116" priority="15" stopIfTrue="1">
      <formula>ABS(K17)&gt;100</formula>
    </cfRule>
  </conditionalFormatting>
  <conditionalFormatting sqref="K22:L29">
    <cfRule type="cellIs" dxfId="115" priority="17" stopIfTrue="1" operator="lessThan">
      <formula>-500</formula>
    </cfRule>
  </conditionalFormatting>
  <conditionalFormatting sqref="K31:L31">
    <cfRule type="expression" dxfId="114" priority="13" stopIfTrue="1">
      <formula>ABS(K31)&gt;100</formula>
    </cfRule>
  </conditionalFormatting>
  <conditionalFormatting sqref="Q8">
    <cfRule type="cellIs" dxfId="113" priority="12" stopIfTrue="1" operator="lessThan">
      <formula>-500</formula>
    </cfRule>
  </conditionalFormatting>
  <conditionalFormatting sqref="Q12:Q16">
    <cfRule type="cellIs" dxfId="112" priority="3" stopIfTrue="1" operator="lessThan">
      <formula>-500</formula>
    </cfRule>
  </conditionalFormatting>
  <conditionalFormatting sqref="Q25:Q28">
    <cfRule type="cellIs" dxfId="111" priority="2" stopIfTrue="1" operator="lessThan">
      <formula>-500</formula>
    </cfRule>
  </conditionalFormatting>
  <dataValidations count="1">
    <dataValidation type="decimal" operator="lessThan" allowBlank="1" showInputMessage="1" showErrorMessage="1" error="Beloppet ska vara i 1000 tal kronor" sqref="K22:L29 D27 D11:D12 D41 G28:G29 Q8 K8:L15 Q25:Q28 Q12:Q16" xr:uid="{00000000-0002-0000-0400-000000000000}">
      <formula1>99999999</formula1>
    </dataValidation>
  </dataValidations>
  <pageMargins left="0.70866141732283472" right="0.70866141732283472" top="0.74803149606299213" bottom="0.15748031496062992" header="0.31496062992125984" footer="0.31496062992125984"/>
  <pageSetup paperSize="9" scale="80" orientation="landscape" r:id="rId1"/>
  <headerFooter>
    <oddHeader>&amp;L&amp;8Statistiska Centralbyrån
Offentlig ekonomi&amp;R&amp;P</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FFFF00"/>
    <pageSetUpPr fitToPage="1"/>
  </sheetPr>
  <dimension ref="A1:M119"/>
  <sheetViews>
    <sheetView showGridLines="0" zoomScaleNormal="100" workbookViewId="0">
      <pane ySplit="1" topLeftCell="A2" activePane="bottomLeft" state="frozen"/>
      <selection activeCell="F36" sqref="F36"/>
      <selection pane="bottomLeft"/>
    </sheetView>
  </sheetViews>
  <sheetFormatPr defaultColWidth="0" defaultRowHeight="12.75" zeroHeight="1"/>
  <cols>
    <col min="1" max="1" width="4" style="1" customWidth="1"/>
    <col min="2" max="2" width="33.5703125" style="1" customWidth="1"/>
    <col min="3" max="8" width="11.42578125" style="1" customWidth="1"/>
    <col min="9" max="9" width="34" style="67" customWidth="1"/>
    <col min="10" max="10" width="39.5703125" style="1" customWidth="1"/>
    <col min="11" max="11" width="19.85546875" style="1" customWidth="1"/>
    <col min="12" max="12" width="4.42578125" customWidth="1"/>
    <col min="13" max="13" width="3" customWidth="1"/>
    <col min="14" max="16384" width="9.42578125" hidden="1"/>
  </cols>
  <sheetData>
    <row r="1" spans="1:13" s="196" customFormat="1" ht="20.25">
      <c r="A1" s="65" t="str">
        <f>"Investeringsredovisning "&amp;År&amp;", miljoner kr"</f>
        <v>Investeringsredovisning 2025, miljoner kr</v>
      </c>
      <c r="B1" s="82"/>
      <c r="C1" s="82"/>
      <c r="D1" s="82"/>
      <c r="E1" s="83"/>
      <c r="F1" s="83"/>
      <c r="G1" s="431" t="s">
        <v>446</v>
      </c>
      <c r="H1" s="432" t="str">
        <f>Information!A2</f>
        <v>RIKSTOTAL</v>
      </c>
      <c r="I1" s="141"/>
      <c r="J1" s="84">
        <v>1</v>
      </c>
      <c r="K1" s="84"/>
      <c r="L1" s="84"/>
      <c r="M1" s="84"/>
    </row>
    <row r="2" spans="1:13" s="196" customFormat="1" ht="12.75" customHeight="1">
      <c r="A2" s="1989"/>
      <c r="B2" s="1989"/>
      <c r="C2" s="1989"/>
      <c r="D2" s="1989"/>
      <c r="E2" s="1989"/>
      <c r="F2" s="1989"/>
      <c r="G2" s="1989"/>
      <c r="H2" s="1989"/>
      <c r="I2" s="1989"/>
      <c r="J2" s="1989"/>
      <c r="K2" s="1989"/>
      <c r="L2" s="1989"/>
      <c r="M2" s="1989"/>
    </row>
    <row r="3" spans="1:13" s="196" customFormat="1" ht="12.75" customHeight="1" thickBot="1">
      <c r="A3" s="1989"/>
      <c r="B3" s="1989"/>
      <c r="C3" s="1989"/>
      <c r="D3" s="1989"/>
      <c r="E3" s="1989"/>
      <c r="F3" s="1989"/>
      <c r="G3" s="1989"/>
      <c r="H3" s="1989"/>
      <c r="I3" s="1989"/>
      <c r="J3" s="1989"/>
      <c r="K3" s="1989"/>
      <c r="L3" s="1989"/>
      <c r="M3" s="1989"/>
    </row>
    <row r="4" spans="1:13" s="196" customFormat="1" ht="43.5" customHeight="1">
      <c r="A4" s="703" t="s">
        <v>464</v>
      </c>
      <c r="B4" s="704"/>
      <c r="C4" s="2427" t="s">
        <v>1166</v>
      </c>
      <c r="D4" s="2427" t="s">
        <v>938</v>
      </c>
      <c r="E4" s="2427" t="s">
        <v>1167</v>
      </c>
      <c r="F4" s="1525" t="s">
        <v>939</v>
      </c>
      <c r="G4" s="1695" t="s">
        <v>940</v>
      </c>
      <c r="H4" s="1696" t="s">
        <v>1168</v>
      </c>
      <c r="I4" s="57"/>
      <c r="J4" s="37"/>
      <c r="K4" s="197"/>
      <c r="L4" s="197"/>
    </row>
    <row r="5" spans="1:13" s="196" customFormat="1" ht="39.75" customHeight="1">
      <c r="A5" s="705"/>
      <c r="B5" s="706"/>
      <c r="C5" s="2428"/>
      <c r="D5" s="2428"/>
      <c r="E5" s="2428"/>
      <c r="F5" s="1526" t="s">
        <v>744</v>
      </c>
      <c r="G5" s="1527"/>
      <c r="H5" s="1524"/>
      <c r="I5" s="76"/>
      <c r="J5" s="1179"/>
      <c r="K5" s="197"/>
      <c r="L5" s="197"/>
    </row>
    <row r="6" spans="1:13" s="199" customFormat="1" ht="19.5" customHeight="1">
      <c r="A6" s="494" t="s">
        <v>469</v>
      </c>
      <c r="B6" s="495" t="s">
        <v>358</v>
      </c>
      <c r="C6" s="280">
        <v>831890.05500000005</v>
      </c>
      <c r="D6" s="280">
        <v>42556.483</v>
      </c>
      <c r="E6" s="280">
        <v>396752.97700000001</v>
      </c>
      <c r="F6" s="1528">
        <v>92440.089000000007</v>
      </c>
      <c r="G6" s="1529">
        <v>1849664.1610000001</v>
      </c>
      <c r="H6" s="1136">
        <v>48025.620999999999</v>
      </c>
      <c r="I6" s="1844"/>
      <c r="J6" s="1179"/>
      <c r="K6" s="198"/>
      <c r="L6" s="198"/>
    </row>
    <row r="7" spans="1:13" s="199" customFormat="1" ht="19.5" customHeight="1">
      <c r="A7" s="496" t="s">
        <v>470</v>
      </c>
      <c r="B7" s="2095" t="s">
        <v>861</v>
      </c>
      <c r="C7" s="202">
        <v>88103.64</v>
      </c>
      <c r="D7" s="203">
        <v>10627.65</v>
      </c>
      <c r="E7" s="204">
        <v>4163.66</v>
      </c>
      <c r="F7" s="1530">
        <v>2660.1</v>
      </c>
      <c r="G7" s="1593">
        <v>194163.198</v>
      </c>
      <c r="H7" s="1633">
        <v>3914.0810000000001</v>
      </c>
      <c r="I7" s="1739"/>
      <c r="J7" s="1845" t="str">
        <f>IFERROR(IF(AND(I6&lt;1.5,I6&gt;0.5),"Kontrollera beloppet i kol E. OBS! Internbankens nyupplåning för vidareutlåning ska inte ingå här utan på rad 994, Övriga förändringar",""),IF(F7&gt;E7,"Rad 987: därav-Kol.F&gt;Kol.E",IF(SUM(C7+D7)&gt;G7,"Koncern kol G, borde vara större än kommunen, kol C+D","")))</f>
        <v/>
      </c>
      <c r="K7" s="198"/>
      <c r="L7" s="198"/>
    </row>
    <row r="8" spans="1:13" s="199" customFormat="1" ht="17.25" customHeight="1">
      <c r="A8" s="498" t="s">
        <v>471</v>
      </c>
      <c r="B8" s="497" t="s">
        <v>967</v>
      </c>
      <c r="C8" s="202">
        <v>-3089.4290000000001</v>
      </c>
      <c r="D8" s="203">
        <v>-295.178</v>
      </c>
      <c r="E8" s="204">
        <v>-819.56299999999999</v>
      </c>
      <c r="F8" s="1530">
        <v>-653.81200000000001</v>
      </c>
      <c r="G8" s="1593">
        <v>-6540.5410000000002</v>
      </c>
      <c r="H8" s="1633">
        <v>-3885.0430000000001</v>
      </c>
      <c r="I8" s="1174"/>
      <c r="J8" s="1788" t="str">
        <f>IF(F8&lt;E8,"Rad 988: därav-kol.F&lt;Kol.E","")</f>
        <v/>
      </c>
      <c r="K8" s="198"/>
      <c r="L8" s="198"/>
    </row>
    <row r="9" spans="1:13" s="199" customFormat="1" ht="20.25" customHeight="1">
      <c r="A9" s="498" t="s">
        <v>472</v>
      </c>
      <c r="B9" s="497" t="s">
        <v>481</v>
      </c>
      <c r="C9" s="256">
        <v>1378.0719999999999</v>
      </c>
      <c r="D9" s="203">
        <v>158.81100000000001</v>
      </c>
      <c r="E9" s="204">
        <v>168.858</v>
      </c>
      <c r="F9" s="1530">
        <v>121.53100000000001</v>
      </c>
      <c r="G9" s="1593">
        <v>1506.614</v>
      </c>
      <c r="H9" s="1633">
        <v>195.416</v>
      </c>
      <c r="I9" s="1739"/>
      <c r="J9" s="1101" t="str">
        <f>IF(F9&gt;E9,"Rad 989: därav-kol.F&gt;kol.E","")</f>
        <v/>
      </c>
      <c r="K9" s="198"/>
      <c r="L9" s="198"/>
    </row>
    <row r="10" spans="1:13" s="199" customFormat="1" ht="21" customHeight="1">
      <c r="A10" s="498" t="s">
        <v>346</v>
      </c>
      <c r="B10" s="497" t="s">
        <v>980</v>
      </c>
      <c r="C10" s="256">
        <v>-1150.7729999999999</v>
      </c>
      <c r="D10" s="203">
        <v>-128.673</v>
      </c>
      <c r="E10" s="204">
        <v>-50.835999999999999</v>
      </c>
      <c r="F10" s="1530">
        <v>-50.835999999999999</v>
      </c>
      <c r="G10" s="1593">
        <v>-2350.0250000000001</v>
      </c>
      <c r="H10" s="1633">
        <v>-11.648999999999999</v>
      </c>
      <c r="I10" s="1739"/>
      <c r="J10" s="1101" t="str">
        <f>IF(F10&lt;E10,"Rad 990: därav-kol.F&lt;Kol.E","")</f>
        <v/>
      </c>
      <c r="K10" s="198"/>
      <c r="L10" s="198"/>
    </row>
    <row r="11" spans="1:13" s="199" customFormat="1" ht="15" customHeight="1">
      <c r="A11" s="498" t="s">
        <v>347</v>
      </c>
      <c r="B11" s="497" t="s">
        <v>344</v>
      </c>
      <c r="C11" s="202">
        <v>-35896.586000000003</v>
      </c>
      <c r="D11" s="203">
        <v>-8210.77</v>
      </c>
      <c r="E11" s="1314">
        <v>0</v>
      </c>
      <c r="F11" s="1531">
        <v>0</v>
      </c>
      <c r="G11" s="1593">
        <v>-83749.149000000005</v>
      </c>
      <c r="H11" s="1633">
        <v>-34.332000000000001</v>
      </c>
      <c r="I11" s="1174"/>
      <c r="J11" s="1752"/>
      <c r="K11" s="198"/>
      <c r="L11" s="198"/>
    </row>
    <row r="12" spans="1:13" s="199" customFormat="1" ht="15" customHeight="1">
      <c r="A12" s="498" t="s">
        <v>348</v>
      </c>
      <c r="B12" s="497" t="s">
        <v>149</v>
      </c>
      <c r="C12" s="205">
        <v>-204.47</v>
      </c>
      <c r="D12" s="206">
        <v>-12.627000000000001</v>
      </c>
      <c r="E12" s="44">
        <v>-312.46300000000002</v>
      </c>
      <c r="F12" s="1367">
        <v>-266.79500000000002</v>
      </c>
      <c r="G12" s="1593">
        <v>-2438.384</v>
      </c>
      <c r="H12" s="1633">
        <v>-161.495</v>
      </c>
      <c r="I12" s="1101"/>
      <c r="J12" s="2433"/>
      <c r="K12" s="2434"/>
      <c r="L12" s="2434"/>
      <c r="M12" s="2434"/>
    </row>
    <row r="13" spans="1:13" s="199" customFormat="1" ht="19.5" customHeight="1">
      <c r="A13" s="499" t="s">
        <v>349</v>
      </c>
      <c r="B13" s="2095" t="s">
        <v>1098</v>
      </c>
      <c r="C13" s="202">
        <v>3926.33</v>
      </c>
      <c r="D13" s="203">
        <v>439.15</v>
      </c>
      <c r="E13" s="204">
        <v>-1306.6769999999999</v>
      </c>
      <c r="F13" s="1530">
        <v>44.600999999999999</v>
      </c>
      <c r="G13" s="1593">
        <v>533.548</v>
      </c>
      <c r="H13" s="1633">
        <v>2.3450000000000002</v>
      </c>
      <c r="I13" s="1841"/>
      <c r="J13" s="2434"/>
      <c r="K13" s="2434"/>
      <c r="L13" s="2434"/>
      <c r="M13" s="2434"/>
    </row>
    <row r="14" spans="1:13" s="199" customFormat="1" ht="13.5" customHeight="1">
      <c r="A14" s="498" t="s">
        <v>350</v>
      </c>
      <c r="B14" s="497" t="s">
        <v>345</v>
      </c>
      <c r="C14" s="202">
        <v>21261.760999999999</v>
      </c>
      <c r="D14" s="203">
        <v>110.68600000000001</v>
      </c>
      <c r="E14" s="204">
        <v>17275.721000000001</v>
      </c>
      <c r="F14" s="1530">
        <v>-104.798</v>
      </c>
      <c r="G14" s="1593">
        <v>8526.7469999999994</v>
      </c>
      <c r="H14" s="1633">
        <v>-2438.9029999999998</v>
      </c>
      <c r="I14" s="1842"/>
      <c r="J14" s="2434"/>
      <c r="K14" s="2434"/>
      <c r="L14" s="2434"/>
      <c r="M14" s="2434"/>
    </row>
    <row r="15" spans="1:13" s="199" customFormat="1" ht="12" thickBot="1">
      <c r="A15" s="500" t="s">
        <v>351</v>
      </c>
      <c r="B15" s="501" t="s">
        <v>359</v>
      </c>
      <c r="C15" s="239">
        <f>BR!D10</f>
        <v>906218.6</v>
      </c>
      <c r="D15" s="240">
        <f>BR!D11</f>
        <v>45245.531999999999</v>
      </c>
      <c r="E15" s="240">
        <f>BR!D17</f>
        <v>415871.67699999997</v>
      </c>
      <c r="F15" s="1532">
        <f>BR!D13</f>
        <v>94190.080000000002</v>
      </c>
      <c r="G15" s="1533">
        <f>BR!E12</f>
        <v>1959316.169</v>
      </c>
      <c r="H15" s="1523">
        <f>BR!E17</f>
        <v>45606.040999999997</v>
      </c>
      <c r="I15" s="1315"/>
      <c r="J15" s="2434"/>
      <c r="K15" s="2434"/>
      <c r="L15" s="2434"/>
      <c r="M15" s="2434"/>
    </row>
    <row r="16" spans="1:13" s="199" customFormat="1" ht="37.5" customHeight="1">
      <c r="A16" s="50"/>
      <c r="B16" s="49"/>
      <c r="C16" s="126"/>
      <c r="D16" s="126"/>
      <c r="E16" s="126"/>
      <c r="F16" s="126"/>
      <c r="G16" s="1594"/>
      <c r="H16" s="1117"/>
      <c r="I16" s="1989"/>
      <c r="J16" s="1989"/>
      <c r="K16" s="1989"/>
      <c r="L16" s="1989"/>
    </row>
    <row r="17" spans="1:12" ht="12.75" customHeight="1">
      <c r="A17" s="173"/>
      <c r="B17"/>
      <c r="C17" s="37"/>
      <c r="D17" s="37"/>
      <c r="E17" s="37"/>
      <c r="F17" s="37"/>
      <c r="G17" s="1592"/>
      <c r="H17" s="1592"/>
      <c r="I17" s="7"/>
      <c r="J17" s="7"/>
      <c r="K17" s="4"/>
    </row>
    <row r="18" spans="1:12" ht="25.5" customHeight="1">
      <c r="A18" s="1337" t="s">
        <v>1176</v>
      </c>
      <c r="B18" s="1336"/>
      <c r="C18" s="1336"/>
      <c r="D18" s="1336"/>
      <c r="E18" s="1336"/>
      <c r="F18" s="1336"/>
      <c r="G18" s="1336"/>
      <c r="H18" s="1336"/>
      <c r="I18" s="1336"/>
      <c r="J18" s="1336"/>
      <c r="K18" s="1336"/>
      <c r="L18" s="2389"/>
    </row>
    <row r="19" spans="1:12" ht="22.5" customHeight="1" thickBot="1">
      <c r="A19" s="1309" t="s">
        <v>1065</v>
      </c>
      <c r="B19" s="4"/>
      <c r="C19" s="51"/>
      <c r="D19" s="52"/>
      <c r="E19" s="53"/>
      <c r="F19" s="53"/>
      <c r="G19" s="53"/>
      <c r="H19" s="53"/>
      <c r="I19" s="140"/>
      <c r="J19" s="140"/>
      <c r="K19" s="53"/>
      <c r="L19" s="4"/>
    </row>
    <row r="20" spans="1:12" ht="14.25" customHeight="1">
      <c r="A20" s="707" t="s">
        <v>604</v>
      </c>
      <c r="B20" s="708" t="s">
        <v>13</v>
      </c>
      <c r="C20" s="1310" t="s">
        <v>865</v>
      </c>
      <c r="D20" s="709" t="s">
        <v>168</v>
      </c>
      <c r="E20" s="710"/>
      <c r="F20" s="710"/>
      <c r="G20" s="1646"/>
      <c r="H20" s="1647"/>
      <c r="I20" s="33"/>
      <c r="J20" s="33"/>
      <c r="K20" s="8"/>
      <c r="L20" s="4"/>
    </row>
    <row r="21" spans="1:12" ht="27.75" customHeight="1">
      <c r="A21" s="711" t="s">
        <v>606</v>
      </c>
      <c r="B21" s="675"/>
      <c r="C21" s="1311" t="s">
        <v>866</v>
      </c>
      <c r="D21" s="1308" t="s">
        <v>924</v>
      </c>
      <c r="E21" s="1308" t="s">
        <v>863</v>
      </c>
      <c r="F21" s="1634" t="s">
        <v>864</v>
      </c>
      <c r="G21" s="1648"/>
      <c r="H21" s="1649"/>
      <c r="I21" s="7"/>
      <c r="J21" s="54"/>
      <c r="K21" s="8"/>
      <c r="L21" s="4"/>
    </row>
    <row r="22" spans="1:12">
      <c r="A22" s="711"/>
      <c r="B22" s="713"/>
      <c r="C22" s="714"/>
      <c r="D22" s="712" t="s">
        <v>925</v>
      </c>
      <c r="E22" s="760" t="s">
        <v>169</v>
      </c>
      <c r="F22" s="1635" t="s">
        <v>170</v>
      </c>
      <c r="G22" s="1650"/>
      <c r="H22" s="1651"/>
      <c r="I22" s="7"/>
      <c r="J22" s="54"/>
      <c r="K22" s="8"/>
      <c r="L22" s="4"/>
    </row>
    <row r="23" spans="1:12" ht="36" customHeight="1">
      <c r="A23" s="715"/>
      <c r="B23" s="716"/>
      <c r="C23" s="717"/>
      <c r="D23" s="1410" t="s">
        <v>928</v>
      </c>
      <c r="E23" s="1411" t="s">
        <v>926</v>
      </c>
      <c r="F23" s="1636" t="s">
        <v>927</v>
      </c>
      <c r="G23" s="1652"/>
      <c r="H23" s="1355"/>
      <c r="I23" s="7"/>
      <c r="J23" s="7"/>
      <c r="K23" s="8"/>
      <c r="L23" s="4"/>
    </row>
    <row r="24" spans="1:12">
      <c r="A24" s="718"/>
      <c r="B24" s="1925" t="s">
        <v>14</v>
      </c>
      <c r="C24" s="719"/>
      <c r="D24" s="719"/>
      <c r="E24" s="719"/>
      <c r="F24" s="1637"/>
      <c r="G24" s="1653"/>
      <c r="H24" s="1654"/>
      <c r="I24" s="142"/>
      <c r="J24" s="143"/>
      <c r="K24" s="144"/>
      <c r="L24" s="144"/>
    </row>
    <row r="25" spans="1:12">
      <c r="A25" s="1715" t="s">
        <v>210</v>
      </c>
      <c r="B25" s="506" t="s">
        <v>15</v>
      </c>
      <c r="C25" s="207">
        <v>65.608999999999995</v>
      </c>
      <c r="D25" s="207">
        <v>10.927</v>
      </c>
      <c r="E25" s="207">
        <v>17.193999999999999</v>
      </c>
      <c r="F25" s="1638">
        <v>10.27</v>
      </c>
      <c r="G25" s="1662"/>
      <c r="H25" s="1655"/>
      <c r="I25" s="253"/>
      <c r="J25" s="253"/>
      <c r="K25" s="254"/>
      <c r="L25" s="112"/>
    </row>
    <row r="26" spans="1:12" ht="18.75">
      <c r="A26" s="720" t="s">
        <v>211</v>
      </c>
      <c r="B26" s="509" t="s">
        <v>983</v>
      </c>
      <c r="C26" s="16">
        <v>8856.8559999999998</v>
      </c>
      <c r="D26" s="16">
        <v>6633.7860000000001</v>
      </c>
      <c r="E26" s="16">
        <v>107.361</v>
      </c>
      <c r="F26" s="372">
        <v>1763.174</v>
      </c>
      <c r="G26" s="1662"/>
      <c r="H26" s="1655"/>
      <c r="I26" s="253"/>
      <c r="J26" s="253"/>
      <c r="K26" s="254"/>
      <c r="L26" s="112"/>
    </row>
    <row r="27" spans="1:12">
      <c r="A27" s="498" t="s">
        <v>338</v>
      </c>
      <c r="B27" s="468" t="s">
        <v>171</v>
      </c>
      <c r="C27" s="16">
        <v>141.678</v>
      </c>
      <c r="D27" s="16">
        <v>94.757000000000005</v>
      </c>
      <c r="E27" s="16">
        <v>6.641</v>
      </c>
      <c r="F27" s="372">
        <v>24.614000000000001</v>
      </c>
      <c r="G27" s="1662"/>
      <c r="H27" s="1655"/>
      <c r="I27" s="253"/>
      <c r="J27" s="253"/>
      <c r="K27" s="254"/>
      <c r="L27" s="112"/>
    </row>
    <row r="28" spans="1:12">
      <c r="A28" s="498" t="s">
        <v>214</v>
      </c>
      <c r="B28" s="468" t="s">
        <v>799</v>
      </c>
      <c r="C28" s="16">
        <v>16857.919999999998</v>
      </c>
      <c r="D28" s="16">
        <v>14495.614</v>
      </c>
      <c r="E28" s="16">
        <v>382.24400000000003</v>
      </c>
      <c r="F28" s="372">
        <v>536.26199999999994</v>
      </c>
      <c r="G28" s="1662"/>
      <c r="H28" s="1655"/>
      <c r="I28" s="253"/>
      <c r="J28" s="253"/>
      <c r="K28" s="254"/>
      <c r="L28" s="112"/>
    </row>
    <row r="29" spans="1:12">
      <c r="A29" s="498" t="s">
        <v>215</v>
      </c>
      <c r="B29" s="468" t="s">
        <v>16</v>
      </c>
      <c r="C29" s="16">
        <v>2885.7109999999998</v>
      </c>
      <c r="D29" s="16">
        <v>2213.819</v>
      </c>
      <c r="E29" s="16">
        <v>287.43299999999999</v>
      </c>
      <c r="F29" s="372">
        <v>109.884</v>
      </c>
      <c r="G29" s="1662"/>
      <c r="H29" s="1655"/>
      <c r="I29" s="253"/>
      <c r="J29" s="253"/>
      <c r="K29" s="254"/>
      <c r="L29" s="112"/>
    </row>
    <row r="30" spans="1:12">
      <c r="A30" s="498" t="s">
        <v>339</v>
      </c>
      <c r="B30" s="468" t="s">
        <v>173</v>
      </c>
      <c r="C30" s="16">
        <v>139.26</v>
      </c>
      <c r="D30" s="16">
        <v>99.617999999999995</v>
      </c>
      <c r="E30" s="16">
        <v>7.83</v>
      </c>
      <c r="F30" s="372">
        <v>4.5910000000000002</v>
      </c>
      <c r="G30" s="1662"/>
      <c r="H30" s="1655"/>
      <c r="I30" s="253"/>
      <c r="J30" s="253"/>
      <c r="K30" s="254"/>
      <c r="L30" s="112"/>
    </row>
    <row r="31" spans="1:12">
      <c r="A31" s="498" t="s">
        <v>219</v>
      </c>
      <c r="B31" s="468" t="s">
        <v>17</v>
      </c>
      <c r="C31" s="16">
        <v>982.15499999999997</v>
      </c>
      <c r="D31" s="16">
        <v>490.22699999999998</v>
      </c>
      <c r="E31" s="16">
        <v>287.83499999999998</v>
      </c>
      <c r="F31" s="372">
        <v>151.554</v>
      </c>
      <c r="G31" s="1662"/>
      <c r="H31" s="1655"/>
      <c r="I31" s="253"/>
      <c r="J31" s="253"/>
      <c r="K31" s="254"/>
      <c r="L31" s="112"/>
    </row>
    <row r="32" spans="1:12">
      <c r="A32" s="498" t="s">
        <v>220</v>
      </c>
      <c r="B32" s="468" t="s">
        <v>174</v>
      </c>
      <c r="C32" s="16">
        <v>410.00400000000002</v>
      </c>
      <c r="D32" s="16">
        <v>251.499</v>
      </c>
      <c r="E32" s="16">
        <v>119.76</v>
      </c>
      <c r="F32" s="372">
        <v>8.8770000000000007</v>
      </c>
      <c r="G32" s="1662"/>
      <c r="H32" s="1655"/>
      <c r="I32" s="253"/>
      <c r="J32" s="253"/>
      <c r="K32" s="254"/>
      <c r="L32" s="112"/>
    </row>
    <row r="33" spans="1:12">
      <c r="A33" s="505" t="s">
        <v>221</v>
      </c>
      <c r="B33" s="506" t="s">
        <v>175</v>
      </c>
      <c r="C33" s="294">
        <f>SUM(C26:C32)</f>
        <v>30273.583999999995</v>
      </c>
      <c r="D33" s="294">
        <f>SUM(D26:D32)</f>
        <v>24279.319999999996</v>
      </c>
      <c r="E33" s="294">
        <f>SUM(E26:E32)</f>
        <v>1199.104</v>
      </c>
      <c r="F33" s="1639">
        <f>SUM(F26:F32)</f>
        <v>2598.9560000000001</v>
      </c>
      <c r="G33" s="1662"/>
      <c r="H33" s="1655"/>
      <c r="I33" s="253"/>
      <c r="J33" s="253"/>
      <c r="K33" s="255"/>
      <c r="L33" s="112"/>
    </row>
    <row r="34" spans="1:12">
      <c r="A34" s="507" t="s">
        <v>231</v>
      </c>
      <c r="B34" s="508" t="s">
        <v>176</v>
      </c>
      <c r="C34" s="208">
        <v>10336.039000000001</v>
      </c>
      <c r="D34" s="208">
        <v>8394.1</v>
      </c>
      <c r="E34" s="208">
        <v>770.83100000000002</v>
      </c>
      <c r="F34" s="1640">
        <v>715.82299999999998</v>
      </c>
      <c r="G34" s="1662"/>
      <c r="H34" s="1655"/>
      <c r="I34" s="253"/>
      <c r="J34" s="253"/>
      <c r="K34" s="254"/>
      <c r="L34" s="112"/>
    </row>
    <row r="35" spans="1:12" ht="18.75">
      <c r="A35" s="721" t="s">
        <v>237</v>
      </c>
      <c r="B35" s="1102" t="s">
        <v>722</v>
      </c>
      <c r="C35" s="207">
        <v>6627.4430000000002</v>
      </c>
      <c r="D35" s="207">
        <v>5546.8320000000003</v>
      </c>
      <c r="E35" s="207">
        <v>317.16399999999999</v>
      </c>
      <c r="F35" s="1638">
        <v>591.99</v>
      </c>
      <c r="G35" s="1662"/>
      <c r="H35" s="1655"/>
      <c r="I35" s="253"/>
      <c r="J35" s="253"/>
      <c r="K35" s="254"/>
      <c r="L35" s="112"/>
    </row>
    <row r="36" spans="1:12">
      <c r="A36" s="502"/>
      <c r="B36" s="503" t="s">
        <v>177</v>
      </c>
      <c r="C36" s="722"/>
      <c r="D36" s="722"/>
      <c r="E36" s="722"/>
      <c r="F36" s="1641"/>
      <c r="G36" s="1662"/>
      <c r="H36" s="1655"/>
      <c r="I36" s="253"/>
      <c r="J36" s="253"/>
      <c r="K36" s="254"/>
      <c r="L36" s="112"/>
    </row>
    <row r="37" spans="1:12" ht="18.75">
      <c r="A37" s="496" t="s">
        <v>383</v>
      </c>
      <c r="B37" s="2036" t="s">
        <v>1187</v>
      </c>
      <c r="C37" s="16">
        <v>14078.771000000001</v>
      </c>
      <c r="D37" s="16">
        <v>11430.799000000001</v>
      </c>
      <c r="E37" s="16">
        <v>1122.319</v>
      </c>
      <c r="F37" s="372">
        <v>1028.3309999999999</v>
      </c>
      <c r="G37" s="1662"/>
      <c r="H37" s="1655"/>
      <c r="I37" s="253"/>
      <c r="J37" s="253"/>
      <c r="K37" s="254"/>
      <c r="L37" s="112"/>
    </row>
    <row r="38" spans="1:12">
      <c r="A38" s="498" t="s">
        <v>340</v>
      </c>
      <c r="B38" s="2027" t="s">
        <v>1188</v>
      </c>
      <c r="C38" s="16">
        <v>2047.258</v>
      </c>
      <c r="D38" s="16">
        <v>1382.788</v>
      </c>
      <c r="E38" s="16">
        <v>458.39699999999999</v>
      </c>
      <c r="F38" s="372">
        <v>104.602</v>
      </c>
      <c r="G38" s="1662"/>
      <c r="H38" s="1655"/>
      <c r="I38" s="253"/>
      <c r="J38" s="253"/>
      <c r="K38" s="254"/>
      <c r="L38" s="112"/>
    </row>
    <row r="39" spans="1:12">
      <c r="A39" s="496" t="s">
        <v>341</v>
      </c>
      <c r="B39" s="468" t="s">
        <v>18</v>
      </c>
      <c r="C39" s="16">
        <v>756.024</v>
      </c>
      <c r="D39" s="16">
        <v>609.65200000000004</v>
      </c>
      <c r="E39" s="16">
        <v>58.243000000000002</v>
      </c>
      <c r="F39" s="372">
        <v>73.569000000000003</v>
      </c>
      <c r="G39" s="1662"/>
      <c r="H39" s="1655"/>
      <c r="I39" s="253"/>
      <c r="J39" s="253"/>
      <c r="K39" s="254"/>
      <c r="L39" s="254"/>
    </row>
    <row r="40" spans="1:12">
      <c r="A40" s="505" t="s">
        <v>245</v>
      </c>
      <c r="B40" s="506" t="s">
        <v>19</v>
      </c>
      <c r="C40" s="294">
        <f>SUM(C37:C39)</f>
        <v>16882.053</v>
      </c>
      <c r="D40" s="294">
        <f>SUM(D37:D39)</f>
        <v>13423.239000000001</v>
      </c>
      <c r="E40" s="294">
        <f>SUM(E37:E39)</f>
        <v>1638.9589999999998</v>
      </c>
      <c r="F40" s="1639">
        <f>SUM(F37:F39)</f>
        <v>1206.502</v>
      </c>
      <c r="G40" s="1662"/>
      <c r="H40" s="1655"/>
      <c r="I40" s="253"/>
      <c r="J40" s="253"/>
      <c r="K40" s="254"/>
      <c r="L40" s="254"/>
    </row>
    <row r="41" spans="1:12">
      <c r="A41" s="507" t="s">
        <v>246</v>
      </c>
      <c r="B41" s="508" t="s">
        <v>178</v>
      </c>
      <c r="C41" s="294">
        <f>C35+C40</f>
        <v>23509.495999999999</v>
      </c>
      <c r="D41" s="294">
        <f>D35+D40</f>
        <v>18970.071000000004</v>
      </c>
      <c r="E41" s="294">
        <f>E35+E40</f>
        <v>1956.1229999999998</v>
      </c>
      <c r="F41" s="1642">
        <f>F35+F40</f>
        <v>1798.492</v>
      </c>
      <c r="G41" s="1662"/>
      <c r="H41" s="1655"/>
      <c r="I41" s="253"/>
      <c r="J41" s="253"/>
      <c r="K41" s="254"/>
      <c r="L41" s="254"/>
    </row>
    <row r="42" spans="1:12" ht="18.75">
      <c r="A42" s="494" t="s">
        <v>247</v>
      </c>
      <c r="B42" s="509" t="s">
        <v>179</v>
      </c>
      <c r="C42" s="16">
        <v>22.042999999999999</v>
      </c>
      <c r="D42" s="16">
        <v>19.231999999999999</v>
      </c>
      <c r="E42" s="16">
        <v>2.3929999999999998</v>
      </c>
      <c r="F42" s="372">
        <v>0</v>
      </c>
      <c r="G42" s="1662"/>
      <c r="H42" s="1655"/>
      <c r="I42" s="253"/>
      <c r="J42" s="253"/>
      <c r="K42" s="254"/>
      <c r="L42" s="254"/>
    </row>
    <row r="43" spans="1:12">
      <c r="A43" s="510" t="s">
        <v>248</v>
      </c>
      <c r="B43" s="468" t="s">
        <v>97</v>
      </c>
      <c r="C43" s="16">
        <v>274.56900000000002</v>
      </c>
      <c r="D43" s="16">
        <v>225.542</v>
      </c>
      <c r="E43" s="16">
        <v>42.664000000000001</v>
      </c>
      <c r="F43" s="372">
        <v>0</v>
      </c>
      <c r="G43" s="1662"/>
      <c r="H43" s="1655"/>
      <c r="I43" s="253"/>
      <c r="J43" s="253"/>
      <c r="K43" s="254"/>
      <c r="L43" s="112"/>
    </row>
    <row r="44" spans="1:12">
      <c r="A44" s="498" t="s">
        <v>425</v>
      </c>
      <c r="B44" s="511" t="s">
        <v>476</v>
      </c>
      <c r="C44" s="410">
        <v>5416.9170000000004</v>
      </c>
      <c r="D44" s="16">
        <v>2988.1460000000002</v>
      </c>
      <c r="E44" s="16">
        <v>682.67200000000003</v>
      </c>
      <c r="F44" s="372">
        <v>1355.683</v>
      </c>
      <c r="G44" s="1662"/>
      <c r="H44" s="1655"/>
      <c r="I44" s="253"/>
      <c r="J44" s="253"/>
      <c r="K44" s="254"/>
      <c r="L44" s="112"/>
    </row>
    <row r="45" spans="1:12" ht="18.75">
      <c r="A45" s="498" t="s">
        <v>488</v>
      </c>
      <c r="B45" s="504" t="s">
        <v>489</v>
      </c>
      <c r="C45" s="410">
        <v>1609.279</v>
      </c>
      <c r="D45" s="16">
        <v>1009.3339999999999</v>
      </c>
      <c r="E45" s="16">
        <v>129.04</v>
      </c>
      <c r="F45" s="372">
        <v>394.64400000000001</v>
      </c>
      <c r="G45" s="1662"/>
      <c r="H45" s="1655"/>
      <c r="I45" s="253"/>
      <c r="J45" s="253"/>
      <c r="K45" s="254"/>
      <c r="L45" s="112"/>
    </row>
    <row r="46" spans="1:12">
      <c r="A46" s="498" t="s">
        <v>342</v>
      </c>
      <c r="B46" s="468" t="s">
        <v>180</v>
      </c>
      <c r="C46" s="16">
        <v>212.952</v>
      </c>
      <c r="D46" s="16">
        <v>98.064999999999998</v>
      </c>
      <c r="E46" s="16">
        <v>41.247</v>
      </c>
      <c r="F46" s="372">
        <v>33.444000000000003</v>
      </c>
      <c r="G46" s="1662"/>
      <c r="H46" s="1655"/>
      <c r="I46" s="253"/>
      <c r="J46" s="253"/>
      <c r="K46" s="254"/>
      <c r="L46" s="112"/>
    </row>
    <row r="47" spans="1:12">
      <c r="A47" s="505" t="s">
        <v>343</v>
      </c>
      <c r="B47" s="723" t="s">
        <v>181</v>
      </c>
      <c r="C47" s="294">
        <f>SUM(C42:C46)</f>
        <v>7535.7600000000011</v>
      </c>
      <c r="D47" s="294">
        <f>SUM(D42:D46)</f>
        <v>4340.3189999999995</v>
      </c>
      <c r="E47" s="294">
        <f>SUM(E42:E46)</f>
        <v>898.01599999999996</v>
      </c>
      <c r="F47" s="1639">
        <f>SUM(F42:F46)</f>
        <v>1783.771</v>
      </c>
      <c r="G47" s="1662"/>
      <c r="H47" s="1655"/>
      <c r="I47" s="253"/>
      <c r="J47" s="253"/>
      <c r="K47" s="255"/>
      <c r="L47" s="112"/>
    </row>
    <row r="48" spans="1:12">
      <c r="A48" s="507" t="s">
        <v>253</v>
      </c>
      <c r="B48" s="508" t="s">
        <v>182</v>
      </c>
      <c r="C48" s="208">
        <v>61.567</v>
      </c>
      <c r="D48" s="208">
        <v>24.536000000000001</v>
      </c>
      <c r="E48" s="208">
        <v>16.605</v>
      </c>
      <c r="F48" s="1640">
        <v>16.739999999999998</v>
      </c>
      <c r="G48" s="1662"/>
      <c r="H48" s="1655"/>
      <c r="I48" s="253"/>
      <c r="J48" s="253"/>
      <c r="K48" s="254"/>
      <c r="L48" s="112"/>
    </row>
    <row r="49" spans="1:12">
      <c r="A49" s="721" t="s">
        <v>254</v>
      </c>
      <c r="B49" s="506" t="s">
        <v>20</v>
      </c>
      <c r="C49" s="294">
        <f>SUM(C25,C33,C34,C41,C47,C48)</f>
        <v>71782.054999999993</v>
      </c>
      <c r="D49" s="294">
        <f>SUM(D25,D33,D34,D41,D47,D48)</f>
        <v>56019.272999999994</v>
      </c>
      <c r="E49" s="294">
        <f>SUM(E25,E33,E34,E41,E47,E48)</f>
        <v>4857.8729999999987</v>
      </c>
      <c r="F49" s="1643">
        <f>SUM(F25,F33,F34,F41,F47,F48)</f>
        <v>6924.0519999999997</v>
      </c>
      <c r="G49" s="1662"/>
      <c r="H49" s="1655"/>
      <c r="I49" s="253"/>
      <c r="J49" s="253"/>
      <c r="K49" s="254"/>
      <c r="L49" s="112"/>
    </row>
    <row r="50" spans="1:12" ht="31.5" customHeight="1">
      <c r="A50" s="720" t="s">
        <v>255</v>
      </c>
      <c r="B50" s="504" t="s">
        <v>1170</v>
      </c>
      <c r="C50" s="16">
        <v>2295.0050000000001</v>
      </c>
      <c r="D50" s="16">
        <v>1604.3130000000001</v>
      </c>
      <c r="E50" s="16">
        <v>10.114000000000001</v>
      </c>
      <c r="F50" s="372">
        <v>476.12799999999999</v>
      </c>
      <c r="G50" s="1662"/>
      <c r="H50" s="1655"/>
      <c r="I50" s="253"/>
      <c r="J50" s="253"/>
      <c r="K50" s="254"/>
      <c r="L50" s="112"/>
    </row>
    <row r="51" spans="1:12">
      <c r="A51" s="510" t="s">
        <v>256</v>
      </c>
      <c r="B51" s="480" t="s">
        <v>21</v>
      </c>
      <c r="C51" s="16">
        <v>1238.8979999999999</v>
      </c>
      <c r="D51" s="16">
        <v>1120.479</v>
      </c>
      <c r="E51" s="16">
        <v>42.213000000000001</v>
      </c>
      <c r="F51" s="372">
        <v>7.7939999999999996</v>
      </c>
      <c r="G51" s="1662"/>
      <c r="H51" s="1655"/>
      <c r="I51" s="253"/>
      <c r="J51" s="253"/>
      <c r="K51" s="254"/>
      <c r="L51" s="112"/>
    </row>
    <row r="52" spans="1:12">
      <c r="A52" s="510" t="s">
        <v>257</v>
      </c>
      <c r="B52" s="480" t="s">
        <v>22</v>
      </c>
      <c r="C52" s="16">
        <v>327.74299999999999</v>
      </c>
      <c r="D52" s="16">
        <v>212.477</v>
      </c>
      <c r="E52" s="16">
        <v>30.93</v>
      </c>
      <c r="F52" s="372">
        <v>45.344999999999999</v>
      </c>
      <c r="G52" s="1662"/>
      <c r="H52" s="1655"/>
      <c r="I52" s="253"/>
      <c r="J52" s="253"/>
      <c r="K52" s="254"/>
      <c r="L52" s="112"/>
    </row>
    <row r="53" spans="1:12">
      <c r="A53" s="510" t="s">
        <v>258</v>
      </c>
      <c r="B53" s="480" t="s">
        <v>23</v>
      </c>
      <c r="C53" s="16">
        <v>3222.585</v>
      </c>
      <c r="D53" s="16">
        <v>2698.76</v>
      </c>
      <c r="E53" s="16">
        <v>19.46</v>
      </c>
      <c r="F53" s="372">
        <v>278.464</v>
      </c>
      <c r="G53" s="1662"/>
      <c r="H53" s="1655"/>
      <c r="I53" s="253"/>
      <c r="J53" s="253"/>
      <c r="K53" s="254"/>
      <c r="L53" s="112"/>
    </row>
    <row r="54" spans="1:12">
      <c r="A54" s="724" t="s">
        <v>259</v>
      </c>
      <c r="B54" s="725" t="s">
        <v>24</v>
      </c>
      <c r="C54" s="294">
        <f>SUM(C50:C53)</f>
        <v>7084.2309999999998</v>
      </c>
      <c r="D54" s="294">
        <f>SUM(D50:D53)</f>
        <v>5636.0290000000005</v>
      </c>
      <c r="E54" s="294">
        <f>SUM(E50:E53)</f>
        <v>102.71700000000001</v>
      </c>
      <c r="F54" s="1639">
        <f>SUM(F50:F53)</f>
        <v>807.73099999999999</v>
      </c>
      <c r="G54" s="1662"/>
      <c r="H54" s="1655"/>
      <c r="I54" s="253"/>
      <c r="J54" s="253"/>
      <c r="K54" s="255"/>
      <c r="L54" s="112"/>
    </row>
    <row r="55" spans="1:12" ht="18.75">
      <c r="A55" s="494" t="s">
        <v>260</v>
      </c>
      <c r="B55" s="726" t="s">
        <v>183</v>
      </c>
      <c r="C55" s="16">
        <v>27.841999999999999</v>
      </c>
      <c r="D55" s="16">
        <v>25.696999999999999</v>
      </c>
      <c r="E55" s="16">
        <v>1.889</v>
      </c>
      <c r="F55" s="372">
        <v>0</v>
      </c>
      <c r="G55" s="1662"/>
      <c r="H55" s="1655"/>
      <c r="I55" s="253"/>
      <c r="J55" s="253"/>
      <c r="K55" s="254"/>
      <c r="L55" s="112"/>
    </row>
    <row r="56" spans="1:12">
      <c r="A56" s="510" t="s">
        <v>261</v>
      </c>
      <c r="B56" s="518" t="s">
        <v>798</v>
      </c>
      <c r="C56" s="16">
        <v>189.00899999999999</v>
      </c>
      <c r="D56" s="16">
        <v>143.833</v>
      </c>
      <c r="E56" s="16">
        <v>14.432</v>
      </c>
      <c r="F56" s="372">
        <v>0.16600000000000001</v>
      </c>
      <c r="G56" s="1662"/>
      <c r="H56" s="1655"/>
      <c r="I56" s="253"/>
      <c r="J56" s="253"/>
      <c r="K56" s="254"/>
      <c r="L56" s="112"/>
    </row>
    <row r="57" spans="1:12">
      <c r="A57" s="510" t="s">
        <v>262</v>
      </c>
      <c r="B57" s="727" t="s">
        <v>25</v>
      </c>
      <c r="C57" s="16">
        <v>38.603000000000002</v>
      </c>
      <c r="D57" s="16">
        <v>14.622</v>
      </c>
      <c r="E57" s="16">
        <v>23.471</v>
      </c>
      <c r="F57" s="372">
        <v>0</v>
      </c>
      <c r="G57" s="1662"/>
      <c r="H57" s="1655"/>
      <c r="I57" s="253"/>
      <c r="J57" s="253"/>
      <c r="K57" s="254"/>
      <c r="L57" s="112"/>
    </row>
    <row r="58" spans="1:12">
      <c r="A58" s="724" t="s">
        <v>263</v>
      </c>
      <c r="B58" s="508" t="s">
        <v>26</v>
      </c>
      <c r="C58" s="294">
        <f>SUM(C55:C57)</f>
        <v>255.45400000000001</v>
      </c>
      <c r="D58" s="294">
        <f>SUM(D55:D57)</f>
        <v>184.15199999999999</v>
      </c>
      <c r="E58" s="294">
        <f>SUM(E55:E57)</f>
        <v>39.792000000000002</v>
      </c>
      <c r="F58" s="1639">
        <f>SUM(F55:F57)</f>
        <v>0.16600000000000001</v>
      </c>
      <c r="G58" s="1662"/>
      <c r="H58" s="1655"/>
      <c r="I58" s="253"/>
      <c r="J58" s="253"/>
      <c r="K58" s="255"/>
      <c r="L58" s="112"/>
    </row>
    <row r="59" spans="1:12" ht="18.75">
      <c r="A59" s="494" t="s">
        <v>264</v>
      </c>
      <c r="B59" s="509" t="s">
        <v>184</v>
      </c>
      <c r="C59" s="16">
        <v>53.871000000000002</v>
      </c>
      <c r="D59" s="16">
        <v>25.114999999999998</v>
      </c>
      <c r="E59" s="16">
        <v>10.789</v>
      </c>
      <c r="F59" s="372">
        <v>0.30199999999999999</v>
      </c>
      <c r="G59" s="1662"/>
      <c r="H59" s="1655"/>
      <c r="I59" s="253"/>
      <c r="J59" s="253"/>
      <c r="K59" s="254"/>
      <c r="L59" s="112"/>
    </row>
    <row r="60" spans="1:12">
      <c r="A60" s="510" t="s">
        <v>265</v>
      </c>
      <c r="B60" s="480" t="s">
        <v>27</v>
      </c>
      <c r="C60" s="16">
        <v>23.411000000000001</v>
      </c>
      <c r="D60" s="16">
        <v>16.065000000000001</v>
      </c>
      <c r="E60" s="16">
        <v>5.806</v>
      </c>
      <c r="F60" s="372">
        <v>0</v>
      </c>
      <c r="G60" s="1662"/>
      <c r="H60" s="1655"/>
      <c r="I60" s="253"/>
      <c r="J60" s="253"/>
      <c r="K60" s="254"/>
      <c r="L60" s="112"/>
    </row>
    <row r="61" spans="1:12">
      <c r="A61" s="510" t="s">
        <v>266</v>
      </c>
      <c r="B61" s="480" t="s">
        <v>28</v>
      </c>
      <c r="C61" s="16">
        <v>11858.359</v>
      </c>
      <c r="D61" s="16">
        <v>9734.5709999999999</v>
      </c>
      <c r="E61" s="16">
        <v>354.93200000000002</v>
      </c>
      <c r="F61" s="372">
        <v>630.19100000000003</v>
      </c>
      <c r="G61" s="1662"/>
      <c r="H61" s="1655"/>
      <c r="I61" s="253"/>
      <c r="J61" s="253"/>
      <c r="K61" s="254"/>
      <c r="L61" s="112"/>
    </row>
    <row r="62" spans="1:12">
      <c r="A62" s="510" t="s">
        <v>267</v>
      </c>
      <c r="B62" s="480" t="s">
        <v>29</v>
      </c>
      <c r="C62" s="16">
        <v>943.77800000000002</v>
      </c>
      <c r="D62" s="16">
        <v>349.07900000000001</v>
      </c>
      <c r="E62" s="16">
        <v>454.34</v>
      </c>
      <c r="F62" s="372">
        <v>24.123000000000001</v>
      </c>
      <c r="G62" s="1662"/>
      <c r="H62" s="1655"/>
      <c r="I62" s="253"/>
      <c r="J62" s="253"/>
      <c r="K62" s="254"/>
      <c r="L62" s="112"/>
    </row>
    <row r="63" spans="1:12">
      <c r="A63" s="724" t="s">
        <v>268</v>
      </c>
      <c r="B63" s="508" t="s">
        <v>185</v>
      </c>
      <c r="C63" s="294">
        <f>SUM(C59:C62)</f>
        <v>12879.419</v>
      </c>
      <c r="D63" s="294">
        <f>SUM(D59:D62)</f>
        <v>10124.83</v>
      </c>
      <c r="E63" s="294">
        <f>SUM(E59:E62)</f>
        <v>825.86699999999996</v>
      </c>
      <c r="F63" s="1639">
        <f>SUM(F59:F62)</f>
        <v>654.6160000000001</v>
      </c>
      <c r="G63" s="1662"/>
      <c r="H63" s="1655"/>
      <c r="I63" s="253"/>
      <c r="J63" s="253"/>
      <c r="K63" s="255"/>
      <c r="L63" s="112"/>
    </row>
    <row r="64" spans="1:12">
      <c r="A64" s="721" t="s">
        <v>269</v>
      </c>
      <c r="B64" s="506" t="s">
        <v>30</v>
      </c>
      <c r="C64" s="294">
        <f>SUM(C54,C58,C63)</f>
        <v>20219.103999999999</v>
      </c>
      <c r="D64" s="294">
        <f>SUM(D54,D58,D63)</f>
        <v>15945.011</v>
      </c>
      <c r="E64" s="294">
        <f>SUM(E54,E58,E63)</f>
        <v>968.37599999999998</v>
      </c>
      <c r="F64" s="1643">
        <f>SUM(F54,F58,F63)</f>
        <v>1462.5130000000001</v>
      </c>
      <c r="G64" s="1662"/>
      <c r="H64" s="1655"/>
      <c r="I64" s="253"/>
      <c r="J64" s="253"/>
      <c r="K64" s="254"/>
      <c r="L64" s="112"/>
    </row>
    <row r="65" spans="1:13" ht="13.5" thickBot="1">
      <c r="A65" s="728" t="s">
        <v>272</v>
      </c>
      <c r="B65" s="729" t="s">
        <v>32</v>
      </c>
      <c r="C65" s="209">
        <v>6839.9989999999998</v>
      </c>
      <c r="D65" s="209">
        <v>2289.2620000000002</v>
      </c>
      <c r="E65" s="209">
        <v>2988.2539999999999</v>
      </c>
      <c r="F65" s="1644">
        <v>1161.087</v>
      </c>
      <c r="G65" s="1662"/>
      <c r="H65" s="1655"/>
      <c r="I65" s="253"/>
      <c r="J65" s="253"/>
      <c r="K65" s="254"/>
      <c r="L65" s="112"/>
    </row>
    <row r="66" spans="1:13" ht="27" customHeight="1" thickBot="1">
      <c r="A66" s="730" t="s">
        <v>273</v>
      </c>
      <c r="B66" s="577" t="s">
        <v>33</v>
      </c>
      <c r="C66" s="295">
        <f>SUM(C49,C64,C65)</f>
        <v>98841.157999999981</v>
      </c>
      <c r="D66" s="295">
        <f>SUM(D49,D64,D65)</f>
        <v>74253.546000000002</v>
      </c>
      <c r="E66" s="295">
        <f>SUM(E49,E64,E65)</f>
        <v>8814.5029999999988</v>
      </c>
      <c r="F66" s="1645">
        <f>SUM(F49,F64,F65)</f>
        <v>9547.652</v>
      </c>
      <c r="G66" s="1662"/>
      <c r="H66" s="1655"/>
      <c r="I66" s="1080"/>
      <c r="J66" s="1301"/>
      <c r="K66" s="1088"/>
      <c r="L66" s="112"/>
    </row>
    <row r="67" spans="1:13" ht="10.5" customHeight="1">
      <c r="A67" s="245"/>
      <c r="B67" s="14"/>
      <c r="C67" s="61"/>
      <c r="D67" s="61"/>
      <c r="E67" s="61"/>
      <c r="F67" s="61"/>
      <c r="G67" s="1989"/>
      <c r="H67" s="1989"/>
      <c r="I67" s="1989"/>
      <c r="J67" s="1989"/>
      <c r="K67" s="1989"/>
      <c r="L67" s="4"/>
    </row>
    <row r="68" spans="1:13" ht="25.5" customHeight="1">
      <c r="A68" s="245"/>
      <c r="B68" s="14"/>
      <c r="C68" s="61"/>
      <c r="D68" s="61"/>
      <c r="E68" s="61"/>
      <c r="F68" s="61"/>
      <c r="G68" s="1989"/>
      <c r="H68" s="1989"/>
      <c r="I68" s="1989"/>
      <c r="J68" s="1989"/>
      <c r="K68" s="1989"/>
      <c r="L68" s="1098"/>
    </row>
    <row r="69" spans="1:13" ht="31.5" customHeight="1">
      <c r="A69" s="245"/>
      <c r="B69" s="14"/>
      <c r="C69" s="61"/>
      <c r="D69" s="61"/>
      <c r="E69" s="61"/>
      <c r="F69" s="61"/>
      <c r="G69" s="1989"/>
      <c r="H69" s="1989"/>
      <c r="I69" s="1989"/>
      <c r="J69" s="1989"/>
      <c r="K69" s="1989"/>
      <c r="L69" s="1098"/>
      <c r="M69" s="1098"/>
    </row>
    <row r="70" spans="1:13" ht="28.5" customHeight="1">
      <c r="A70" s="2429" t="s">
        <v>1066</v>
      </c>
      <c r="B70" s="2430"/>
      <c r="C70" s="2431"/>
      <c r="D70" s="2431"/>
      <c r="E70" s="2431"/>
      <c r="F70" s="2431"/>
      <c r="G70" s="61"/>
      <c r="H70" s="1157"/>
      <c r="I70" s="1632"/>
      <c r="J70" s="1632"/>
      <c r="K70" s="1632"/>
      <c r="L70" s="1632"/>
      <c r="M70" s="1098"/>
    </row>
    <row r="71" spans="1:13">
      <c r="A71" s="1538" t="s">
        <v>943</v>
      </c>
      <c r="B71" s="1211"/>
      <c r="C71" s="127"/>
      <c r="D71" s="58"/>
      <c r="F71" s="59"/>
      <c r="G71" s="60"/>
      <c r="H71" s="200"/>
      <c r="I71" s="1632"/>
      <c r="J71" s="1632"/>
      <c r="K71" s="1632"/>
      <c r="L71" s="1632"/>
      <c r="M71" s="1098"/>
    </row>
    <row r="72" spans="1:13" ht="32.25" customHeight="1" thickBot="1">
      <c r="A72" s="1534" t="s">
        <v>978</v>
      </c>
      <c r="B72" s="76"/>
      <c r="C72" s="1179"/>
      <c r="D72" s="33"/>
      <c r="E72" s="1096"/>
      <c r="F72" s="1097"/>
      <c r="G72" s="1097"/>
      <c r="H72" s="1097"/>
      <c r="I72" s="217"/>
      <c r="J72" s="217"/>
      <c r="K72" s="217"/>
      <c r="L72" s="217"/>
      <c r="M72" s="1098"/>
    </row>
    <row r="73" spans="1:13" ht="27">
      <c r="A73" s="1536" t="s">
        <v>941</v>
      </c>
      <c r="B73" s="1893" t="s">
        <v>942</v>
      </c>
      <c r="C73" s="1557"/>
      <c r="D73" s="130"/>
      <c r="E73" s="1097"/>
      <c r="F73" s="1097"/>
      <c r="G73" s="67"/>
      <c r="H73" s="1097"/>
      <c r="J73"/>
      <c r="K73"/>
      <c r="M73" s="1098"/>
    </row>
    <row r="74" spans="1:13" ht="15" customHeight="1">
      <c r="A74" s="1711" t="s">
        <v>411</v>
      </c>
      <c r="B74" s="2096" t="s">
        <v>1104</v>
      </c>
      <c r="C74" s="186">
        <v>2356.1280000000002</v>
      </c>
      <c r="D74" s="1101"/>
      <c r="E74" s="1097"/>
      <c r="F74" s="1097"/>
      <c r="G74" s="447"/>
      <c r="H74"/>
      <c r="I74"/>
      <c r="J74"/>
      <c r="K74"/>
      <c r="M74" s="1098"/>
    </row>
    <row r="75" spans="1:13" ht="13.5" thickBot="1">
      <c r="A75" s="1712">
        <v>705</v>
      </c>
      <c r="B75" s="2097" t="s">
        <v>1096</v>
      </c>
      <c r="C75" s="190">
        <v>7321.5550000000003</v>
      </c>
      <c r="D75" s="1101"/>
      <c r="E75" s="1097"/>
      <c r="F75" s="1097"/>
      <c r="G75"/>
      <c r="H75"/>
      <c r="I75"/>
      <c r="J75"/>
      <c r="K75"/>
      <c r="M75" s="1098"/>
    </row>
    <row r="76" spans="1:13" ht="13.5" thickBot="1">
      <c r="A76" s="1213"/>
      <c r="B76" s="1212"/>
      <c r="C76" s="131"/>
      <c r="D76" s="182"/>
      <c r="E76" s="1097"/>
      <c r="F76" s="1097"/>
      <c r="G76" s="1097"/>
      <c r="H76" s="1097"/>
      <c r="I76" s="1679"/>
      <c r="J76" s="1679"/>
      <c r="K76" s="1679"/>
      <c r="L76" s="1679"/>
      <c r="M76" s="1098"/>
    </row>
    <row r="77" spans="1:13" ht="26.25" customHeight="1">
      <c r="A77" s="1537" t="s">
        <v>464</v>
      </c>
      <c r="B77" s="2098" t="s">
        <v>1082</v>
      </c>
      <c r="C77" s="1680"/>
      <c r="D77" s="182"/>
      <c r="E77" s="1097"/>
      <c r="F77" s="1097"/>
      <c r="G77" s="1989"/>
      <c r="H77" s="1989"/>
      <c r="I77" s="1989"/>
      <c r="J77" s="1989"/>
      <c r="K77" s="1679"/>
      <c r="L77" s="1679"/>
      <c r="M77" s="1098"/>
    </row>
    <row r="78" spans="1:13" ht="15" customHeight="1">
      <c r="A78" s="1713">
        <v>710</v>
      </c>
      <c r="B78" s="1020" t="s">
        <v>982</v>
      </c>
      <c r="C78" s="186">
        <v>6659.0029999999997</v>
      </c>
      <c r="D78" s="1101"/>
      <c r="E78" s="1097"/>
      <c r="F78" s="1097"/>
      <c r="G78" s="1989"/>
      <c r="H78" s="1989"/>
      <c r="I78" s="1989"/>
      <c r="J78" s="1989"/>
      <c r="K78" s="1679"/>
      <c r="L78" s="1679"/>
      <c r="M78" s="1098"/>
    </row>
    <row r="79" spans="1:13" ht="15" customHeight="1">
      <c r="A79" s="1697" t="s">
        <v>944</v>
      </c>
      <c r="B79" s="1014" t="s">
        <v>971</v>
      </c>
      <c r="C79" s="186">
        <v>3287.6509999999998</v>
      </c>
      <c r="D79" s="1101"/>
      <c r="E79" s="1097"/>
      <c r="F79" s="1097"/>
      <c r="G79" s="1989"/>
      <c r="H79" s="1989"/>
      <c r="I79" s="1989"/>
      <c r="J79" s="1989"/>
      <c r="K79" s="1679"/>
      <c r="L79" s="1679"/>
      <c r="M79" s="1098"/>
    </row>
    <row r="80" spans="1:13" ht="15" customHeight="1">
      <c r="A80" s="1697" t="s">
        <v>945</v>
      </c>
      <c r="B80" s="1014" t="s">
        <v>972</v>
      </c>
      <c r="C80" s="186">
        <v>73.057000000000002</v>
      </c>
      <c r="D80" s="1101"/>
      <c r="E80" s="1097"/>
      <c r="F80" s="1097"/>
      <c r="G80" s="1989"/>
      <c r="H80" s="1989"/>
      <c r="I80" s="1989"/>
      <c r="J80" s="1989"/>
      <c r="K80" s="1679"/>
      <c r="L80" s="1679"/>
      <c r="M80" s="1098"/>
    </row>
    <row r="81" spans="1:13" ht="15" customHeight="1">
      <c r="A81" s="1697" t="s">
        <v>946</v>
      </c>
      <c r="B81" s="1014" t="s">
        <v>1078</v>
      </c>
      <c r="C81" s="186">
        <v>2245.9270000000001</v>
      </c>
      <c r="D81" s="1101"/>
      <c r="E81" s="1097"/>
      <c r="F81" s="1097"/>
      <c r="G81" s="1989"/>
      <c r="H81" s="1989"/>
      <c r="I81" s="1989"/>
      <c r="J81" s="1989"/>
      <c r="K81" s="1679"/>
      <c r="L81" s="1679"/>
      <c r="M81" s="1098"/>
    </row>
    <row r="82" spans="1:13" ht="15" customHeight="1" thickBot="1">
      <c r="A82" s="1824" t="s">
        <v>950</v>
      </c>
      <c r="B82" s="1497" t="s">
        <v>1079</v>
      </c>
      <c r="C82" s="1677">
        <f>C78-C79-C80-C81</f>
        <v>1052.3679999999999</v>
      </c>
      <c r="D82" s="1489"/>
      <c r="E82" s="1097"/>
      <c r="F82" s="1097"/>
      <c r="G82" s="1989"/>
      <c r="H82" s="1989"/>
      <c r="I82" s="1989"/>
      <c r="J82" s="1989"/>
      <c r="K82" s="1679"/>
      <c r="L82" s="1679"/>
      <c r="M82" s="1098"/>
    </row>
    <row r="83" spans="1:13">
      <c r="A83" s="1213"/>
      <c r="B83" s="1212"/>
      <c r="C83" s="131"/>
      <c r="D83" s="182"/>
      <c r="E83" s="1097"/>
      <c r="F83" s="1097"/>
      <c r="G83" s="1989"/>
      <c r="H83" s="1989"/>
      <c r="I83" s="1989"/>
      <c r="J83" s="1989"/>
      <c r="K83" s="1679"/>
      <c r="L83" s="1679"/>
      <c r="M83" s="1098"/>
    </row>
    <row r="84" spans="1:13" ht="19.5" customHeight="1">
      <c r="A84" s="2429" t="s">
        <v>1067</v>
      </c>
      <c r="B84" s="2430"/>
      <c r="C84" s="2432"/>
      <c r="D84" s="2432"/>
      <c r="E84" s="2432"/>
      <c r="F84" s="2432"/>
      <c r="G84" s="2432"/>
      <c r="H84" s="2432"/>
      <c r="I84" s="2432"/>
      <c r="J84" s="2432"/>
      <c r="K84" s="2432"/>
      <c r="L84" s="1679"/>
      <c r="M84" s="1098"/>
    </row>
    <row r="85" spans="1:13">
      <c r="A85" s="2432"/>
      <c r="B85" s="2432"/>
      <c r="C85" s="2432"/>
      <c r="D85" s="2432"/>
      <c r="E85" s="2432"/>
      <c r="F85" s="2432"/>
      <c r="G85" s="2432"/>
      <c r="H85" s="2432"/>
      <c r="I85" s="2432"/>
      <c r="J85" s="2432"/>
      <c r="K85" s="2432"/>
      <c r="L85" s="1679"/>
      <c r="M85" s="1098"/>
    </row>
    <row r="86" spans="1:13">
      <c r="A86" s="1547" t="s">
        <v>979</v>
      </c>
      <c r="B86" s="1551"/>
      <c r="C86" s="1552"/>
      <c r="D86" s="1553"/>
      <c r="E86" s="1553"/>
      <c r="F86" s="1544"/>
      <c r="G86" s="1554"/>
      <c r="H86" s="1555"/>
      <c r="I86" s="1556"/>
      <c r="J86" s="1096"/>
      <c r="K86" s="1096"/>
      <c r="L86" s="1096"/>
      <c r="M86" s="1098"/>
    </row>
    <row r="87" spans="1:13">
      <c r="A87" s="1547" t="s">
        <v>947</v>
      </c>
      <c r="B87" s="1551"/>
      <c r="C87" s="1552"/>
      <c r="D87" s="1553"/>
      <c r="E87" s="1553"/>
      <c r="F87" s="1544"/>
      <c r="G87" s="1554"/>
      <c r="H87" s="1555"/>
      <c r="I87" s="1556"/>
      <c r="J87" s="1096"/>
      <c r="K87" s="1096"/>
      <c r="L87" s="1096"/>
      <c r="M87" s="1098"/>
    </row>
    <row r="88" spans="1:13" ht="21.75" customHeight="1" thickBot="1">
      <c r="A88" s="1547" t="s">
        <v>1169</v>
      </c>
      <c r="B88" s="1551"/>
      <c r="C88" s="1552"/>
      <c r="D88" s="1553"/>
      <c r="E88" s="1553"/>
      <c r="F88" s="1544"/>
      <c r="G88" s="1554"/>
      <c r="H88" s="1555"/>
      <c r="I88" s="1556"/>
      <c r="J88" s="1096"/>
      <c r="K88" s="1096"/>
      <c r="L88" s="1096"/>
      <c r="M88" s="1098"/>
    </row>
    <row r="89" spans="1:13" ht="21.75" customHeight="1">
      <c r="A89" s="1540" t="s">
        <v>464</v>
      </c>
      <c r="B89" s="1546" t="s">
        <v>948</v>
      </c>
      <c r="C89" s="1699" t="s">
        <v>949</v>
      </c>
      <c r="D89" s="1700" t="s">
        <v>949</v>
      </c>
      <c r="E89" s="1097"/>
      <c r="F89" s="1097"/>
      <c r="G89" s="67"/>
      <c r="H89" s="1097"/>
      <c r="J89"/>
      <c r="K89"/>
      <c r="M89" s="1098"/>
    </row>
    <row r="90" spans="1:13">
      <c r="A90" s="1539"/>
      <c r="B90" s="995"/>
      <c r="C90" s="1756" t="s">
        <v>865</v>
      </c>
      <c r="D90" s="1701" t="s">
        <v>865</v>
      </c>
      <c r="E90" s="1097"/>
      <c r="F90" s="1097"/>
      <c r="G90" s="67"/>
      <c r="H90"/>
      <c r="I90"/>
      <c r="J90"/>
      <c r="K90"/>
      <c r="M90" s="1098"/>
    </row>
    <row r="91" spans="1:13">
      <c r="A91" s="1539"/>
      <c r="B91" s="1541"/>
      <c r="C91" s="1757" t="s">
        <v>1003</v>
      </c>
      <c r="D91" s="1702" t="s">
        <v>789</v>
      </c>
      <c r="E91" s="1097"/>
      <c r="F91" s="1097"/>
      <c r="G91"/>
      <c r="H91"/>
      <c r="I91"/>
      <c r="J91"/>
      <c r="K91"/>
      <c r="M91" s="1098"/>
    </row>
    <row r="92" spans="1:13" ht="39.75" customHeight="1">
      <c r="A92" s="1539"/>
      <c r="B92" s="995"/>
      <c r="C92" s="1758" t="s">
        <v>1004</v>
      </c>
      <c r="D92" s="1747" t="s">
        <v>960</v>
      </c>
      <c r="E92" s="1097"/>
      <c r="F92" s="1097"/>
      <c r="G92" s="1097"/>
      <c r="H92" s="1097"/>
      <c r="I92" s="1679"/>
      <c r="J92" s="1679"/>
      <c r="K92" s="1679"/>
      <c r="L92" s="1679"/>
      <c r="M92" s="1098"/>
    </row>
    <row r="93" spans="1:13">
      <c r="A93" s="1539"/>
      <c r="B93" s="1542"/>
      <c r="C93" s="1703"/>
      <c r="D93" s="1704"/>
      <c r="E93" s="1097"/>
      <c r="F93" s="1097"/>
      <c r="G93" s="1097"/>
      <c r="H93" s="1097"/>
      <c r="I93" s="1679"/>
      <c r="J93" s="1679"/>
      <c r="K93" s="1679"/>
      <c r="L93" s="1679"/>
      <c r="M93" s="1098"/>
    </row>
    <row r="94" spans="1:13">
      <c r="A94" s="1713" t="s">
        <v>952</v>
      </c>
      <c r="B94" s="2099" t="s">
        <v>951</v>
      </c>
      <c r="C94" s="1548">
        <v>38506.1</v>
      </c>
      <c r="D94" s="1535">
        <v>214.47900000000001</v>
      </c>
      <c r="E94" s="1759"/>
      <c r="F94" s="1097"/>
      <c r="G94" s="1097"/>
      <c r="H94" s="1097"/>
      <c r="I94" s="1679"/>
      <c r="J94" s="1679"/>
      <c r="K94" s="1679"/>
      <c r="L94" s="1679"/>
      <c r="M94" s="1098"/>
    </row>
    <row r="95" spans="1:13">
      <c r="A95" s="1713" t="s">
        <v>954</v>
      </c>
      <c r="B95" s="2099" t="s">
        <v>953</v>
      </c>
      <c r="C95" s="1548">
        <v>31290.708999999999</v>
      </c>
      <c r="D95" s="1535">
        <v>326.334</v>
      </c>
      <c r="E95" s="1759"/>
      <c r="F95" s="1097"/>
      <c r="G95" s="1097"/>
      <c r="H95" s="1097"/>
      <c r="I95" s="1679"/>
      <c r="J95" s="1679"/>
      <c r="K95" s="1679"/>
      <c r="L95" s="1679"/>
      <c r="M95" s="1098"/>
    </row>
    <row r="96" spans="1:13">
      <c r="A96" s="1713" t="s">
        <v>956</v>
      </c>
      <c r="B96" s="2099" t="s">
        <v>955</v>
      </c>
      <c r="C96" s="1548">
        <v>2868.5839999999998</v>
      </c>
      <c r="D96" s="1535">
        <v>48.311</v>
      </c>
      <c r="E96" s="1759"/>
      <c r="F96" s="1097"/>
      <c r="G96" s="1989"/>
      <c r="H96" s="1989"/>
      <c r="I96" s="1989"/>
      <c r="J96" s="1989"/>
      <c r="K96" s="1679"/>
      <c r="L96" s="1679"/>
      <c r="M96" s="1098"/>
    </row>
    <row r="97" spans="1:13" ht="13.5" thickBot="1">
      <c r="A97" s="1714" t="s">
        <v>958</v>
      </c>
      <c r="B97" s="995" t="s">
        <v>957</v>
      </c>
      <c r="C97" s="1549">
        <v>5380.884</v>
      </c>
      <c r="D97" s="1550">
        <v>41.866</v>
      </c>
      <c r="E97" s="1759"/>
      <c r="F97" s="1097"/>
      <c r="G97" s="1989"/>
      <c r="H97" s="1989"/>
      <c r="I97" s="1989"/>
      <c r="J97" s="1989"/>
      <c r="K97" s="1507"/>
      <c r="L97" s="1507"/>
      <c r="M97" s="1098"/>
    </row>
    <row r="98" spans="1:13" ht="13.5" thickBot="1">
      <c r="A98" s="1716" t="s">
        <v>975</v>
      </c>
      <c r="B98" s="1698" t="s">
        <v>959</v>
      </c>
      <c r="C98" s="1545">
        <f>SUM(C94:C97)</f>
        <v>78046.277000000002</v>
      </c>
      <c r="D98" s="1543">
        <f>SUM(D94:D97)</f>
        <v>630.99</v>
      </c>
      <c r="E98" s="1760" t="str">
        <f>IF(C98&gt;0.2*SUM(BR!E9+BR!E12),"Kontrollera invest.utgifterna.","")</f>
        <v/>
      </c>
      <c r="F98" s="1097"/>
      <c r="G98" s="1989"/>
      <c r="H98" s="1989"/>
      <c r="I98" s="1989"/>
      <c r="J98" s="1989"/>
      <c r="K98" s="1507"/>
      <c r="L98" s="1507"/>
      <c r="M98" s="1098"/>
    </row>
    <row r="99" spans="1:13">
      <c r="A99" s="1213"/>
      <c r="B99" s="1212"/>
      <c r="C99" s="131"/>
      <c r="D99" s="56"/>
      <c r="E99" s="1097"/>
      <c r="F99" s="1097"/>
      <c r="G99" s="1678" t="s">
        <v>446</v>
      </c>
      <c r="H99" s="1097"/>
      <c r="I99" s="1679"/>
      <c r="J99" s="1679"/>
      <c r="K99" s="1679"/>
      <c r="L99" s="1679"/>
      <c r="M99" s="1098"/>
    </row>
    <row r="100" spans="1:13">
      <c r="A100" s="1213"/>
      <c r="B100" s="1212"/>
      <c r="C100" s="131"/>
      <c r="D100" s="56"/>
      <c r="E100" s="1097"/>
      <c r="F100" s="1097"/>
      <c r="G100" s="1097"/>
      <c r="H100" s="1097"/>
      <c r="I100" s="1679"/>
      <c r="J100" s="1679"/>
      <c r="K100" s="1679"/>
      <c r="L100" s="1679"/>
      <c r="M100" s="1098"/>
    </row>
    <row r="101" spans="1:13">
      <c r="A101" s="1213"/>
      <c r="B101" s="1212"/>
      <c r="C101" s="131"/>
      <c r="D101" s="56"/>
      <c r="E101" s="1097"/>
      <c r="F101" s="1097"/>
      <c r="G101" s="1097"/>
      <c r="H101" s="1097"/>
      <c r="I101" s="1679"/>
      <c r="J101" s="1679"/>
      <c r="K101" s="1679"/>
      <c r="L101" s="1679"/>
      <c r="M101" s="1098"/>
    </row>
    <row r="102" spans="1:13">
      <c r="A102" s="1213"/>
      <c r="B102" s="1212"/>
      <c r="C102" s="131"/>
      <c r="D102" s="56"/>
      <c r="E102" s="1097"/>
      <c r="F102" s="1097"/>
      <c r="G102" s="1097"/>
      <c r="H102" s="1097"/>
      <c r="I102" s="1679"/>
      <c r="J102" s="1679"/>
      <c r="K102" s="1679"/>
      <c r="L102" s="1679"/>
      <c r="M102" s="1098"/>
    </row>
    <row r="103" spans="1:13">
      <c r="A103" s="1213"/>
      <c r="B103" s="1212"/>
      <c r="C103" s="131"/>
      <c r="D103" s="56"/>
      <c r="E103" s="1097"/>
      <c r="F103" s="1097"/>
      <c r="G103" s="1097"/>
      <c r="H103" s="1097"/>
      <c r="I103" s="1679"/>
      <c r="J103" s="1679"/>
      <c r="K103" s="1679"/>
      <c r="L103" s="1679"/>
      <c r="M103" s="1098"/>
    </row>
    <row r="104" spans="1:13">
      <c r="A104" s="1213"/>
      <c r="B104" s="1212"/>
      <c r="C104" s="131"/>
      <c r="D104" s="56"/>
      <c r="E104" s="1097"/>
      <c r="F104" s="1097"/>
      <c r="G104" s="1097"/>
      <c r="H104" s="1097"/>
      <c r="I104" s="1098"/>
      <c r="J104" s="1098"/>
      <c r="K104" s="1098"/>
      <c r="L104" s="1098"/>
      <c r="M104" s="1098"/>
    </row>
    <row r="105" spans="1:13" ht="14.25" hidden="1" customHeight="1">
      <c r="A105" s="1213"/>
      <c r="B105" s="1212"/>
      <c r="C105" s="131"/>
      <c r="D105" s="56"/>
      <c r="E105" s="1097"/>
      <c r="F105" s="1097"/>
      <c r="G105" s="1097"/>
      <c r="H105" s="1097"/>
      <c r="J105"/>
      <c r="K105"/>
    </row>
    <row r="106" spans="1:13" ht="14.25" hidden="1" customHeight="1">
      <c r="A106" s="1213"/>
      <c r="B106" s="1212"/>
      <c r="C106" s="131"/>
      <c r="D106" s="56"/>
      <c r="E106" s="1097"/>
      <c r="F106" s="1097"/>
      <c r="G106" s="1097"/>
      <c r="H106" s="1097"/>
      <c r="I106" s="130"/>
      <c r="J106" s="130"/>
      <c r="K106" s="67"/>
    </row>
    <row r="107" spans="1:13" ht="14.25" hidden="1" customHeight="1">
      <c r="A107" s="4"/>
      <c r="B107" s="4"/>
      <c r="C107" s="4"/>
      <c r="D107" s="4"/>
      <c r="E107" s="4"/>
      <c r="F107" s="4"/>
      <c r="G107" s="4"/>
      <c r="H107" s="4"/>
      <c r="J107" s="129"/>
      <c r="K107" s="67"/>
    </row>
    <row r="108" spans="1:13" ht="14.25" hidden="1" customHeight="1">
      <c r="A108"/>
      <c r="B108"/>
      <c r="C108"/>
      <c r="D108"/>
      <c r="E108"/>
      <c r="F108"/>
      <c r="G108"/>
      <c r="H108"/>
      <c r="I108" s="130"/>
      <c r="J108" s="130"/>
      <c r="K108" s="67"/>
    </row>
    <row r="109" spans="1:13" ht="14.25" hidden="1" customHeight="1">
      <c r="A109" s="201"/>
      <c r="B109" s="129"/>
      <c r="C109" s="130"/>
      <c r="D109" s="130"/>
      <c r="E109" s="130"/>
      <c r="F109" s="130"/>
      <c r="G109" s="130"/>
      <c r="H109" s="130"/>
      <c r="I109" s="130"/>
      <c r="J109" s="130"/>
      <c r="K109" s="67"/>
    </row>
    <row r="110" spans="1:13" ht="14.25" hidden="1" customHeight="1">
      <c r="A110" s="201"/>
      <c r="B110" s="129"/>
      <c r="C110" s="130"/>
      <c r="D110" s="130"/>
      <c r="E110" s="130"/>
      <c r="F110" s="130"/>
      <c r="G110" s="130"/>
      <c r="H110" s="130"/>
      <c r="I110" s="130"/>
      <c r="J110" s="130"/>
      <c r="K110" s="67"/>
    </row>
    <row r="111" spans="1:13" ht="14.25" hidden="1" customHeight="1">
      <c r="A111" s="201"/>
      <c r="B111" s="129"/>
      <c r="C111" s="130"/>
      <c r="D111" s="130"/>
      <c r="E111" s="130"/>
      <c r="F111" s="130"/>
      <c r="G111" s="130"/>
      <c r="H111" s="130"/>
      <c r="J111" s="129"/>
      <c r="K111" s="67"/>
    </row>
    <row r="112" spans="1:13" ht="14.25" hidden="1" customHeight="1">
      <c r="A112" s="201"/>
      <c r="B112" s="129"/>
      <c r="C112" s="130"/>
      <c r="D112" s="130"/>
      <c r="E112" s="130"/>
      <c r="F112" s="130"/>
      <c r="G112" s="130"/>
      <c r="H112" s="130"/>
      <c r="J112"/>
      <c r="K112"/>
    </row>
    <row r="113" spans="1:11" ht="14.25" hidden="1" customHeight="1">
      <c r="A113" s="67"/>
      <c r="B113" s="129"/>
      <c r="C113" s="129"/>
      <c r="D113" s="129"/>
      <c r="E113" s="129"/>
      <c r="F113" s="129"/>
      <c r="G113" s="130"/>
      <c r="H113" s="130"/>
      <c r="J113"/>
      <c r="K113"/>
    </row>
    <row r="114" spans="1:11" ht="14.25" hidden="1" customHeight="1">
      <c r="A114" s="129"/>
      <c r="B114" s="129"/>
      <c r="C114" s="129"/>
      <c r="D114" s="129"/>
      <c r="E114" s="129"/>
      <c r="F114" s="129"/>
      <c r="G114" s="129"/>
      <c r="H114" s="129"/>
      <c r="J114"/>
      <c r="K114"/>
    </row>
    <row r="115" spans="1:11">
      <c r="A115"/>
      <c r="B115"/>
      <c r="C115"/>
      <c r="D115"/>
      <c r="E115"/>
      <c r="F115"/>
      <c r="G115"/>
      <c r="H115"/>
    </row>
    <row r="116" spans="1:11">
      <c r="A116"/>
      <c r="B116"/>
      <c r="C116"/>
      <c r="D116"/>
      <c r="E116"/>
      <c r="F116"/>
      <c r="G116"/>
      <c r="H116"/>
    </row>
    <row r="117" spans="1:11">
      <c r="A117"/>
      <c r="B117"/>
      <c r="C117"/>
      <c r="D117"/>
      <c r="E117"/>
      <c r="F117"/>
      <c r="G117"/>
      <c r="H117"/>
    </row>
    <row r="118" spans="1:11"/>
    <row r="119" spans="1:11"/>
  </sheetData>
  <customSheetViews>
    <customSheetView guid="{97D6DB71-3F4C-4C5F-8C5B-51E3EBF78932}" showPageBreaks="1" showGridLines="0" fitToPage="1" hiddenRows="1" hiddenColumns="1" topLeftCell="A34">
      <selection activeCell="B37" sqref="B37"/>
      <pageMargins left="0.70866141732283472" right="0.70866141732283472" top="0.74803149606299213" bottom="0.35433070866141736" header="0.31496062992125984" footer="0.31496062992125984"/>
      <pageSetup paperSize="9" scale="70" orientation="portrait" r:id="rId1"/>
      <headerFooter>
        <oddHeader>&amp;L&amp;8Statistiska Centralbyrå
Offentlig ekonomi&amp;R&amp;P</oddHeader>
      </headerFooter>
    </customSheetView>
    <customSheetView guid="{99FBDEB7-DD08-4F57-81F4-3C180403E153}" showGridLines="0" fitToPage="1" hiddenRows="1" hiddenColumns="1" topLeftCell="A22">
      <selection activeCell="B37" sqref="B37"/>
      <pageMargins left="0.70866141732283472" right="0.70866141732283472" top="0.74803149606299213" bottom="0.35433070866141736" header="0.31496062992125984" footer="0.31496062992125984"/>
      <pageSetup paperSize="9" scale="73" orientation="portrait" r:id="rId2"/>
      <headerFooter>
        <oddHeader>&amp;L&amp;8Statistiska Centralbyrå
Offentlig ekonomi&amp;R&amp;P</oddHeader>
      </headerFooter>
    </customSheetView>
    <customSheetView guid="{27C9E95B-0E2B-454F-B637-1CECC9579A10}" showGridLines="0" fitToPage="1" hiddenRows="1" hiddenColumns="1" showRuler="0" topLeftCell="A46">
      <selection activeCell="C16" sqref="C16"/>
      <pageMargins left="0.70866141732283472" right="0.70866141732283472" top="0.74803149606299213" bottom="0.35433070866141736" header="0.31496062992125984" footer="0.31496062992125984"/>
      <pageSetup paperSize="9" scale="73" orientation="portrait" r:id="rId3"/>
      <headerFooter alignWithMargins="0">
        <oddHeader>&amp;L&amp;8Statistiska Centralbyrå
Offentlig ekonomi&amp;R&amp;P</oddHeader>
      </headerFooter>
    </customSheetView>
  </customSheetViews>
  <mergeCells count="6">
    <mergeCell ref="E4:E5"/>
    <mergeCell ref="D4:D5"/>
    <mergeCell ref="C4:C5"/>
    <mergeCell ref="A70:F70"/>
    <mergeCell ref="A84:K85"/>
    <mergeCell ref="J12:M15"/>
  </mergeCells>
  <phoneticPr fontId="90" type="noConversion"/>
  <conditionalFormatting sqref="C78:C82">
    <cfRule type="cellIs" dxfId="110" priority="7" stopIfTrue="1" operator="lessThan">
      <formula>-10</formula>
    </cfRule>
  </conditionalFormatting>
  <conditionalFormatting sqref="C7:F7 C9:F9">
    <cfRule type="cellIs" dxfId="109" priority="5" stopIfTrue="1" operator="lessThan">
      <formula>-1</formula>
    </cfRule>
  </conditionalFormatting>
  <conditionalFormatting sqref="C8:F8 C10:F11">
    <cfRule type="cellIs" dxfId="108" priority="4" stopIfTrue="1" operator="greaterThan">
      <formula>1</formula>
    </cfRule>
  </conditionalFormatting>
  <conditionalFormatting sqref="C25:H25 C26:F32 H26:H32 G26:G65 C34:F35 H34:H35 C37:F39 H37:H39 C42:F46 H42:H46 C48:F48 H48 C50:F53 H50:H53 C55:F57 H55:H57 C59:F62 H59:H62 C65:F65 H65 C74:C77 C83 C86:C106 D98">
    <cfRule type="cellIs" dxfId="107" priority="10" stopIfTrue="1" operator="lessThan">
      <formula>-500</formula>
    </cfRule>
  </conditionalFormatting>
  <dataValidations disablePrompts="1" count="3">
    <dataValidation type="decimal" operator="lessThan" allowBlank="1" showInputMessage="1" showErrorMessage="1" error="Beloppet ska vara i 1000 tal kronor" sqref="H37:H39 H42:H46 H50:H53 H55:H57 H59:H62 H25:H32 H65 C12:H14 D98 C98:C106 C76 C86:C88 H48 C59:F62 C55:F57 C50:F53 H34:H35 C42:F46 C37:F39 C34:F35 C48:F48 C65:F65 C25:F32 C9:H9 C82:C83 G7:H7 C6:F7" xr:uid="{00000000-0002-0000-0500-000000000000}">
      <formula1>99999999</formula1>
    </dataValidation>
    <dataValidation type="decimal" operator="lessThanOrEqual" allowBlank="1" showInputMessage="1" showErrorMessage="1" error="Minustecken måste anges" sqref="C10:H11 C8:H8" xr:uid="{00000000-0002-0000-0500-000001000000}">
      <formula1>0</formula1>
    </dataValidation>
    <dataValidation type="decimal" allowBlank="1" showInputMessage="1" showErrorMessage="1" error="Beloppet ska vara utan minustecken och i tusental kronor" sqref="C78:C81 C74:C75 C94:D97" xr:uid="{00000000-0002-0000-0500-000002000000}">
      <formula1>0</formula1>
      <formula2>99999999</formula2>
    </dataValidation>
  </dataValidations>
  <pageMargins left="0.70866141732283472" right="0.70866141732283472" top="0.74803149606299213" bottom="0.35433070866141736" header="0.31496062992125984" footer="0.31496062992125984"/>
  <pageSetup paperSize="9" scale="44" orientation="portrait" r:id="rId4"/>
  <headerFooter>
    <oddHeader>&amp;L&amp;8Statistiska Centralbyrå
Offentlig ekonomi&amp;R&amp;P</oddHeader>
  </headerFooter>
  <ignoredErrors>
    <ignoredError sqref="A6:A15 A25:A66 A74:A82 A94:A98" numberStoredAsText="1"/>
  </ignoredErrors>
  <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tabColor rgb="FFFFFF00"/>
  </sheetPr>
  <dimension ref="A1:AH303"/>
  <sheetViews>
    <sheetView showGridLines="0" zoomScaleNormal="100" workbookViewId="0">
      <pane xSplit="2" ySplit="10" topLeftCell="C11" activePane="bottomRight" state="frozen"/>
      <selection activeCell="F36" sqref="F36"/>
      <selection pane="topRight" activeCell="F36" sqref="F36"/>
      <selection pane="bottomLeft" activeCell="F36" sqref="F36"/>
      <selection pane="bottomRight"/>
    </sheetView>
  </sheetViews>
  <sheetFormatPr defaultColWidth="0" defaultRowHeight="12.75" zeroHeight="1"/>
  <cols>
    <col min="1" max="1" width="3.5703125" style="173" customWidth="1"/>
    <col min="2" max="2" width="30.42578125" style="173" customWidth="1"/>
    <col min="3" max="3" width="10.42578125" style="173" customWidth="1"/>
    <col min="4" max="4" width="9.5703125" style="173" customWidth="1"/>
    <col min="5" max="5" width="8.5703125" style="173" customWidth="1"/>
    <col min="6" max="6" width="9.5703125" style="173" customWidth="1"/>
    <col min="7" max="7" width="11.42578125" style="173" customWidth="1"/>
    <col min="8" max="8" width="9.5703125" style="173" customWidth="1"/>
    <col min="9" max="10" width="8.5703125" style="173" customWidth="1"/>
    <col min="11" max="11" width="1.42578125" style="173" customWidth="1"/>
    <col min="12" max="14" width="8.5703125" style="173" customWidth="1"/>
    <col min="15" max="15" width="9.42578125" style="173" customWidth="1"/>
    <col min="16" max="16" width="10" style="173" customWidth="1"/>
    <col min="17" max="17" width="3.5703125" style="173" customWidth="1"/>
    <col min="18" max="19" width="8.5703125" style="173" customWidth="1"/>
    <col min="20" max="20" width="10.5703125" style="173" customWidth="1"/>
    <col min="21" max="21" width="2.42578125" style="173" customWidth="1"/>
    <col min="22" max="22" width="9" style="173" customWidth="1"/>
    <col min="23" max="23" width="10.5703125" style="173" customWidth="1"/>
    <col min="24" max="24" width="2.42578125" style="173" customWidth="1"/>
    <col min="25" max="25" width="11.5703125" style="173" customWidth="1"/>
    <col min="26" max="27" width="9.42578125" style="173" customWidth="1"/>
    <col min="28" max="28" width="8.5703125" style="1" customWidth="1"/>
    <col min="29" max="29" width="7.42578125" style="1" customWidth="1"/>
    <col min="30" max="30" width="1" customWidth="1"/>
    <col min="31" max="31" width="0.140625" style="342" hidden="1" customWidth="1"/>
    <col min="32" max="33" width="10.42578125" customWidth="1"/>
    <col min="34" max="34" width="0.42578125" customWidth="1"/>
    <col min="35" max="36" width="9.42578125" customWidth="1"/>
  </cols>
  <sheetData>
    <row r="1" spans="1:34" ht="21.75" customHeight="1">
      <c r="A1" s="150"/>
      <c r="B1" s="66"/>
      <c r="C1" s="65" t="str">
        <f>"Driftredovisning "&amp;År&amp;", miljoner kr"</f>
        <v>Driftredovisning 2025, miljoner kr</v>
      </c>
      <c r="D1" s="66"/>
      <c r="E1" s="66"/>
      <c r="F1" s="150"/>
      <c r="G1" s="150"/>
      <c r="H1" s="150"/>
      <c r="I1" s="431" t="s">
        <v>446</v>
      </c>
      <c r="J1" s="432" t="str">
        <f>Information!A2</f>
        <v>RIKSTOTAL</v>
      </c>
      <c r="K1" s="150"/>
      <c r="L1" s="150"/>
      <c r="M1" s="150"/>
      <c r="N1" s="150"/>
      <c r="O1" s="150"/>
      <c r="P1" s="150"/>
      <c r="Q1" s="150"/>
      <c r="R1" s="65" t="str">
        <f>"Driftredovisning "&amp;År&amp;", miljoner kr"</f>
        <v>Driftredovisning 2025, miljoner kr</v>
      </c>
      <c r="S1" s="150"/>
      <c r="T1" s="150"/>
      <c r="U1" s="150"/>
      <c r="V1" s="150"/>
      <c r="W1" s="150"/>
      <c r="X1" s="150"/>
      <c r="Y1" s="431" t="s">
        <v>446</v>
      </c>
      <c r="Z1" s="432" t="str">
        <f>Information!A2</f>
        <v>RIKSTOTAL</v>
      </c>
      <c r="AA1" s="150"/>
      <c r="AB1" s="340"/>
      <c r="AC1" s="340"/>
      <c r="AD1" s="150"/>
      <c r="AE1" s="340"/>
      <c r="AF1" s="150"/>
      <c r="AG1" s="150"/>
    </row>
    <row r="2" spans="1:34" ht="12.75" customHeight="1">
      <c r="A2" s="1989"/>
      <c r="B2" s="1989"/>
      <c r="C2" s="1989"/>
      <c r="D2" s="1989"/>
      <c r="E2" s="1989"/>
      <c r="F2" s="1989"/>
      <c r="G2" s="1989"/>
      <c r="H2" s="1989"/>
      <c r="I2" s="1989"/>
      <c r="J2" s="1989"/>
      <c r="K2" s="1989"/>
      <c r="L2" s="1989"/>
      <c r="M2" s="1989"/>
      <c r="N2" s="1989"/>
      <c r="O2" s="1989"/>
      <c r="P2" s="1989"/>
      <c r="Q2" s="1989"/>
      <c r="R2" s="1989"/>
      <c r="S2" s="1989"/>
      <c r="T2" s="1989"/>
      <c r="U2" s="1989"/>
      <c r="V2" s="1989"/>
      <c r="W2" s="1989"/>
      <c r="X2" s="1989"/>
      <c r="Y2" s="4"/>
      <c r="Z2" s="1989"/>
      <c r="AA2" s="1989"/>
      <c r="AB2" s="1989"/>
      <c r="AC2" s="1989"/>
      <c r="AD2" s="1989"/>
      <c r="AE2" s="1989"/>
      <c r="AF2" s="1989"/>
      <c r="AG2" s="1989"/>
    </row>
    <row r="3" spans="1:34" s="170" customFormat="1" ht="12.75" customHeight="1" thickBot="1">
      <c r="A3" s="1989"/>
      <c r="B3" s="1989"/>
      <c r="C3" s="1989"/>
      <c r="D3" s="1989"/>
      <c r="E3" s="1989"/>
      <c r="F3" s="1989"/>
      <c r="G3" s="1989"/>
      <c r="H3" s="1989"/>
      <c r="I3" s="1989"/>
      <c r="J3" s="1989"/>
      <c r="K3" s="1989"/>
      <c r="L3" s="1989"/>
      <c r="M3" s="1989"/>
      <c r="N3" s="1989"/>
      <c r="O3" s="1989"/>
      <c r="P3" s="1989"/>
      <c r="Q3" s="1989"/>
      <c r="R3" s="1989"/>
      <c r="S3" s="1989"/>
      <c r="T3" s="1989"/>
      <c r="U3" s="1989"/>
      <c r="V3" s="1989"/>
      <c r="W3" s="1989"/>
      <c r="X3" s="1989"/>
      <c r="Y3" s="169" t="s">
        <v>140</v>
      </c>
      <c r="Z3" s="1989"/>
      <c r="AA3" s="1989"/>
      <c r="AB3" s="1989"/>
      <c r="AC3" s="1989"/>
      <c r="AD3" s="1989"/>
      <c r="AE3" s="1989"/>
      <c r="AF3" s="1989"/>
      <c r="AG3" s="1989"/>
    </row>
    <row r="4" spans="1:34" s="157" customFormat="1" ht="44.45" customHeight="1">
      <c r="A4" s="731" t="s">
        <v>197</v>
      </c>
      <c r="B4" s="732" t="s">
        <v>13</v>
      </c>
      <c r="C4" s="2470" t="s">
        <v>34</v>
      </c>
      <c r="D4" s="2471"/>
      <c r="E4" s="2472" t="s">
        <v>35</v>
      </c>
      <c r="F4" s="2473"/>
      <c r="G4" s="2473"/>
      <c r="H4" s="2474"/>
      <c r="I4" s="2476" t="s">
        <v>36</v>
      </c>
      <c r="J4" s="2477"/>
      <c r="K4" s="33"/>
      <c r="L4" s="2437" t="s">
        <v>141</v>
      </c>
      <c r="M4" s="2475"/>
      <c r="N4" s="2475"/>
      <c r="O4" s="2471"/>
      <c r="P4" s="802"/>
      <c r="Q4" s="62"/>
      <c r="R4" s="2437" t="s">
        <v>37</v>
      </c>
      <c r="S4" s="2438"/>
      <c r="T4" s="2439"/>
      <c r="U4" s="98"/>
      <c r="V4" s="1663" t="s">
        <v>143</v>
      </c>
      <c r="W4" s="819"/>
      <c r="X4" s="33"/>
      <c r="Y4" s="1413" t="s">
        <v>894</v>
      </c>
      <c r="Z4" s="2440" t="s">
        <v>917</v>
      </c>
      <c r="AA4" s="2441"/>
      <c r="AB4" s="2442"/>
      <c r="AC4" s="2100" t="str">
        <f>"Förändring kostnader för eget åtagande "&amp;År-1&amp;"-"&amp;År&amp;" procent"</f>
        <v>Förändring kostnader för eget åtagande 2024-2025 procent</v>
      </c>
      <c r="AD4" s="1989"/>
      <c r="AE4" s="1061" t="str">
        <f>"Köp av verksamhet som andel av "</f>
        <v xml:space="preserve">Köp av verksamhet som andel av </v>
      </c>
      <c r="AF4" s="2160" t="s">
        <v>899</v>
      </c>
      <c r="AG4" s="2150" t="s">
        <v>900</v>
      </c>
      <c r="AH4" s="1709" t="s">
        <v>961</v>
      </c>
    </row>
    <row r="5" spans="1:34" ht="46.7" customHeight="1">
      <c r="A5" s="1152"/>
      <c r="B5" s="1153"/>
      <c r="C5" s="1137" t="s">
        <v>188</v>
      </c>
      <c r="D5" s="2179" t="s">
        <v>485</v>
      </c>
      <c r="E5" s="1223" t="s">
        <v>801</v>
      </c>
      <c r="F5" s="759" t="s">
        <v>745</v>
      </c>
      <c r="G5" s="760" t="s">
        <v>196</v>
      </c>
      <c r="H5" s="761" t="s">
        <v>734</v>
      </c>
      <c r="I5" s="762" t="s">
        <v>452</v>
      </c>
      <c r="J5" s="2182" t="s">
        <v>486</v>
      </c>
      <c r="K5" s="33"/>
      <c r="L5" s="817" t="s">
        <v>518</v>
      </c>
      <c r="M5" s="1391" t="s">
        <v>453</v>
      </c>
      <c r="N5" s="2460" t="s">
        <v>1001</v>
      </c>
      <c r="O5" s="2461"/>
      <c r="P5" s="803" t="s">
        <v>462</v>
      </c>
      <c r="Q5" s="39"/>
      <c r="R5" s="817" t="s">
        <v>664</v>
      </c>
      <c r="S5" s="761" t="s">
        <v>455</v>
      </c>
      <c r="T5" s="818" t="s">
        <v>456</v>
      </c>
      <c r="U5" s="29"/>
      <c r="V5" s="804"/>
      <c r="W5" s="820" t="s">
        <v>463</v>
      </c>
      <c r="X5" s="33"/>
      <c r="Y5" s="2452" t="s">
        <v>1034</v>
      </c>
      <c r="Z5" s="764" t="str">
        <f>"Netto-kostnader "&amp;År&amp;""</f>
        <v>Netto-kostnader 2025</v>
      </c>
      <c r="AA5" s="764" t="str">
        <f>"Kostnader för eget åtagande "&amp;År&amp;""</f>
        <v>Kostnader för eget åtagande 2025</v>
      </c>
      <c r="AB5" s="764" t="str">
        <f>"Kostnader för eget åtagande "&amp;År-1&amp;""</f>
        <v>Kostnader för eget åtagande 2024</v>
      </c>
      <c r="AC5" s="2101"/>
      <c r="AD5" s="1989"/>
      <c r="AE5" s="2131" t="str">
        <f>"verksamhetens kostnad för eget åtagande "&amp;År&amp;" procent"</f>
        <v>verksamhetens kostnad för eget åtagande 2025 procent</v>
      </c>
      <c r="AF5" s="2468" t="s">
        <v>901</v>
      </c>
      <c r="AG5" s="2467" t="s">
        <v>902</v>
      </c>
      <c r="AH5" s="2465" t="s">
        <v>962</v>
      </c>
    </row>
    <row r="6" spans="1:34" ht="56.25" customHeight="1" thickBot="1">
      <c r="A6" s="734"/>
      <c r="B6" s="1932" t="str">
        <f>"BAS "&amp;År-2000&amp;""</f>
        <v>BAS 25</v>
      </c>
      <c r="C6" s="2177" t="s">
        <v>1237</v>
      </c>
      <c r="D6" s="1926"/>
      <c r="E6" s="2180" t="s">
        <v>1241</v>
      </c>
      <c r="F6" s="1214" t="s">
        <v>767</v>
      </c>
      <c r="G6" s="2181" t="s">
        <v>1242</v>
      </c>
      <c r="H6" s="1214" t="s">
        <v>43</v>
      </c>
      <c r="I6" s="1215" t="s">
        <v>44</v>
      </c>
      <c r="J6" s="2183" t="s">
        <v>1097</v>
      </c>
      <c r="K6" s="33"/>
      <c r="L6" s="2185" t="s">
        <v>1095</v>
      </c>
      <c r="M6" s="1927"/>
      <c r="N6" s="1928" t="s">
        <v>802</v>
      </c>
      <c r="O6" s="1929" t="s">
        <v>803</v>
      </c>
      <c r="P6" s="1931"/>
      <c r="Q6" s="62"/>
      <c r="R6" s="1890" t="s">
        <v>797</v>
      </c>
      <c r="S6" s="1891" t="s">
        <v>45</v>
      </c>
      <c r="T6" s="1216" t="s">
        <v>746</v>
      </c>
      <c r="U6" s="29"/>
      <c r="V6" s="1930"/>
      <c r="W6" s="1931"/>
      <c r="X6" s="33"/>
      <c r="Y6" s="2453"/>
      <c r="Z6" s="1449"/>
      <c r="AA6" s="1450"/>
      <c r="AB6" s="1451"/>
      <c r="AC6" s="2102"/>
      <c r="AD6" s="1989"/>
      <c r="AE6" s="2132"/>
      <c r="AF6" s="2469"/>
      <c r="AG6" s="2396"/>
      <c r="AH6" s="2466"/>
    </row>
    <row r="7" spans="1:34" ht="9.75" hidden="1" customHeight="1">
      <c r="A7" s="734"/>
      <c r="B7" s="1338"/>
      <c r="C7" s="1264"/>
      <c r="D7" s="1265"/>
      <c r="E7" s="1269"/>
      <c r="F7" s="1270"/>
      <c r="G7" s="1271"/>
      <c r="H7" s="1272"/>
      <c r="I7" s="1273"/>
      <c r="J7" s="1274"/>
      <c r="K7" s="29"/>
      <c r="L7" s="1140"/>
      <c r="M7" s="1141"/>
      <c r="N7" s="1138"/>
      <c r="O7" s="735"/>
      <c r="P7" s="805"/>
      <c r="Q7" s="39"/>
      <c r="R7" s="1295"/>
      <c r="S7" s="1296"/>
      <c r="T7" s="1297"/>
      <c r="U7" s="29"/>
      <c r="V7" s="804"/>
      <c r="W7" s="805"/>
      <c r="X7" s="29"/>
      <c r="Y7" s="1132"/>
      <c r="Z7" s="835"/>
      <c r="AA7" s="837"/>
      <c r="AB7" s="836"/>
      <c r="AC7" s="2101"/>
      <c r="AD7" s="1989"/>
      <c r="AE7" s="2132"/>
      <c r="AF7" s="2161"/>
      <c r="AG7" s="1412"/>
      <c r="AH7" s="1617"/>
    </row>
    <row r="8" spans="1:34" ht="12.75" hidden="1" customHeight="1">
      <c r="A8" s="736"/>
      <c r="B8" s="1266"/>
      <c r="C8" s="1267"/>
      <c r="D8" s="1268"/>
      <c r="E8" s="1275"/>
      <c r="F8" s="1276"/>
      <c r="G8" s="1277"/>
      <c r="H8" s="1278"/>
      <c r="I8" s="1279"/>
      <c r="J8" s="1280"/>
      <c r="K8" s="29"/>
      <c r="L8" s="804"/>
      <c r="M8" s="766"/>
      <c r="N8" s="1138"/>
      <c r="O8" s="735"/>
      <c r="P8" s="805"/>
      <c r="Q8" s="39"/>
      <c r="R8" s="1295"/>
      <c r="S8" s="1296"/>
      <c r="T8" s="1297"/>
      <c r="U8" s="29"/>
      <c r="V8" s="806"/>
      <c r="W8" s="805"/>
      <c r="X8" s="29"/>
      <c r="Y8" s="1132"/>
      <c r="Z8" s="838"/>
      <c r="AA8" s="839"/>
      <c r="AB8" s="765"/>
      <c r="AC8" s="2101"/>
      <c r="AD8" s="1989"/>
      <c r="AE8" s="2133"/>
      <c r="AF8" s="2161"/>
      <c r="AG8" s="1412"/>
      <c r="AH8" s="1617"/>
    </row>
    <row r="9" spans="1:34" ht="10.5" hidden="1" customHeight="1">
      <c r="A9" s="734"/>
      <c r="B9" s="1281"/>
      <c r="C9" s="1282"/>
      <c r="D9" s="1283"/>
      <c r="E9" s="1284"/>
      <c r="F9" s="1285"/>
      <c r="G9" s="1277"/>
      <c r="H9" s="1278"/>
      <c r="I9" s="1286"/>
      <c r="J9" s="1287"/>
      <c r="K9" s="9"/>
      <c r="L9" s="806"/>
      <c r="M9" s="766"/>
      <c r="N9" s="1054"/>
      <c r="O9" s="1062"/>
      <c r="P9" s="805"/>
      <c r="Q9" s="39"/>
      <c r="R9" s="1298"/>
      <c r="S9" s="1299"/>
      <c r="T9" s="1287"/>
      <c r="U9" s="9"/>
      <c r="V9" s="806"/>
      <c r="W9" s="821"/>
      <c r="X9" s="9"/>
      <c r="Y9" s="1132"/>
      <c r="Z9" s="838"/>
      <c r="AA9" s="838"/>
      <c r="AB9" s="765"/>
      <c r="AC9" s="2101"/>
      <c r="AD9" s="1989"/>
      <c r="AE9" s="2134"/>
      <c r="AF9" s="2161"/>
      <c r="AG9" s="1412"/>
      <c r="AH9" s="1617"/>
    </row>
    <row r="10" spans="1:34" ht="12" hidden="1" customHeight="1">
      <c r="A10" s="737"/>
      <c r="B10" s="1288"/>
      <c r="C10" s="1289"/>
      <c r="D10" s="1290"/>
      <c r="E10" s="1291"/>
      <c r="F10" s="1290"/>
      <c r="G10" s="1292"/>
      <c r="H10" s="1293"/>
      <c r="I10" s="1289"/>
      <c r="J10" s="1294"/>
      <c r="K10" s="9"/>
      <c r="L10" s="807"/>
      <c r="M10" s="767"/>
      <c r="N10" s="923"/>
      <c r="O10" s="1139"/>
      <c r="P10" s="808"/>
      <c r="Q10" s="171"/>
      <c r="R10" s="1300"/>
      <c r="S10" s="1290"/>
      <c r="T10" s="1294"/>
      <c r="U10" s="99"/>
      <c r="V10" s="807"/>
      <c r="W10" s="822"/>
      <c r="X10" s="9"/>
      <c r="Y10" s="1461"/>
      <c r="Z10" s="1446"/>
      <c r="AA10" s="1447"/>
      <c r="AB10" s="1448"/>
      <c r="AC10" s="2103"/>
      <c r="AD10" s="1989"/>
      <c r="AE10" s="2135"/>
      <c r="AF10" s="2161"/>
      <c r="AG10" s="1412"/>
      <c r="AH10" s="1618"/>
    </row>
    <row r="11" spans="1:34" ht="39" customHeight="1" thickBot="1">
      <c r="A11" s="738"/>
      <c r="B11" s="739" t="s">
        <v>14</v>
      </c>
      <c r="C11" s="768"/>
      <c r="D11" s="769"/>
      <c r="E11" s="768"/>
      <c r="F11" s="770"/>
      <c r="G11" s="771"/>
      <c r="H11" s="772"/>
      <c r="I11" s="768"/>
      <c r="J11" s="773"/>
      <c r="K11" s="172"/>
      <c r="L11" s="809"/>
      <c r="M11" s="770"/>
      <c r="N11" s="769"/>
      <c r="O11" s="810"/>
      <c r="P11" s="773"/>
      <c r="Q11" s="172"/>
      <c r="R11" s="809"/>
      <c r="S11" s="770"/>
      <c r="T11" s="773"/>
      <c r="U11" s="172"/>
      <c r="V11" s="823"/>
      <c r="W11" s="824"/>
      <c r="X11" s="31"/>
      <c r="Y11" s="1460" t="s">
        <v>48</v>
      </c>
      <c r="Z11" s="2457"/>
      <c r="AA11" s="2455"/>
      <c r="AB11" s="2455"/>
      <c r="AC11" s="2456"/>
      <c r="AD11" s="1989"/>
      <c r="AE11" s="2136"/>
      <c r="AF11" s="2161"/>
      <c r="AG11" s="1412"/>
      <c r="AH11" s="1619"/>
    </row>
    <row r="12" spans="1:34" ht="11.25" customHeight="1">
      <c r="A12" s="740"/>
      <c r="B12" s="741" t="s">
        <v>46</v>
      </c>
      <c r="C12" s="774"/>
      <c r="D12" s="775"/>
      <c r="E12" s="774"/>
      <c r="F12" s="776"/>
      <c r="G12" s="777"/>
      <c r="H12" s="778"/>
      <c r="I12" s="774"/>
      <c r="J12" s="779"/>
      <c r="K12" s="172"/>
      <c r="L12" s="811"/>
      <c r="M12" s="776"/>
      <c r="N12" s="775"/>
      <c r="O12" s="812"/>
      <c r="P12" s="779"/>
      <c r="Q12" s="172"/>
      <c r="R12" s="811"/>
      <c r="S12" s="776"/>
      <c r="T12" s="779"/>
      <c r="U12" s="172"/>
      <c r="V12" s="825"/>
      <c r="W12" s="826"/>
      <c r="X12" s="26"/>
      <c r="Y12" s="846"/>
      <c r="Z12" s="840"/>
      <c r="AA12" s="840"/>
      <c r="AB12" s="841"/>
      <c r="AC12" s="2104"/>
      <c r="AD12" s="1989"/>
      <c r="AE12" s="2136"/>
      <c r="AF12" s="2161"/>
      <c r="AG12" s="1412"/>
      <c r="AH12" s="1620"/>
    </row>
    <row r="13" spans="1:34">
      <c r="A13" s="467" t="s">
        <v>206</v>
      </c>
      <c r="B13" s="742" t="s">
        <v>47</v>
      </c>
      <c r="C13" s="16">
        <v>2501.3490000000002</v>
      </c>
      <c r="D13" s="17">
        <v>845.10799999999995</v>
      </c>
      <c r="E13" s="18">
        <v>41.289000000000001</v>
      </c>
      <c r="F13" s="16">
        <v>17.835000000000001</v>
      </c>
      <c r="G13" s="16">
        <v>275.81200000000001</v>
      </c>
      <c r="H13" s="17">
        <v>41.061</v>
      </c>
      <c r="I13" s="16">
        <v>21.373999999999999</v>
      </c>
      <c r="J13" s="88">
        <v>15.993</v>
      </c>
      <c r="K13" s="27"/>
      <c r="L13" s="91">
        <v>70.186000000000007</v>
      </c>
      <c r="M13" s="16">
        <v>170.47200000000001</v>
      </c>
      <c r="N13" s="17">
        <v>6.8810000000000002</v>
      </c>
      <c r="O13" s="363">
        <v>176.73699999999999</v>
      </c>
      <c r="P13" s="296">
        <f>SUM(C13:O13)</f>
        <v>4184.0970000000007</v>
      </c>
      <c r="Q13" s="40"/>
      <c r="R13" s="91">
        <v>1.175</v>
      </c>
      <c r="S13" s="16">
        <v>0.34200000000000003</v>
      </c>
      <c r="T13" s="88">
        <v>40.262999999999998</v>
      </c>
      <c r="U13" s="41"/>
      <c r="V13" s="101">
        <v>58.231999999999999</v>
      </c>
      <c r="W13" s="330">
        <f>SUM(R13:V13)</f>
        <v>100.012</v>
      </c>
      <c r="X13" s="47"/>
      <c r="Y13" s="1440">
        <v>4119.0060000000003</v>
      </c>
      <c r="Z13" s="1441"/>
      <c r="AA13" s="1442"/>
      <c r="AB13" s="1443"/>
      <c r="AC13" s="2105"/>
      <c r="AD13" s="1989"/>
      <c r="AE13" s="2137"/>
      <c r="AF13" s="2162">
        <v>4084.085</v>
      </c>
      <c r="AG13" s="2151">
        <v>4066.9679999999998</v>
      </c>
      <c r="AH13" s="1621">
        <f>W13-V13-(IF(AND(Motpart!$Y$9="",Motpart!$Z$9=""),0,IF(AND(Motpart!$Y$9=0,Motpart!$Z$9=0),0,((T13/$T$17)*(Motpart!$Y$9+Motpart!$Z$9)))))</f>
        <v>23.766097412829456</v>
      </c>
    </row>
    <row r="14" spans="1:34">
      <c r="A14" s="467" t="s">
        <v>207</v>
      </c>
      <c r="B14" s="743" t="s">
        <v>49</v>
      </c>
      <c r="C14" s="19">
        <v>11.725</v>
      </c>
      <c r="D14" s="17">
        <v>4.8769999999999998</v>
      </c>
      <c r="E14" s="21">
        <v>0.14000000000000001</v>
      </c>
      <c r="F14" s="19">
        <v>3.58</v>
      </c>
      <c r="G14" s="19">
        <v>1.7010000000000001</v>
      </c>
      <c r="H14" s="20">
        <v>575.07600000000002</v>
      </c>
      <c r="I14" s="19">
        <v>8.4000000000000005E-2</v>
      </c>
      <c r="J14" s="89">
        <v>1.7999999999999999E-2</v>
      </c>
      <c r="K14" s="27"/>
      <c r="L14" s="92">
        <v>1.631</v>
      </c>
      <c r="M14" s="19">
        <v>2.3519999999999999</v>
      </c>
      <c r="N14" s="17">
        <v>0.14199999999999999</v>
      </c>
      <c r="O14" s="297">
        <v>0.79900000000000004</v>
      </c>
      <c r="P14" s="296">
        <f>SUM(C14:O14)</f>
        <v>602.125</v>
      </c>
      <c r="Q14" s="40"/>
      <c r="R14" s="92">
        <v>0</v>
      </c>
      <c r="S14" s="19">
        <v>0</v>
      </c>
      <c r="T14" s="89">
        <v>0.17499999999999999</v>
      </c>
      <c r="U14" s="41"/>
      <c r="V14" s="102">
        <v>1.7270000000000001</v>
      </c>
      <c r="W14" s="330">
        <f>SUM(R14:V14)</f>
        <v>1.9020000000000001</v>
      </c>
      <c r="X14" s="47"/>
      <c r="Y14" s="1333">
        <v>600.39700000000005</v>
      </c>
      <c r="Z14" s="1444"/>
      <c r="AA14" s="1445"/>
      <c r="AB14" s="1445"/>
      <c r="AC14" s="2106"/>
      <c r="AD14" s="1989"/>
      <c r="AE14" s="2137"/>
      <c r="AF14" s="2162">
        <v>600.22199999999998</v>
      </c>
      <c r="AG14" s="2151">
        <v>21.741</v>
      </c>
      <c r="AH14" s="1621">
        <f>W14-V14-(IF(AND(Motpart!$Y$9="",Motpart!$Z$9=""),0,IF(AND(Motpart!$Y$9=0,Motpart!$Z$9=0),0,((T14/$T$17)*(Motpart!$Y$9+Motpart!$Z$9)))))</f>
        <v>9.6703972561536816E-2</v>
      </c>
    </row>
    <row r="15" spans="1:34">
      <c r="A15" s="467" t="s">
        <v>208</v>
      </c>
      <c r="B15" s="743" t="s">
        <v>50</v>
      </c>
      <c r="C15" s="19">
        <v>151.184</v>
      </c>
      <c r="D15" s="17">
        <v>47.93</v>
      </c>
      <c r="E15" s="21">
        <v>3.012</v>
      </c>
      <c r="F15" s="19">
        <v>7.0460000000000003</v>
      </c>
      <c r="G15" s="19">
        <v>347.24599999999998</v>
      </c>
      <c r="H15" s="20">
        <v>3.1E-2</v>
      </c>
      <c r="I15" s="19">
        <v>4.0339999999999998</v>
      </c>
      <c r="J15" s="89">
        <v>4.3999999999999997E-2</v>
      </c>
      <c r="K15" s="27"/>
      <c r="L15" s="92">
        <v>3.3250000000000002</v>
      </c>
      <c r="M15" s="19">
        <v>7.5780000000000003</v>
      </c>
      <c r="N15" s="17">
        <v>0.56200000000000006</v>
      </c>
      <c r="O15" s="297">
        <v>24.550999999999998</v>
      </c>
      <c r="P15" s="296">
        <f>SUM(C15:O15)</f>
        <v>596.54300000000001</v>
      </c>
      <c r="Q15" s="40"/>
      <c r="R15" s="92">
        <v>5.8869999999999996</v>
      </c>
      <c r="S15" s="19">
        <v>0</v>
      </c>
      <c r="T15" s="89">
        <v>20.545999999999999</v>
      </c>
      <c r="U15" s="41"/>
      <c r="V15" s="102">
        <v>0.59599999999999997</v>
      </c>
      <c r="W15" s="330">
        <f>SUM(R15:V15)</f>
        <v>27.029</v>
      </c>
      <c r="X15" s="47"/>
      <c r="Y15" s="1333">
        <v>593.98299999999995</v>
      </c>
      <c r="Z15" s="1444"/>
      <c r="AA15" s="1445"/>
      <c r="AB15" s="1445"/>
      <c r="AC15" s="2106"/>
      <c r="AD15" s="1989"/>
      <c r="AE15" s="2137"/>
      <c r="AF15" s="2162">
        <v>569.51599999999996</v>
      </c>
      <c r="AG15" s="2151">
        <v>588.87099999999998</v>
      </c>
      <c r="AH15" s="1621">
        <f>W15-V15-(IF(AND(Motpart!$Y$9="",Motpart!$Z$9=""),0,IF(AND(Motpart!$Y$9=0,Motpart!$Z$9=0),0,((T15/$T$17)*(Motpart!$Y$9+Motpart!$Z$9)))))</f>
        <v>17.240598972853341</v>
      </c>
    </row>
    <row r="16" spans="1:34">
      <c r="A16" s="467" t="s">
        <v>209</v>
      </c>
      <c r="B16" s="743" t="s">
        <v>51</v>
      </c>
      <c r="C16" s="19">
        <v>1467.421</v>
      </c>
      <c r="D16" s="17">
        <v>546.73900000000003</v>
      </c>
      <c r="E16" s="21">
        <v>24.579000000000001</v>
      </c>
      <c r="F16" s="19">
        <v>274.73700000000002</v>
      </c>
      <c r="G16" s="19">
        <v>644.35500000000002</v>
      </c>
      <c r="H16" s="20">
        <v>109.18899999999999</v>
      </c>
      <c r="I16" s="19">
        <v>16.175000000000001</v>
      </c>
      <c r="J16" s="89">
        <v>6.8710000000000004</v>
      </c>
      <c r="K16" s="1940"/>
      <c r="L16" s="23">
        <v>52.442</v>
      </c>
      <c r="M16" s="19">
        <v>212.91900000000001</v>
      </c>
      <c r="N16" s="17">
        <v>14.129</v>
      </c>
      <c r="O16" s="297">
        <v>113.26900000000001</v>
      </c>
      <c r="P16" s="296">
        <f>SUM(C16:O16)</f>
        <v>3482.8249999999998</v>
      </c>
      <c r="Q16" s="40"/>
      <c r="R16" s="92">
        <v>38.481000000000002</v>
      </c>
      <c r="S16" s="19">
        <v>0.216</v>
      </c>
      <c r="T16" s="89">
        <v>384.52199999999999</v>
      </c>
      <c r="U16" s="41"/>
      <c r="V16" s="102">
        <v>127.79900000000001</v>
      </c>
      <c r="W16" s="330">
        <f>SUM(R16:V16)</f>
        <v>551.01800000000003</v>
      </c>
      <c r="X16" s="47"/>
      <c r="Y16" s="1333">
        <v>3164.5279999999998</v>
      </c>
      <c r="Z16" s="1444"/>
      <c r="AA16" s="1445"/>
      <c r="AB16" s="1445"/>
      <c r="AC16" s="2106"/>
      <c r="AD16" s="1989"/>
      <c r="AE16" s="2137"/>
      <c r="AF16" s="2162">
        <v>2931.8069999999998</v>
      </c>
      <c r="AG16" s="2151">
        <v>2971.1</v>
      </c>
      <c r="AH16" s="1621">
        <f>W16-V16-(IF(AND(Motpart!$Y$9="",Motpart!$Z$9=""),0,IF(AND(Motpart!$Y$9=0,Motpart!$Z$9=0),0,((T16/$T$17)*(Motpart!$Y$9+Motpart!$Z$9)))))</f>
        <v>251.1815996417557</v>
      </c>
    </row>
    <row r="17" spans="1:34" ht="12.75" customHeight="1" thickBot="1">
      <c r="A17" s="465" t="s">
        <v>210</v>
      </c>
      <c r="B17" s="743" t="s">
        <v>52</v>
      </c>
      <c r="C17" s="292">
        <f>SUM(C13:C16)</f>
        <v>4131.6790000000001</v>
      </c>
      <c r="D17" s="22">
        <f t="shared" ref="D17:O17" si="0">SUM(D13:D16)</f>
        <v>1444.654</v>
      </c>
      <c r="E17" s="299">
        <f t="shared" si="0"/>
        <v>69.02000000000001</v>
      </c>
      <c r="F17" s="292">
        <f t="shared" si="0"/>
        <v>303.19800000000004</v>
      </c>
      <c r="G17" s="292">
        <f t="shared" si="0"/>
        <v>1269.114</v>
      </c>
      <c r="H17" s="22">
        <f t="shared" si="0"/>
        <v>725.35699999999997</v>
      </c>
      <c r="I17" s="292">
        <f t="shared" si="0"/>
        <v>41.667000000000002</v>
      </c>
      <c r="J17" s="93">
        <f t="shared" si="0"/>
        <v>22.926000000000002</v>
      </c>
      <c r="K17" s="131"/>
      <c r="L17" s="298">
        <f>SUM(L13:L16)</f>
        <v>127.584</v>
      </c>
      <c r="M17" s="292">
        <f t="shared" si="0"/>
        <v>393.32100000000003</v>
      </c>
      <c r="N17" s="22">
        <f t="shared" si="0"/>
        <v>21.713999999999999</v>
      </c>
      <c r="O17" s="22">
        <f t="shared" si="0"/>
        <v>315.35599999999999</v>
      </c>
      <c r="P17" s="93">
        <f>SUM(P6:P16)</f>
        <v>8865.59</v>
      </c>
      <c r="Q17" s="40"/>
      <c r="R17" s="298">
        <f>SUM(R13:R16)</f>
        <v>45.542999999999999</v>
      </c>
      <c r="S17" s="292">
        <f>SUM(S13:S16)</f>
        <v>0.55800000000000005</v>
      </c>
      <c r="T17" s="93">
        <f>SUM(T13:T16)</f>
        <v>445.50599999999997</v>
      </c>
      <c r="U17" s="40"/>
      <c r="V17" s="105">
        <f>SUM(V13:V16)</f>
        <v>188.35399999999998</v>
      </c>
      <c r="W17" s="106">
        <f>SUM(W13:W16)</f>
        <v>679.96100000000001</v>
      </c>
      <c r="X17" s="47"/>
      <c r="Y17" s="848">
        <v>8477.9220000000005</v>
      </c>
      <c r="Z17" s="849">
        <f>(P17-W17)*1000/invanare</f>
        <v>771.64655779226302</v>
      </c>
      <c r="AA17" s="849">
        <f>Y17*1000/invanare</f>
        <v>799.20056583694395</v>
      </c>
      <c r="AB17" s="849">
        <v>841.66899999999998</v>
      </c>
      <c r="AC17" s="2107">
        <f>IF(ISERROR((AA17-AB17)/AB17)," ",((AA17-AB17)/AB17))</f>
        <v>-5.0457405658347915E-2</v>
      </c>
      <c r="AD17" s="1989"/>
      <c r="AE17" s="2138"/>
      <c r="AF17" s="2163">
        <v>8185.6379999999999</v>
      </c>
      <c r="AG17" s="2152">
        <v>7648.6890000000003</v>
      </c>
      <c r="AH17" s="1621">
        <f>W17-V17-SUM(Motpart!Y9:Z9)</f>
        <v>292.28500000000003</v>
      </c>
    </row>
    <row r="18" spans="1:34" ht="37.5" customHeight="1" thickBot="1">
      <c r="A18" s="1819"/>
      <c r="B18" s="744" t="s">
        <v>53</v>
      </c>
      <c r="C18" s="780"/>
      <c r="D18" s="781"/>
      <c r="E18" s="780"/>
      <c r="F18" s="782"/>
      <c r="G18" s="782"/>
      <c r="H18" s="781"/>
      <c r="I18" s="782"/>
      <c r="J18" s="783"/>
      <c r="K18" s="27"/>
      <c r="L18" s="813"/>
      <c r="M18" s="782"/>
      <c r="N18" s="781"/>
      <c r="O18" s="781"/>
      <c r="P18" s="783"/>
      <c r="Q18" s="41"/>
      <c r="R18" s="813"/>
      <c r="S18" s="782"/>
      <c r="T18" s="783"/>
      <c r="U18" s="41"/>
      <c r="V18" s="827"/>
      <c r="W18" s="828"/>
      <c r="X18" s="27"/>
      <c r="Y18" s="1460" t="s">
        <v>915</v>
      </c>
      <c r="Z18" s="2457"/>
      <c r="AA18" s="2455"/>
      <c r="AB18" s="2455"/>
      <c r="AC18" s="2456"/>
      <c r="AD18" s="1989"/>
      <c r="AE18" s="2139"/>
      <c r="AF18" s="2164"/>
      <c r="AG18" s="2153"/>
      <c r="AH18" s="1622"/>
    </row>
    <row r="19" spans="1:34">
      <c r="A19" s="467" t="s">
        <v>211</v>
      </c>
      <c r="B19" s="742" t="s">
        <v>54</v>
      </c>
      <c r="C19" s="16">
        <v>5097.0429999999997</v>
      </c>
      <c r="D19" s="17">
        <v>2109.0140000000001</v>
      </c>
      <c r="E19" s="16">
        <v>1570.337</v>
      </c>
      <c r="F19" s="16">
        <v>119.67100000000001</v>
      </c>
      <c r="G19" s="16">
        <v>3130.6880000000001</v>
      </c>
      <c r="H19" s="17">
        <v>54.639000000000003</v>
      </c>
      <c r="I19" s="16">
        <v>163.29400000000001</v>
      </c>
      <c r="J19" s="88">
        <v>1493.123</v>
      </c>
      <c r="K19" s="27"/>
      <c r="L19" s="91">
        <v>622.553</v>
      </c>
      <c r="M19" s="16">
        <v>1387.501</v>
      </c>
      <c r="N19" s="17">
        <v>90.215000000000003</v>
      </c>
      <c r="O19" s="297">
        <v>546.53499999999997</v>
      </c>
      <c r="P19" s="296">
        <f>SUM(C19:O19)</f>
        <v>16384.613000000001</v>
      </c>
      <c r="Q19" s="40"/>
      <c r="R19" s="91">
        <v>3030.6120000000001</v>
      </c>
      <c r="S19" s="16">
        <v>198.191</v>
      </c>
      <c r="T19" s="88">
        <v>2765.04</v>
      </c>
      <c r="U19" s="41"/>
      <c r="V19" s="101">
        <v>1863.278</v>
      </c>
      <c r="W19" s="330">
        <f t="shared" ref="W19:W29" si="1">SUM(R19:V19)</f>
        <v>7857.1210000000001</v>
      </c>
      <c r="X19" s="47"/>
      <c r="Y19" s="848">
        <v>14434.623</v>
      </c>
      <c r="Z19" s="1454"/>
      <c r="AA19" s="1455"/>
      <c r="AB19" s="1456"/>
      <c r="AC19" s="2108"/>
      <c r="AD19" s="1989"/>
      <c r="AE19" s="2139"/>
      <c r="AF19" s="2162">
        <v>8527.4920000000002</v>
      </c>
      <c r="AG19" s="2151">
        <v>14347.025</v>
      </c>
      <c r="AH19" s="1621">
        <f>W19-V19-(IF(AND(Motpart!$Y$10="",Motpart!$Z$10=""),0,IF(AND(Motpart!$Y$10=0,Motpart!$Z$10=0),0,((T19/$T$30)*(Motpart!$Y$10+Motpart!$Z$10)))))</f>
        <v>5824.6147111038063</v>
      </c>
    </row>
    <row r="20" spans="1:34">
      <c r="A20" s="467" t="s">
        <v>212</v>
      </c>
      <c r="B20" s="743" t="s">
        <v>55</v>
      </c>
      <c r="C20" s="16">
        <v>689.23800000000006</v>
      </c>
      <c r="D20" s="17">
        <v>284.12700000000001</v>
      </c>
      <c r="E20" s="16">
        <v>41.238</v>
      </c>
      <c r="F20" s="16">
        <v>120.249</v>
      </c>
      <c r="G20" s="16">
        <v>641.41600000000005</v>
      </c>
      <c r="H20" s="17">
        <v>800.12599999999998</v>
      </c>
      <c r="I20" s="16">
        <v>34.058999999999997</v>
      </c>
      <c r="J20" s="88">
        <v>24.170999999999999</v>
      </c>
      <c r="K20" s="27"/>
      <c r="L20" s="92">
        <v>51.145000000000003</v>
      </c>
      <c r="M20" s="19">
        <v>98.623999999999995</v>
      </c>
      <c r="N20" s="17">
        <v>4.5490000000000004</v>
      </c>
      <c r="O20" s="297">
        <v>73.94</v>
      </c>
      <c r="P20" s="296">
        <f t="shared" ref="P20:P29" si="2">SUM(C20:O20)</f>
        <v>2862.8820000000001</v>
      </c>
      <c r="Q20" s="40"/>
      <c r="R20" s="92">
        <v>8.125</v>
      </c>
      <c r="S20" s="19">
        <v>8.6340000000000003</v>
      </c>
      <c r="T20" s="89">
        <v>354.38799999999998</v>
      </c>
      <c r="U20" s="41"/>
      <c r="V20" s="102">
        <v>63.741999999999997</v>
      </c>
      <c r="W20" s="330">
        <f t="shared" si="1"/>
        <v>434.88900000000001</v>
      </c>
      <c r="X20" s="47"/>
      <c r="Y20" s="868">
        <v>2780.1930000000002</v>
      </c>
      <c r="Z20" s="1454"/>
      <c r="AA20" s="1455"/>
      <c r="AB20" s="1456"/>
      <c r="AC20" s="2108"/>
      <c r="AD20" s="1989"/>
      <c r="AE20" s="2139"/>
      <c r="AF20" s="2162">
        <v>2427.9940000000001</v>
      </c>
      <c r="AG20" s="2151">
        <v>1878.7670000000001</v>
      </c>
      <c r="AH20" s="1621">
        <f>W20-V20-(IF(AND(Motpart!$Y$10="",Motpart!$Z$10=""),0,IF(AND(Motpart!$Y$10=0,Motpart!$Z$10=0),0,((T20/$T$30)*(Motpart!$Y$10+Motpart!$Z$10)))))</f>
        <v>349.45744945268632</v>
      </c>
    </row>
    <row r="21" spans="1:34">
      <c r="A21" s="467" t="s">
        <v>634</v>
      </c>
      <c r="B21" s="743" t="s">
        <v>56</v>
      </c>
      <c r="C21" s="16">
        <v>123.66500000000001</v>
      </c>
      <c r="D21" s="17">
        <v>49.753999999999998</v>
      </c>
      <c r="E21" s="16">
        <v>2.593</v>
      </c>
      <c r="F21" s="16">
        <v>10.064</v>
      </c>
      <c r="G21" s="16">
        <v>18.693999999999999</v>
      </c>
      <c r="H21" s="17">
        <v>0.84299999999999997</v>
      </c>
      <c r="I21" s="16">
        <v>4.665</v>
      </c>
      <c r="J21" s="88">
        <v>0.45400000000000001</v>
      </c>
      <c r="K21" s="27"/>
      <c r="L21" s="92">
        <v>4.8869999999999996</v>
      </c>
      <c r="M21" s="19">
        <v>11.366</v>
      </c>
      <c r="N21" s="17">
        <v>1.8939999999999999</v>
      </c>
      <c r="O21" s="297">
        <v>8.0350000000000001</v>
      </c>
      <c r="P21" s="296">
        <f t="shared" si="2"/>
        <v>236.91399999999996</v>
      </c>
      <c r="Q21" s="40"/>
      <c r="R21" s="92">
        <v>2.37</v>
      </c>
      <c r="S21" s="19">
        <v>7.0000000000000001E-3</v>
      </c>
      <c r="T21" s="89">
        <v>74.546999999999997</v>
      </c>
      <c r="U21" s="41"/>
      <c r="V21" s="102">
        <v>8.9559999999999995</v>
      </c>
      <c r="W21" s="330">
        <f t="shared" si="1"/>
        <v>85.88</v>
      </c>
      <c r="X21" s="47"/>
      <c r="Y21" s="868">
        <v>224.38300000000001</v>
      </c>
      <c r="Z21" s="1454"/>
      <c r="AA21" s="1455"/>
      <c r="AB21" s="1456"/>
      <c r="AC21" s="2108"/>
      <c r="AD21" s="1989"/>
      <c r="AE21" s="2139"/>
      <c r="AF21" s="2162">
        <v>151.035</v>
      </c>
      <c r="AG21" s="2151">
        <v>217.053</v>
      </c>
      <c r="AH21" s="1621">
        <f>W21-V21-(IF(AND(Motpart!$Y$10="",Motpart!$Z$10=""),0,IF(AND(Motpart!$Y$10=0,Motpart!$Z$10=0),0,((T21/$T$30)*(Motpart!$Y$10+Motpart!$Z$10)))))</f>
        <v>72.361512205123773</v>
      </c>
    </row>
    <row r="22" spans="1:34">
      <c r="A22" s="467" t="s">
        <v>213</v>
      </c>
      <c r="B22" s="743" t="s">
        <v>57</v>
      </c>
      <c r="C22" s="16">
        <v>192.32499999999999</v>
      </c>
      <c r="D22" s="17">
        <v>77.938999999999993</v>
      </c>
      <c r="E22" s="16">
        <v>66.254000000000005</v>
      </c>
      <c r="F22" s="16">
        <v>194.04400000000001</v>
      </c>
      <c r="G22" s="16">
        <v>202.405</v>
      </c>
      <c r="H22" s="17">
        <v>309.048</v>
      </c>
      <c r="I22" s="16">
        <v>12.141999999999999</v>
      </c>
      <c r="J22" s="88">
        <v>56.171999999999997</v>
      </c>
      <c r="K22" s="27"/>
      <c r="L22" s="92">
        <v>36.393999999999998</v>
      </c>
      <c r="M22" s="19">
        <v>37.328000000000003</v>
      </c>
      <c r="N22" s="17">
        <v>2.6190000000000002</v>
      </c>
      <c r="O22" s="297">
        <v>28.332000000000001</v>
      </c>
      <c r="P22" s="296">
        <f t="shared" si="2"/>
        <v>1215.002</v>
      </c>
      <c r="Q22" s="40"/>
      <c r="R22" s="92">
        <v>50.723999999999997</v>
      </c>
      <c r="S22" s="19">
        <v>29.36</v>
      </c>
      <c r="T22" s="89">
        <v>178.56100000000001</v>
      </c>
      <c r="U22" s="41"/>
      <c r="V22" s="102">
        <v>18.198</v>
      </c>
      <c r="W22" s="330">
        <f t="shared" si="1"/>
        <v>276.84299999999996</v>
      </c>
      <c r="X22" s="47"/>
      <c r="Y22" s="868">
        <v>1187.559</v>
      </c>
      <c r="Z22" s="1457"/>
      <c r="AA22" s="1455"/>
      <c r="AB22" s="1456"/>
      <c r="AC22" s="2108"/>
      <c r="AD22" s="1989"/>
      <c r="AE22" s="2139"/>
      <c r="AF22" s="2162">
        <v>938.15899999999999</v>
      </c>
      <c r="AG22" s="2151">
        <v>693.71199999999999</v>
      </c>
      <c r="AH22" s="1621">
        <f>W22-V22-(IF(AND(Motpart!$Y$10="",Motpart!$Z$10=""),0,IF(AND(Motpart!$Y$10=0,Motpart!$Z$10=0),0,((T22/$T$30)*(Motpart!$Y$10+Motpart!$Z$10)))))</f>
        <v>247.71656044990553</v>
      </c>
    </row>
    <row r="23" spans="1:34">
      <c r="A23" s="467" t="s">
        <v>214</v>
      </c>
      <c r="B23" s="750" t="s">
        <v>799</v>
      </c>
      <c r="C23" s="16">
        <v>2469.31</v>
      </c>
      <c r="D23" s="17">
        <v>1019.043</v>
      </c>
      <c r="E23" s="16">
        <v>4209.7960000000003</v>
      </c>
      <c r="F23" s="16">
        <v>4770.7839999999997</v>
      </c>
      <c r="G23" s="16">
        <v>1907.6869999999999</v>
      </c>
      <c r="H23" s="17">
        <v>1278.588</v>
      </c>
      <c r="I23" s="16">
        <v>125.584</v>
      </c>
      <c r="J23" s="88">
        <v>11020.085999999999</v>
      </c>
      <c r="K23" s="27"/>
      <c r="L23" s="92">
        <v>399.37599999999998</v>
      </c>
      <c r="M23" s="19">
        <v>2032.7809999999999</v>
      </c>
      <c r="N23" s="17">
        <v>61.856999999999999</v>
      </c>
      <c r="O23" s="297">
        <v>860.74400000000003</v>
      </c>
      <c r="P23" s="296">
        <f t="shared" si="2"/>
        <v>30155.635999999999</v>
      </c>
      <c r="Q23" s="40"/>
      <c r="R23" s="92">
        <v>4655.1779999999999</v>
      </c>
      <c r="S23" s="19">
        <v>17.12</v>
      </c>
      <c r="T23" s="89">
        <v>3123.9780000000001</v>
      </c>
      <c r="U23" s="41"/>
      <c r="V23" s="102">
        <v>2013.3230000000001</v>
      </c>
      <c r="W23" s="330">
        <f t="shared" si="1"/>
        <v>9809.5990000000002</v>
      </c>
      <c r="X23" s="47"/>
      <c r="Y23" s="868">
        <v>28000.823</v>
      </c>
      <c r="Z23" s="1457"/>
      <c r="AA23" s="1455"/>
      <c r="AB23" s="1456"/>
      <c r="AC23" s="2108"/>
      <c r="AD23" s="1989"/>
      <c r="AE23" s="2139"/>
      <c r="AF23" s="2162">
        <v>20346.036</v>
      </c>
      <c r="AG23" s="2151">
        <v>22092.94</v>
      </c>
      <c r="AH23" s="1621">
        <f>W23-V23-(IF(AND(Motpart!$Y$10="",Motpart!$Z$10=""),0,IF(AND(Motpart!$Y$10=0,Motpart!$Z$10=0),0,((T23/$T$30)*(Motpart!$Y$10+Motpart!$Z$10)))))</f>
        <v>7605.0796876539389</v>
      </c>
    </row>
    <row r="24" spans="1:34">
      <c r="A24" s="467" t="s">
        <v>215</v>
      </c>
      <c r="B24" s="743" t="s">
        <v>16</v>
      </c>
      <c r="C24" s="16">
        <v>1615.78</v>
      </c>
      <c r="D24" s="17">
        <v>651.601</v>
      </c>
      <c r="E24" s="16">
        <v>742.68299999999999</v>
      </c>
      <c r="F24" s="16">
        <v>1513.1110000000001</v>
      </c>
      <c r="G24" s="16">
        <v>683.096</v>
      </c>
      <c r="H24" s="17">
        <v>30.806000000000001</v>
      </c>
      <c r="I24" s="16">
        <v>42.872</v>
      </c>
      <c r="J24" s="88">
        <v>2392.1909999999998</v>
      </c>
      <c r="K24" s="27"/>
      <c r="L24" s="92">
        <v>148.14500000000001</v>
      </c>
      <c r="M24" s="19">
        <v>1331.1410000000001</v>
      </c>
      <c r="N24" s="17">
        <v>33.857999999999997</v>
      </c>
      <c r="O24" s="297">
        <v>281.54399999999998</v>
      </c>
      <c r="P24" s="296">
        <f t="shared" si="2"/>
        <v>9466.8280000000013</v>
      </c>
      <c r="Q24" s="40"/>
      <c r="R24" s="92">
        <v>62.875999999999998</v>
      </c>
      <c r="S24" s="19">
        <v>5.1319999999999997</v>
      </c>
      <c r="T24" s="89">
        <v>493.41699999999997</v>
      </c>
      <c r="U24" s="41"/>
      <c r="V24" s="102">
        <v>907.92399999999998</v>
      </c>
      <c r="W24" s="330">
        <f t="shared" si="1"/>
        <v>1469.3489999999999</v>
      </c>
      <c r="X24" s="47"/>
      <c r="Y24" s="868">
        <v>8519.8549999999996</v>
      </c>
      <c r="Z24" s="1457"/>
      <c r="AA24" s="1455"/>
      <c r="AB24" s="1456"/>
      <c r="AC24" s="2108"/>
      <c r="AD24" s="1989"/>
      <c r="AE24" s="2139"/>
      <c r="AF24" s="2162">
        <v>7997.48</v>
      </c>
      <c r="AG24" s="2151">
        <v>7014.9889999999996</v>
      </c>
      <c r="AH24" s="1621">
        <f>W24-V24-(IF(AND(Motpart!$Y$10="",Motpart!$Z$10=""),0,IF(AND(Motpart!$Y$10=0,Motpart!$Z$10=0),0,((T24/$T$30)*(Motpart!$Y$10+Motpart!$Z$10)))))</f>
        <v>531.22648040451736</v>
      </c>
    </row>
    <row r="25" spans="1:34">
      <c r="A25" s="467" t="s">
        <v>216</v>
      </c>
      <c r="B25" s="743" t="s">
        <v>59</v>
      </c>
      <c r="C25" s="16">
        <v>1679.576</v>
      </c>
      <c r="D25" s="17">
        <v>682.77599999999995</v>
      </c>
      <c r="E25" s="16">
        <v>41.701999999999998</v>
      </c>
      <c r="F25" s="16">
        <v>159.94800000000001</v>
      </c>
      <c r="G25" s="16">
        <v>255.352</v>
      </c>
      <c r="H25" s="17">
        <v>5.5380000000000003</v>
      </c>
      <c r="I25" s="16">
        <v>26.613</v>
      </c>
      <c r="J25" s="88">
        <v>14.952999999999999</v>
      </c>
      <c r="K25" s="27"/>
      <c r="L25" s="92">
        <v>93.168000000000006</v>
      </c>
      <c r="M25" s="19">
        <v>211.517</v>
      </c>
      <c r="N25" s="17">
        <v>20.544</v>
      </c>
      <c r="O25" s="297">
        <v>120.235</v>
      </c>
      <c r="P25" s="296">
        <f t="shared" si="2"/>
        <v>3311.9219999999996</v>
      </c>
      <c r="Q25" s="40"/>
      <c r="R25" s="92">
        <v>1157.4780000000001</v>
      </c>
      <c r="S25" s="19">
        <v>8.5000000000000006E-2</v>
      </c>
      <c r="T25" s="89">
        <v>126.59399999999999</v>
      </c>
      <c r="U25" s="41"/>
      <c r="V25" s="102">
        <v>254.696</v>
      </c>
      <c r="W25" s="330">
        <f t="shared" si="1"/>
        <v>1538.8530000000001</v>
      </c>
      <c r="X25" s="47"/>
      <c r="Y25" s="868">
        <v>3031.462</v>
      </c>
      <c r="Z25" s="1441"/>
      <c r="AA25" s="1455"/>
      <c r="AB25" s="1456"/>
      <c r="AC25" s="2108"/>
      <c r="AD25" s="1989"/>
      <c r="AE25" s="2139"/>
      <c r="AF25" s="2162">
        <v>1773.067</v>
      </c>
      <c r="AG25" s="2151">
        <v>2891.739</v>
      </c>
      <c r="AH25" s="1621">
        <f>W25-V25-(IF(AND(Motpart!$Y$10="",Motpart!$Z$10=""),0,IF(AND(Motpart!$Y$10=0,Motpart!$Z$10=0),0,((T25/$T$30)*(Motpart!$Y$10+Motpart!$Z$10)))))</f>
        <v>1276.4090882140858</v>
      </c>
    </row>
    <row r="26" spans="1:34">
      <c r="A26" s="467" t="s">
        <v>217</v>
      </c>
      <c r="B26" s="743" t="s">
        <v>60</v>
      </c>
      <c r="C26" s="16">
        <v>711.55399999999997</v>
      </c>
      <c r="D26" s="17">
        <v>288.089</v>
      </c>
      <c r="E26" s="16">
        <v>285.738</v>
      </c>
      <c r="F26" s="16">
        <v>134.94999999999999</v>
      </c>
      <c r="G26" s="16">
        <v>645.31500000000005</v>
      </c>
      <c r="H26" s="17">
        <v>102.946</v>
      </c>
      <c r="I26" s="16">
        <v>15.513</v>
      </c>
      <c r="J26" s="88">
        <v>33.454000000000001</v>
      </c>
      <c r="K26" s="27"/>
      <c r="L26" s="92">
        <v>42.107999999999997</v>
      </c>
      <c r="M26" s="19">
        <v>206.893</v>
      </c>
      <c r="N26" s="17">
        <v>6.3550000000000004</v>
      </c>
      <c r="O26" s="297">
        <v>82.858999999999995</v>
      </c>
      <c r="P26" s="296">
        <f t="shared" si="2"/>
        <v>2555.7740000000003</v>
      </c>
      <c r="Q26" s="40"/>
      <c r="R26" s="92">
        <v>28.855</v>
      </c>
      <c r="S26" s="19">
        <v>0.35899999999999999</v>
      </c>
      <c r="T26" s="89">
        <v>825.69899999999996</v>
      </c>
      <c r="U26" s="41"/>
      <c r="V26" s="102">
        <v>129.60499999999999</v>
      </c>
      <c r="W26" s="330">
        <f t="shared" si="1"/>
        <v>984.51800000000003</v>
      </c>
      <c r="X26" s="47"/>
      <c r="Y26" s="868">
        <v>2384.1889999999999</v>
      </c>
      <c r="Z26" s="1458"/>
      <c r="AA26" s="1445"/>
      <c r="AB26" s="1445"/>
      <c r="AC26" s="2106"/>
      <c r="AD26" s="1989"/>
      <c r="AE26" s="2139"/>
      <c r="AF26" s="2162">
        <v>1571.2560000000001</v>
      </c>
      <c r="AG26" s="2151">
        <v>2188.2739999999999</v>
      </c>
      <c r="AH26" s="1621">
        <f>W26-V26-(IF(AND(Motpart!$Y$10="",Motpart!$Z$10=""),0,IF(AND(Motpart!$Y$10=0,Motpart!$Z$10=0),0,((T26/$T$30)*(Motpart!$Y$10+Motpart!$Z$10)))))</f>
        <v>804.37787974376579</v>
      </c>
    </row>
    <row r="27" spans="1:34">
      <c r="A27" s="467" t="s">
        <v>218</v>
      </c>
      <c r="B27" s="743" t="s">
        <v>61</v>
      </c>
      <c r="C27" s="16">
        <v>176.732</v>
      </c>
      <c r="D27" s="17">
        <v>70.894000000000005</v>
      </c>
      <c r="E27" s="16">
        <v>2.2240000000000002</v>
      </c>
      <c r="F27" s="16">
        <v>14.263999999999999</v>
      </c>
      <c r="G27" s="16">
        <v>31.327999999999999</v>
      </c>
      <c r="H27" s="17">
        <v>0.26400000000000001</v>
      </c>
      <c r="I27" s="16">
        <v>2.0179999999999998</v>
      </c>
      <c r="J27" s="88">
        <v>0.97599999999999998</v>
      </c>
      <c r="K27" s="27"/>
      <c r="L27" s="92">
        <v>4.0750000000000002</v>
      </c>
      <c r="M27" s="19">
        <v>23.992999999999999</v>
      </c>
      <c r="N27" s="17">
        <v>0.65100000000000002</v>
      </c>
      <c r="O27" s="297">
        <v>12.242000000000001</v>
      </c>
      <c r="P27" s="296">
        <f t="shared" si="2"/>
        <v>339.66099999999994</v>
      </c>
      <c r="Q27" s="40"/>
      <c r="R27" s="92">
        <v>294.35700000000003</v>
      </c>
      <c r="S27" s="19">
        <v>1.2E-2</v>
      </c>
      <c r="T27" s="89">
        <v>19.12</v>
      </c>
      <c r="U27" s="41"/>
      <c r="V27" s="102">
        <v>11.551</v>
      </c>
      <c r="W27" s="330">
        <f t="shared" si="1"/>
        <v>325.04000000000002</v>
      </c>
      <c r="X27" s="47"/>
      <c r="Y27" s="868">
        <v>325.50900000000001</v>
      </c>
      <c r="Z27" s="1444"/>
      <c r="AA27" s="1445"/>
      <c r="AB27" s="1445"/>
      <c r="AC27" s="2106"/>
      <c r="AD27" s="1989"/>
      <c r="AE27" s="2139"/>
      <c r="AF27" s="2162">
        <v>14.621</v>
      </c>
      <c r="AG27" s="2151">
        <v>313.58100000000002</v>
      </c>
      <c r="AH27" s="1621">
        <f>W27-V27-(IF(AND(Motpart!$Y$10="",Motpart!$Z$10=""),0,IF(AND(Motpart!$Y$10=0,Motpart!$Z$10=0),0,((T27/$T$30)*(Motpart!$Y$10+Motpart!$Z$10)))))</f>
        <v>312.31880178091632</v>
      </c>
    </row>
    <row r="28" spans="1:34">
      <c r="A28" s="467" t="s">
        <v>219</v>
      </c>
      <c r="B28" s="743" t="s">
        <v>17</v>
      </c>
      <c r="C28" s="16">
        <v>1757.779</v>
      </c>
      <c r="D28" s="17">
        <v>719.77200000000005</v>
      </c>
      <c r="E28" s="16">
        <v>283.14699999999999</v>
      </c>
      <c r="F28" s="16">
        <v>6055.3010000000004</v>
      </c>
      <c r="G28" s="16">
        <v>430.86900000000003</v>
      </c>
      <c r="H28" s="17">
        <v>718.61699999999996</v>
      </c>
      <c r="I28" s="16">
        <v>117.55500000000001</v>
      </c>
      <c r="J28" s="88">
        <v>268.52300000000002</v>
      </c>
      <c r="K28" s="27"/>
      <c r="L28" s="92">
        <v>297.46100000000001</v>
      </c>
      <c r="M28" s="19">
        <v>202.05099999999999</v>
      </c>
      <c r="N28" s="17">
        <v>23.591000000000001</v>
      </c>
      <c r="O28" s="297">
        <v>158.96600000000001</v>
      </c>
      <c r="P28" s="296">
        <f t="shared" si="2"/>
        <v>11033.632</v>
      </c>
      <c r="Q28" s="40"/>
      <c r="R28" s="92">
        <v>157.22300000000001</v>
      </c>
      <c r="S28" s="19">
        <v>44.143000000000001</v>
      </c>
      <c r="T28" s="89">
        <v>555.78200000000004</v>
      </c>
      <c r="U28" s="41"/>
      <c r="V28" s="102">
        <v>201.64699999999999</v>
      </c>
      <c r="W28" s="330">
        <f t="shared" si="1"/>
        <v>958.79500000000007</v>
      </c>
      <c r="X28" s="47"/>
      <c r="Y28" s="868">
        <v>10679.674999999999</v>
      </c>
      <c r="Z28" s="1444"/>
      <c r="AA28" s="1445"/>
      <c r="AB28" s="1445"/>
      <c r="AC28" s="2106"/>
      <c r="AD28" s="1989"/>
      <c r="AE28" s="2139"/>
      <c r="AF28" s="2162">
        <v>10074.837</v>
      </c>
      <c r="AG28" s="2151">
        <v>4058.0680000000002</v>
      </c>
      <c r="AH28" s="1621">
        <f>W28-V28-(IF(AND(Motpart!$Y$10="",Motpart!$Z$10=""),0,IF(AND(Motpart!$Y$10=0,Motpart!$Z$10=0),0,((T28/$T$30)*(Motpart!$Y$10+Motpart!$Z$10)))))</f>
        <v>723.13256555445719</v>
      </c>
    </row>
    <row r="29" spans="1:34">
      <c r="A29" s="467" t="s">
        <v>220</v>
      </c>
      <c r="B29" s="743" t="s">
        <v>62</v>
      </c>
      <c r="C29" s="16">
        <v>532.80799999999999</v>
      </c>
      <c r="D29" s="17">
        <v>214.762</v>
      </c>
      <c r="E29" s="16">
        <v>145.608</v>
      </c>
      <c r="F29" s="16">
        <v>33.716000000000001</v>
      </c>
      <c r="G29" s="16">
        <v>387.12700000000001</v>
      </c>
      <c r="H29" s="17">
        <v>18.82</v>
      </c>
      <c r="I29" s="16">
        <v>13.317</v>
      </c>
      <c r="J29" s="88">
        <v>59.738999999999997</v>
      </c>
      <c r="K29" s="27"/>
      <c r="L29" s="92">
        <v>36.503999999999998</v>
      </c>
      <c r="M29" s="19">
        <v>102.18600000000001</v>
      </c>
      <c r="N29" s="17">
        <v>2.0760000000000001</v>
      </c>
      <c r="O29" s="297">
        <v>66.311999999999998</v>
      </c>
      <c r="P29" s="296">
        <f t="shared" si="2"/>
        <v>1612.9749999999997</v>
      </c>
      <c r="Q29" s="40"/>
      <c r="R29" s="92">
        <v>4.218</v>
      </c>
      <c r="S29" s="19">
        <v>2.19</v>
      </c>
      <c r="T29" s="89">
        <v>810.43200000000002</v>
      </c>
      <c r="U29" s="41"/>
      <c r="V29" s="102">
        <v>38.512</v>
      </c>
      <c r="W29" s="330">
        <f t="shared" si="1"/>
        <v>855.35200000000009</v>
      </c>
      <c r="X29" s="47"/>
      <c r="Y29" s="868">
        <v>1525.299</v>
      </c>
      <c r="Z29" s="1452"/>
      <c r="AA29" s="1453"/>
      <c r="AB29" s="1453"/>
      <c r="AC29" s="2109"/>
      <c r="AD29" s="1989"/>
      <c r="AE29" s="2139"/>
      <c r="AF29" s="2162">
        <v>757.62300000000005</v>
      </c>
      <c r="AG29" s="2151">
        <v>1521.9269999999999</v>
      </c>
      <c r="AH29" s="1621">
        <f>W29-V29-(IF(AND(Motpart!$Y$10="",Motpart!$Z$10=""),0,IF(AND(Motpart!$Y$10=0,Motpart!$Z$10=0),0,((T29/$T$30)*(Motpart!$Y$10+Motpart!$Z$10)))))</f>
        <v>767.23926343679682</v>
      </c>
    </row>
    <row r="30" spans="1:34" ht="12.75" customHeight="1" thickBot="1">
      <c r="A30" s="465" t="s">
        <v>221</v>
      </c>
      <c r="B30" s="743" t="s">
        <v>63</v>
      </c>
      <c r="C30" s="292">
        <f t="shared" ref="C30:M30" si="3">SUM(C19:C29)</f>
        <v>15045.810000000001</v>
      </c>
      <c r="D30" s="22">
        <f t="shared" si="3"/>
        <v>6167.7709999999997</v>
      </c>
      <c r="E30" s="22">
        <f t="shared" si="3"/>
        <v>7391.3200000000015</v>
      </c>
      <c r="F30" s="300">
        <f t="shared" si="3"/>
        <v>13126.102000000001</v>
      </c>
      <c r="G30" s="301">
        <f t="shared" si="3"/>
        <v>8333.9770000000008</v>
      </c>
      <c r="H30" s="302">
        <f t="shared" si="3"/>
        <v>3320.2350000000001</v>
      </c>
      <c r="I30" s="292">
        <f t="shared" si="3"/>
        <v>557.63200000000006</v>
      </c>
      <c r="J30" s="93">
        <f t="shared" si="3"/>
        <v>15363.841999999999</v>
      </c>
      <c r="K30" s="131"/>
      <c r="L30" s="298">
        <f>SUM(L19:L29)</f>
        <v>1735.816</v>
      </c>
      <c r="M30" s="292">
        <f t="shared" si="3"/>
        <v>5645.3810000000003</v>
      </c>
      <c r="N30" s="22">
        <f t="shared" ref="N30:W30" si="4">SUM(N19:N29)</f>
        <v>248.20900000000003</v>
      </c>
      <c r="O30" s="22">
        <f t="shared" si="4"/>
        <v>2239.7439999999992</v>
      </c>
      <c r="P30" s="93">
        <f t="shared" si="4"/>
        <v>79175.839000000007</v>
      </c>
      <c r="Q30" s="40"/>
      <c r="R30" s="298">
        <f t="shared" si="4"/>
        <v>9452.0160000000014</v>
      </c>
      <c r="S30" s="292">
        <f t="shared" si="4"/>
        <v>305.233</v>
      </c>
      <c r="T30" s="93">
        <f t="shared" si="4"/>
        <v>9327.5580000000009</v>
      </c>
      <c r="U30" s="40"/>
      <c r="V30" s="105">
        <f t="shared" si="4"/>
        <v>5511.4319999999998</v>
      </c>
      <c r="W30" s="106">
        <f t="shared" si="4"/>
        <v>24596.239000000001</v>
      </c>
      <c r="X30" s="47"/>
      <c r="Y30" s="1332">
        <v>73093.565000000002</v>
      </c>
      <c r="Z30" s="849">
        <f>(P30-W30)*1000/invanare</f>
        <v>5145.1342915344203</v>
      </c>
      <c r="AA30" s="849">
        <f>Y30*1000/invanare</f>
        <v>6890.4170747312191</v>
      </c>
      <c r="AB30" s="849">
        <v>6592.009</v>
      </c>
      <c r="AC30" s="2107">
        <f>IF(ISERROR((AA30-AB30)/AB30)," ",((AA30-AB30)/AB30))</f>
        <v>4.5268153415934223E-2</v>
      </c>
      <c r="AD30" s="1989"/>
      <c r="AE30" s="2140">
        <f>IF(ISERROR(F30/(AA30/1000*invanare)),"",(F30/(AA30/100000*invanare)))</f>
        <v>17.957944724682676</v>
      </c>
      <c r="AF30" s="2162">
        <v>54579.63</v>
      </c>
      <c r="AG30" s="2152">
        <v>57218.101999999999</v>
      </c>
      <c r="AH30" s="1623">
        <f>W30-V30-SUM(Motpart!Y10:Z10)</f>
        <v>18513.934000000001</v>
      </c>
    </row>
    <row r="31" spans="1:34" ht="37.5" customHeight="1" thickBot="1">
      <c r="A31" s="1082"/>
      <c r="B31" s="745" t="s">
        <v>64</v>
      </c>
      <c r="C31" s="784"/>
      <c r="D31" s="785"/>
      <c r="E31" s="786"/>
      <c r="F31" s="787"/>
      <c r="G31" s="788"/>
      <c r="H31" s="789"/>
      <c r="I31" s="788"/>
      <c r="J31" s="790"/>
      <c r="K31" s="27"/>
      <c r="L31" s="814"/>
      <c r="M31" s="788"/>
      <c r="N31" s="785"/>
      <c r="O31" s="785"/>
      <c r="P31" s="790"/>
      <c r="Q31" s="41"/>
      <c r="R31" s="814"/>
      <c r="S31" s="788"/>
      <c r="T31" s="790"/>
      <c r="U31" s="41"/>
      <c r="V31" s="829"/>
      <c r="W31" s="830"/>
      <c r="X31" s="27"/>
      <c r="Y31" s="1460" t="s">
        <v>912</v>
      </c>
      <c r="Z31" s="2454"/>
      <c r="AA31" s="2455"/>
      <c r="AB31" s="2455"/>
      <c r="AC31" s="2456"/>
      <c r="AD31" s="1989"/>
      <c r="AE31" s="2139">
        <f>IF(ISERROR(F30/(AA30/1000*invanare)),"",(SUM(Motpart!D10,Motpart!F10)/(AA30/100000*invanare)))</f>
        <v>7.4842785407990435</v>
      </c>
      <c r="AF31" s="2165"/>
      <c r="AG31" s="2154"/>
      <c r="AH31" s="1624"/>
    </row>
    <row r="32" spans="1:34" ht="9" customHeight="1">
      <c r="A32" s="1083"/>
      <c r="B32" s="746" t="s">
        <v>65</v>
      </c>
      <c r="C32" s="791"/>
      <c r="D32" s="792"/>
      <c r="E32" s="793"/>
      <c r="F32" s="794"/>
      <c r="G32" s="795"/>
      <c r="H32" s="796"/>
      <c r="I32" s="795"/>
      <c r="J32" s="797"/>
      <c r="K32" s="27"/>
      <c r="L32" s="815"/>
      <c r="M32" s="795"/>
      <c r="N32" s="792"/>
      <c r="O32" s="792"/>
      <c r="P32" s="797"/>
      <c r="Q32" s="41"/>
      <c r="R32" s="815"/>
      <c r="S32" s="795"/>
      <c r="T32" s="797"/>
      <c r="U32" s="41"/>
      <c r="V32" s="831"/>
      <c r="W32" s="832"/>
      <c r="X32" s="27"/>
      <c r="Y32" s="1331"/>
      <c r="Z32" s="842"/>
      <c r="AA32" s="843"/>
      <c r="AB32" s="844"/>
      <c r="AC32" s="2110"/>
      <c r="AD32" s="1989"/>
      <c r="AE32" s="2139"/>
      <c r="AF32" s="2166"/>
      <c r="AG32" s="2155"/>
      <c r="AH32" s="1625"/>
    </row>
    <row r="33" spans="1:34" ht="12" customHeight="1">
      <c r="A33" s="467" t="s">
        <v>222</v>
      </c>
      <c r="B33" s="742" t="s">
        <v>66</v>
      </c>
      <c r="C33" s="16">
        <v>6.3090000000000002</v>
      </c>
      <c r="D33" s="17">
        <v>3.0910000000000002</v>
      </c>
      <c r="E33" s="371">
        <v>0.70699999999999996</v>
      </c>
      <c r="F33" s="372">
        <v>1.7749999999999999</v>
      </c>
      <c r="G33" s="16">
        <v>4.149</v>
      </c>
      <c r="H33" s="373">
        <v>560.85</v>
      </c>
      <c r="I33" s="16">
        <v>1.044</v>
      </c>
      <c r="J33" s="88">
        <v>0.28599999999999998</v>
      </c>
      <c r="K33" s="27"/>
      <c r="L33" s="91">
        <v>11.311</v>
      </c>
      <c r="M33" s="16">
        <v>1.61</v>
      </c>
      <c r="N33" s="17">
        <v>0.54</v>
      </c>
      <c r="O33" s="297">
        <v>1.3260000000000001</v>
      </c>
      <c r="P33" s="296">
        <f>SUM(C33:O33)</f>
        <v>592.99799999999993</v>
      </c>
      <c r="Q33" s="40"/>
      <c r="R33" s="91">
        <v>0.41699999999999998</v>
      </c>
      <c r="S33" s="16">
        <v>1.3720000000000001</v>
      </c>
      <c r="T33" s="88">
        <v>2.484</v>
      </c>
      <c r="U33" s="41"/>
      <c r="V33" s="101">
        <v>2.1459999999999999</v>
      </c>
      <c r="W33" s="330">
        <f>SUM(R33:V33)</f>
        <v>6.4189999999999996</v>
      </c>
      <c r="X33" s="47"/>
      <c r="Y33" s="848">
        <v>590.76300000000003</v>
      </c>
      <c r="Z33" s="842"/>
      <c r="AA33" s="842"/>
      <c r="AB33" s="842"/>
      <c r="AC33" s="2111"/>
      <c r="AD33" s="1989"/>
      <c r="AE33" s="2139"/>
      <c r="AF33" s="2162">
        <v>586.57899999999995</v>
      </c>
      <c r="AG33" s="2151">
        <v>28.227</v>
      </c>
      <c r="AH33" s="1621">
        <f>W33-V33-(IF(AND(Motpart!$Y$11="",Motpart!$Z$11=""),0,IF(AND(Motpart!$Y$11=0,Motpart!$Z$11=0),0,((T33/$T$37)*(Motpart!$Y$11+Motpart!$Z$11)))))</f>
        <v>4.224588728643524</v>
      </c>
    </row>
    <row r="34" spans="1:34">
      <c r="A34" s="467" t="s">
        <v>223</v>
      </c>
      <c r="B34" s="743" t="s">
        <v>67</v>
      </c>
      <c r="C34" s="16">
        <v>1606.0640000000001</v>
      </c>
      <c r="D34" s="17">
        <v>646.26900000000001</v>
      </c>
      <c r="E34" s="16">
        <v>256.99900000000002</v>
      </c>
      <c r="F34" s="16">
        <v>144.33099999999999</v>
      </c>
      <c r="G34" s="16">
        <v>1040.383</v>
      </c>
      <c r="H34" s="20">
        <v>1521.0170000000001</v>
      </c>
      <c r="I34" s="19">
        <v>318.65699999999998</v>
      </c>
      <c r="J34" s="89">
        <v>212.661</v>
      </c>
      <c r="K34" s="27"/>
      <c r="L34" s="92">
        <v>945.94500000000005</v>
      </c>
      <c r="M34" s="19">
        <v>365.96100000000001</v>
      </c>
      <c r="N34" s="17">
        <v>15.986000000000001</v>
      </c>
      <c r="O34" s="297">
        <v>186.809</v>
      </c>
      <c r="P34" s="296">
        <f>SUM(C34:O34)</f>
        <v>7261.0820000000003</v>
      </c>
      <c r="Q34" s="40"/>
      <c r="R34" s="92">
        <v>137.733</v>
      </c>
      <c r="S34" s="19">
        <v>91.548000000000002</v>
      </c>
      <c r="T34" s="89">
        <v>841.45100000000002</v>
      </c>
      <c r="U34" s="41"/>
      <c r="V34" s="102">
        <v>323.93700000000001</v>
      </c>
      <c r="W34" s="330">
        <f>SUM(R34:V34)</f>
        <v>1394.6689999999999</v>
      </c>
      <c r="X34" s="47"/>
      <c r="Y34" s="868">
        <v>6926.2470000000003</v>
      </c>
      <c r="Z34" s="842"/>
      <c r="AA34" s="842"/>
      <c r="AB34" s="842"/>
      <c r="AC34" s="2111"/>
      <c r="AD34" s="1989"/>
      <c r="AE34" s="2139"/>
      <c r="AF34" s="2162">
        <v>5866.4129999999996</v>
      </c>
      <c r="AG34" s="2151">
        <v>5271.799</v>
      </c>
      <c r="AH34" s="1621">
        <f>W34-V34-(IF(AND(Motpart!$Y$11="",Motpart!$Z$11=""),0,IF(AND(Motpart!$Y$11=0,Motpart!$Z$11=0),0,((T34/$T$37)*(Motpart!$Y$11+Motpart!$Z$11)))))</f>
        <v>1054.3327597849525</v>
      </c>
    </row>
    <row r="35" spans="1:34">
      <c r="A35" s="467" t="s">
        <v>224</v>
      </c>
      <c r="B35" s="743" t="s">
        <v>68</v>
      </c>
      <c r="C35" s="16">
        <v>2244.73</v>
      </c>
      <c r="D35" s="17">
        <v>907.73800000000006</v>
      </c>
      <c r="E35" s="19">
        <v>592.48900000000003</v>
      </c>
      <c r="F35" s="19">
        <v>42.61</v>
      </c>
      <c r="G35" s="19">
        <v>530.04100000000005</v>
      </c>
      <c r="H35" s="20">
        <v>5.5069999999999997</v>
      </c>
      <c r="I35" s="19">
        <v>382.44600000000003</v>
      </c>
      <c r="J35" s="89">
        <v>206.06200000000001</v>
      </c>
      <c r="K35" s="27"/>
      <c r="L35" s="92">
        <v>739.58399999999995</v>
      </c>
      <c r="M35" s="19">
        <v>317.28100000000001</v>
      </c>
      <c r="N35" s="17">
        <v>23.718</v>
      </c>
      <c r="O35" s="297">
        <v>236.09899999999999</v>
      </c>
      <c r="P35" s="296">
        <f>SUM(C35:O35)</f>
        <v>6228.3049999999994</v>
      </c>
      <c r="Q35" s="40"/>
      <c r="R35" s="92">
        <v>33.008000000000003</v>
      </c>
      <c r="S35" s="19">
        <v>4.67</v>
      </c>
      <c r="T35" s="89">
        <v>275.238</v>
      </c>
      <c r="U35" s="41"/>
      <c r="V35" s="102">
        <v>212.60499999999999</v>
      </c>
      <c r="W35" s="330">
        <f>SUM(R35:V35)</f>
        <v>525.52099999999996</v>
      </c>
      <c r="X35" s="47"/>
      <c r="Y35" s="868">
        <v>6006.7430000000004</v>
      </c>
      <c r="Z35" s="842"/>
      <c r="AA35" s="842"/>
      <c r="AB35" s="842"/>
      <c r="AC35" s="2111"/>
      <c r="AD35" s="1989"/>
      <c r="AE35" s="2139"/>
      <c r="AF35" s="2162">
        <v>5702.7839999999997</v>
      </c>
      <c r="AG35" s="2151">
        <v>5967.5839999999998</v>
      </c>
      <c r="AH35" s="1621">
        <f>W35-V35-(IF(AND(Motpart!$Y$11="",Motpart!$Z$11=""),0,IF(AND(Motpart!$Y$11=0,Motpart!$Z$11=0),0,((T35/$T$37)*(Motpart!$Y$11+Motpart!$Z$11)))))</f>
        <v>307.55182064991391</v>
      </c>
    </row>
    <row r="36" spans="1:34">
      <c r="A36" s="467" t="s">
        <v>225</v>
      </c>
      <c r="B36" s="743" t="s">
        <v>69</v>
      </c>
      <c r="C36" s="16">
        <v>1954.4870000000001</v>
      </c>
      <c r="D36" s="17">
        <v>788.07</v>
      </c>
      <c r="E36" s="19">
        <v>101.913</v>
      </c>
      <c r="F36" s="19">
        <v>105.08199999999999</v>
      </c>
      <c r="G36" s="19">
        <v>216.41499999999999</v>
      </c>
      <c r="H36" s="20">
        <v>17.844999999999999</v>
      </c>
      <c r="I36" s="19">
        <v>140.72300000000001</v>
      </c>
      <c r="J36" s="89">
        <v>37.542000000000002</v>
      </c>
      <c r="K36" s="27"/>
      <c r="L36" s="92">
        <v>287.351</v>
      </c>
      <c r="M36" s="19">
        <v>207.30699999999999</v>
      </c>
      <c r="N36" s="17">
        <v>12.881</v>
      </c>
      <c r="O36" s="297">
        <v>153.43600000000001</v>
      </c>
      <c r="P36" s="296">
        <f>SUM(C36:O36)</f>
        <v>4023.0519999999997</v>
      </c>
      <c r="Q36" s="40"/>
      <c r="R36" s="92">
        <v>260.21899999999999</v>
      </c>
      <c r="S36" s="19">
        <v>3.472</v>
      </c>
      <c r="T36" s="89">
        <v>201.09399999999999</v>
      </c>
      <c r="U36" s="41"/>
      <c r="V36" s="102">
        <v>161.886</v>
      </c>
      <c r="W36" s="330">
        <f>SUM(R36:V36)</f>
        <v>626.67099999999994</v>
      </c>
      <c r="X36" s="47"/>
      <c r="Y36" s="868">
        <v>3855.3919999999998</v>
      </c>
      <c r="Z36" s="850">
        <f>(P36-W36)*1000/invanare</f>
        <v>320.17157234966845</v>
      </c>
      <c r="AA36" s="850">
        <f>Y36*1000/inv7_15</f>
        <v>3442.1268127360922</v>
      </c>
      <c r="AB36" s="850">
        <v>3371.373</v>
      </c>
      <c r="AC36" s="2112">
        <f>IF(ISERROR((AA36-AB36)/AB36)," ",((AA36-AB36)/AB36))</f>
        <v>2.098664631178223E-2</v>
      </c>
      <c r="AD36" s="1989"/>
      <c r="AE36" s="2139"/>
      <c r="AF36" s="2162">
        <v>3396.3829999999998</v>
      </c>
      <c r="AG36" s="2151">
        <v>3738.2420000000002</v>
      </c>
      <c r="AH36" s="1621">
        <f>W36-V36-(IF(AND(Motpart!$Y$11="",Motpart!$Z$11=""),0,IF(AND(Motpart!$Y$11=0,Motpart!$Z$11=0),0,((T36/$T$37)*(Motpart!$Y$11+Motpart!$Z$11)))))</f>
        <v>460.86583083648986</v>
      </c>
    </row>
    <row r="37" spans="1:34">
      <c r="A37" s="467" t="s">
        <v>226</v>
      </c>
      <c r="B37" s="743" t="s">
        <v>70</v>
      </c>
      <c r="C37" s="292">
        <f t="shared" ref="C37:M37" si="5">SUM(C33:C36)</f>
        <v>5811.59</v>
      </c>
      <c r="D37" s="22">
        <f t="shared" si="5"/>
        <v>2345.1680000000001</v>
      </c>
      <c r="E37" s="292">
        <f t="shared" si="5"/>
        <v>952.10800000000006</v>
      </c>
      <c r="F37" s="292">
        <f t="shared" si="5"/>
        <v>293.798</v>
      </c>
      <c r="G37" s="292">
        <f t="shared" si="5"/>
        <v>1790.9879999999998</v>
      </c>
      <c r="H37" s="22">
        <f t="shared" si="5"/>
        <v>2105.2190000000001</v>
      </c>
      <c r="I37" s="292">
        <f t="shared" si="5"/>
        <v>842.86999999999989</v>
      </c>
      <c r="J37" s="93">
        <f t="shared" si="5"/>
        <v>456.55100000000004</v>
      </c>
      <c r="K37" s="131"/>
      <c r="L37" s="298">
        <f>SUM(L33:L36)</f>
        <v>1984.1910000000003</v>
      </c>
      <c r="M37" s="292">
        <f t="shared" si="5"/>
        <v>892.15900000000011</v>
      </c>
      <c r="N37" s="22">
        <f t="shared" ref="N37:W37" si="6">SUM(N33:N36)</f>
        <v>53.125</v>
      </c>
      <c r="O37" s="22">
        <f t="shared" si="6"/>
        <v>577.66999999999996</v>
      </c>
      <c r="P37" s="93">
        <f t="shared" si="6"/>
        <v>18105.436999999998</v>
      </c>
      <c r="Q37" s="40"/>
      <c r="R37" s="298">
        <f t="shared" si="6"/>
        <v>431.37700000000001</v>
      </c>
      <c r="S37" s="292">
        <f t="shared" si="6"/>
        <v>101.062</v>
      </c>
      <c r="T37" s="93">
        <f t="shared" si="6"/>
        <v>1320.2670000000001</v>
      </c>
      <c r="U37" s="40"/>
      <c r="V37" s="105">
        <f t="shared" si="6"/>
        <v>700.57399999999996</v>
      </c>
      <c r="W37" s="106">
        <f t="shared" si="6"/>
        <v>2553.2799999999997</v>
      </c>
      <c r="X37" s="47"/>
      <c r="Y37" s="848">
        <v>17379.147000000001</v>
      </c>
      <c r="Z37" s="851">
        <f>(P37-W37)*1000/invanare</f>
        <v>1466.0777339523754</v>
      </c>
      <c r="AA37" s="852">
        <f>Y37*1000/invanare</f>
        <v>1638.3052493480629</v>
      </c>
      <c r="AB37" s="852">
        <v>1603.0740000000001</v>
      </c>
      <c r="AC37" s="2113">
        <f>IF(ISERROR((AA37-AB37)/AB37)," ",((AA37-AB37)/AB37))</f>
        <v>2.197730694157779E-2</v>
      </c>
      <c r="AD37" s="1989"/>
      <c r="AE37" s="2139"/>
      <c r="AF37" s="2162">
        <v>15552.172</v>
      </c>
      <c r="AG37" s="2151">
        <v>15005.862999999999</v>
      </c>
      <c r="AH37" s="1621">
        <f>W37-V37-SUM(Motpart!Y11:Z11)</f>
        <v>1826.9749999999997</v>
      </c>
    </row>
    <row r="38" spans="1:34" ht="9" customHeight="1">
      <c r="A38" s="1083"/>
      <c r="B38" s="746" t="s">
        <v>71</v>
      </c>
      <c r="C38" s="798"/>
      <c r="D38" s="799"/>
      <c r="E38" s="800"/>
      <c r="F38" s="800"/>
      <c r="G38" s="800"/>
      <c r="H38" s="799"/>
      <c r="I38" s="800"/>
      <c r="J38" s="801"/>
      <c r="K38" s="27"/>
      <c r="L38" s="816"/>
      <c r="M38" s="800"/>
      <c r="N38" s="799"/>
      <c r="O38" s="799"/>
      <c r="P38" s="801"/>
      <c r="Q38" s="41"/>
      <c r="R38" s="816"/>
      <c r="S38" s="800"/>
      <c r="T38" s="801"/>
      <c r="U38" s="41"/>
      <c r="V38" s="833"/>
      <c r="W38" s="834"/>
      <c r="X38" s="27"/>
      <c r="Y38" s="1331"/>
      <c r="Z38" s="842"/>
      <c r="AA38" s="843"/>
      <c r="AB38" s="844"/>
      <c r="AC38" s="2110"/>
      <c r="AD38" s="1989"/>
      <c r="AE38" s="2139"/>
      <c r="AF38" s="2162">
        <f t="shared" ref="AF38" si="7">P38-W38</f>
        <v>0</v>
      </c>
      <c r="AG38" s="2151">
        <f t="shared" ref="AG38" si="8">P38-F38-H38-V38</f>
        <v>0</v>
      </c>
      <c r="AH38" s="1621"/>
    </row>
    <row r="39" spans="1:34" ht="11.25" customHeight="1">
      <c r="A39" s="467" t="s">
        <v>227</v>
      </c>
      <c r="B39" s="742" t="s">
        <v>72</v>
      </c>
      <c r="C39" s="16">
        <v>500.48899999999998</v>
      </c>
      <c r="D39" s="17">
        <v>202.00899999999999</v>
      </c>
      <c r="E39" s="16">
        <v>74.087999999999994</v>
      </c>
      <c r="F39" s="16">
        <v>72.296000000000006</v>
      </c>
      <c r="G39" s="16">
        <v>196</v>
      </c>
      <c r="H39" s="17">
        <v>1838.4949999999999</v>
      </c>
      <c r="I39" s="16">
        <v>65.620999999999995</v>
      </c>
      <c r="J39" s="88">
        <v>47.287999999999997</v>
      </c>
      <c r="K39" s="27"/>
      <c r="L39" s="91">
        <v>237.28399999999999</v>
      </c>
      <c r="M39" s="16">
        <v>95.301000000000002</v>
      </c>
      <c r="N39" s="17">
        <v>9.5220000000000002</v>
      </c>
      <c r="O39" s="297">
        <v>52.63</v>
      </c>
      <c r="P39" s="296">
        <f>SUM(C39:O39)</f>
        <v>3391.0230000000001</v>
      </c>
      <c r="Q39" s="40"/>
      <c r="R39" s="91">
        <v>22.337</v>
      </c>
      <c r="S39" s="16">
        <v>16.163</v>
      </c>
      <c r="T39" s="88">
        <v>137.53</v>
      </c>
      <c r="U39" s="41"/>
      <c r="V39" s="101">
        <v>75.385999999999996</v>
      </c>
      <c r="W39" s="330">
        <f>SUM(R39:V39)</f>
        <v>251.416</v>
      </c>
      <c r="X39" s="47"/>
      <c r="Y39" s="868">
        <v>3314.5129999999999</v>
      </c>
      <c r="Z39" s="1462"/>
      <c r="AA39" s="1463"/>
      <c r="AB39" s="1463"/>
      <c r="AC39" s="2114"/>
      <c r="AD39" s="1989"/>
      <c r="AE39" s="2139"/>
      <c r="AF39" s="2162">
        <v>3139.605</v>
      </c>
      <c r="AG39" s="2151">
        <v>1404.8440000000001</v>
      </c>
      <c r="AH39" s="1621">
        <f>W39-V39-(IF(AND(Motpart!$Y$12="",Motpart!$Z$12=""),0,IF(AND(Motpart!$Y$12=0,Motpart!$Z$12=0),0,((T39/$T$42)*(Motpart!$Y$12+Motpart!$Z$12)))))</f>
        <v>173.67949499190698</v>
      </c>
    </row>
    <row r="40" spans="1:34">
      <c r="A40" s="467" t="s">
        <v>228</v>
      </c>
      <c r="B40" s="743" t="s">
        <v>73</v>
      </c>
      <c r="C40" s="16">
        <v>2585.8510000000001</v>
      </c>
      <c r="D40" s="17">
        <v>1049.7049999999999</v>
      </c>
      <c r="E40" s="19">
        <v>1676.0029999999999</v>
      </c>
      <c r="F40" s="19">
        <v>674.43100000000004</v>
      </c>
      <c r="G40" s="19">
        <v>1175.9480000000001</v>
      </c>
      <c r="H40" s="20">
        <v>493.11500000000001</v>
      </c>
      <c r="I40" s="19">
        <v>1629.53</v>
      </c>
      <c r="J40" s="89">
        <v>2041.874</v>
      </c>
      <c r="K40" s="27"/>
      <c r="L40" s="92">
        <v>7425.5029999999997</v>
      </c>
      <c r="M40" s="19">
        <v>1296.232</v>
      </c>
      <c r="N40" s="17">
        <v>32.292000000000002</v>
      </c>
      <c r="O40" s="297">
        <v>717.21400000000006</v>
      </c>
      <c r="P40" s="296">
        <f>SUM(C40:O40)</f>
        <v>20797.698</v>
      </c>
      <c r="Q40" s="40"/>
      <c r="R40" s="92">
        <v>1132.117</v>
      </c>
      <c r="S40" s="19">
        <v>505.38200000000001</v>
      </c>
      <c r="T40" s="89">
        <v>1428.4970000000001</v>
      </c>
      <c r="U40" s="41"/>
      <c r="V40" s="102">
        <v>1616.0719999999999</v>
      </c>
      <c r="W40" s="330">
        <f>SUM(R40:V40)</f>
        <v>4682.0680000000002</v>
      </c>
      <c r="X40" s="47"/>
      <c r="Y40" s="868">
        <v>19154.553</v>
      </c>
      <c r="Z40" s="1462"/>
      <c r="AA40" s="1463"/>
      <c r="AB40" s="1463"/>
      <c r="AC40" s="2114"/>
      <c r="AD40" s="1989"/>
      <c r="AE40" s="2139"/>
      <c r="AF40" s="2162">
        <v>16115.629000000001</v>
      </c>
      <c r="AG40" s="2151">
        <v>18014.079000000002</v>
      </c>
      <c r="AH40" s="1621">
        <f>W40-V40-(IF(AND(Motpart!$Y$12="",Motpart!$Z$12=""),0,IF(AND(Motpart!$Y$12=0,Motpart!$Z$12=0),0,((T40/$T$42)*(Motpart!$Y$12+Motpart!$Z$12)))))</f>
        <v>3041.5817678139615</v>
      </c>
    </row>
    <row r="41" spans="1:34">
      <c r="A41" s="467" t="s">
        <v>229</v>
      </c>
      <c r="B41" s="743" t="s">
        <v>74</v>
      </c>
      <c r="C41" s="16">
        <v>1491.8910000000001</v>
      </c>
      <c r="D41" s="17">
        <v>605.65099999999995</v>
      </c>
      <c r="E41" s="19">
        <v>160.56899999999999</v>
      </c>
      <c r="F41" s="19">
        <v>159.46</v>
      </c>
      <c r="G41" s="19">
        <v>215.85900000000001</v>
      </c>
      <c r="H41" s="20">
        <v>62.372999999999998</v>
      </c>
      <c r="I41" s="19">
        <v>115.93600000000001</v>
      </c>
      <c r="J41" s="89">
        <v>39.234000000000002</v>
      </c>
      <c r="K41" s="27"/>
      <c r="L41" s="92">
        <v>317.90499999999997</v>
      </c>
      <c r="M41" s="19">
        <v>215.97399999999999</v>
      </c>
      <c r="N41" s="17">
        <v>8.8130000000000006</v>
      </c>
      <c r="O41" s="297">
        <v>125.90300000000001</v>
      </c>
      <c r="P41" s="296">
        <f>SUM(C41:O41)</f>
        <v>3519.5679999999998</v>
      </c>
      <c r="Q41" s="40"/>
      <c r="R41" s="92">
        <v>30.896000000000001</v>
      </c>
      <c r="S41" s="19">
        <v>4.9450000000000003</v>
      </c>
      <c r="T41" s="89">
        <v>124.93600000000001</v>
      </c>
      <c r="U41" s="41"/>
      <c r="V41" s="102">
        <v>148.54300000000001</v>
      </c>
      <c r="W41" s="330">
        <f>SUM(R41:V41)</f>
        <v>309.32000000000005</v>
      </c>
      <c r="X41" s="47"/>
      <c r="Y41" s="868">
        <v>3370.3220000000001</v>
      </c>
      <c r="Z41" s="1462"/>
      <c r="AA41" s="1463"/>
      <c r="AB41" s="1463"/>
      <c r="AC41" s="2114"/>
      <c r="AD41" s="1989"/>
      <c r="AE41" s="2139"/>
      <c r="AF41" s="2162">
        <v>3210.248</v>
      </c>
      <c r="AG41" s="2151">
        <v>3149.1930000000002</v>
      </c>
      <c r="AH41" s="1621">
        <f>W41-V41-(IF(AND(Motpart!$Y$12="",Motpart!$Z$12=""),0,IF(AND(Motpart!$Y$12=0,Motpart!$Z$12=0),0,((T41/$T$42)*(Motpart!$Y$12+Motpart!$Z$12)))))</f>
        <v>158.64173719413142</v>
      </c>
    </row>
    <row r="42" spans="1:34">
      <c r="A42" s="467" t="s">
        <v>230</v>
      </c>
      <c r="B42" s="743" t="s">
        <v>75</v>
      </c>
      <c r="C42" s="292">
        <f t="shared" ref="C42:W42" si="9">SUM(C39:C41)</f>
        <v>4578.2309999999998</v>
      </c>
      <c r="D42" s="22">
        <f t="shared" si="9"/>
        <v>1857.3649999999998</v>
      </c>
      <c r="E42" s="292">
        <f t="shared" si="9"/>
        <v>1910.6599999999999</v>
      </c>
      <c r="F42" s="292">
        <f t="shared" si="9"/>
        <v>906.18700000000013</v>
      </c>
      <c r="G42" s="292">
        <f t="shared" si="9"/>
        <v>1587.807</v>
      </c>
      <c r="H42" s="22">
        <f t="shared" si="9"/>
        <v>2393.9829999999997</v>
      </c>
      <c r="I42" s="292">
        <f t="shared" si="9"/>
        <v>1811.087</v>
      </c>
      <c r="J42" s="93">
        <f t="shared" si="9"/>
        <v>2128.3959999999997</v>
      </c>
      <c r="K42" s="131"/>
      <c r="L42" s="298">
        <f>SUM(L39:L41)</f>
        <v>7980.6919999999991</v>
      </c>
      <c r="M42" s="292">
        <f t="shared" si="9"/>
        <v>1607.5069999999998</v>
      </c>
      <c r="N42" s="22">
        <f t="shared" si="9"/>
        <v>50.627000000000002</v>
      </c>
      <c r="O42" s="22">
        <f t="shared" si="9"/>
        <v>895.74700000000007</v>
      </c>
      <c r="P42" s="296">
        <f>SUM(C42:O42)</f>
        <v>27708.289000000001</v>
      </c>
      <c r="Q42" s="40"/>
      <c r="R42" s="298">
        <f t="shared" si="9"/>
        <v>1185.3499999999999</v>
      </c>
      <c r="S42" s="292">
        <f t="shared" si="9"/>
        <v>526.49</v>
      </c>
      <c r="T42" s="93">
        <f t="shared" si="9"/>
        <v>1690.963</v>
      </c>
      <c r="U42" s="40"/>
      <c r="V42" s="105">
        <f t="shared" si="9"/>
        <v>1840.0009999999997</v>
      </c>
      <c r="W42" s="106">
        <f t="shared" si="9"/>
        <v>5242.8040000000001</v>
      </c>
      <c r="X42" s="47"/>
      <c r="Y42" s="848">
        <v>25839.383000000002</v>
      </c>
      <c r="Z42" s="851">
        <f>(P42-W42)*1000/invanare</f>
        <v>2117.7864485898053</v>
      </c>
      <c r="AA42" s="852">
        <f>Y42*1000/invanare</f>
        <v>2435.8385833789825</v>
      </c>
      <c r="AB42" s="852">
        <v>2307.8220000000001</v>
      </c>
      <c r="AC42" s="2113">
        <f>IF(ISERROR((AA42-AB42)/AB42)," ",((AA42-AB42)/AB42))</f>
        <v>5.5470735342232819E-2</v>
      </c>
      <c r="AD42" s="1989"/>
      <c r="AE42" s="2139"/>
      <c r="AF42" s="2162">
        <v>22465.477999999999</v>
      </c>
      <c r="AG42" s="2151">
        <v>22568.112000000001</v>
      </c>
      <c r="AH42" s="1621">
        <f>W42-V42-SUM(Motpart!Y12:Z12)</f>
        <v>3373.9030000000002</v>
      </c>
    </row>
    <row r="43" spans="1:34" ht="12.75" customHeight="1" thickBot="1">
      <c r="A43" s="476" t="s">
        <v>231</v>
      </c>
      <c r="B43" s="747" t="s">
        <v>76</v>
      </c>
      <c r="C43" s="303">
        <f>SUM(C37,C42)</f>
        <v>10389.821</v>
      </c>
      <c r="D43" s="304">
        <f t="shared" ref="D43:P43" si="10">SUM(D37,D42)</f>
        <v>4202.5329999999994</v>
      </c>
      <c r="E43" s="303">
        <f t="shared" si="10"/>
        <v>2862.768</v>
      </c>
      <c r="F43" s="303">
        <f t="shared" si="10"/>
        <v>1199.9850000000001</v>
      </c>
      <c r="G43" s="303">
        <f t="shared" si="10"/>
        <v>3378.7950000000001</v>
      </c>
      <c r="H43" s="304">
        <f t="shared" si="10"/>
        <v>4499.2019999999993</v>
      </c>
      <c r="I43" s="303">
        <f t="shared" si="10"/>
        <v>2653.9569999999999</v>
      </c>
      <c r="J43" s="305">
        <f t="shared" si="10"/>
        <v>2584.9469999999997</v>
      </c>
      <c r="K43" s="131"/>
      <c r="L43" s="306">
        <f>SUM(L37,L42)</f>
        <v>9964.8829999999998</v>
      </c>
      <c r="M43" s="303">
        <f t="shared" si="10"/>
        <v>2499.6660000000002</v>
      </c>
      <c r="N43" s="304">
        <f t="shared" si="10"/>
        <v>103.75200000000001</v>
      </c>
      <c r="O43" s="304">
        <f t="shared" si="10"/>
        <v>1473.4169999999999</v>
      </c>
      <c r="P43" s="305">
        <f t="shared" si="10"/>
        <v>45813.725999999995</v>
      </c>
      <c r="Q43" s="40"/>
      <c r="R43" s="306">
        <f>SUM(R37,R42)</f>
        <v>1616.7269999999999</v>
      </c>
      <c r="S43" s="303">
        <f>SUM(S37,S42)</f>
        <v>627.55200000000002</v>
      </c>
      <c r="T43" s="305">
        <f>SUM(T37,T42)</f>
        <v>3011.23</v>
      </c>
      <c r="U43" s="40"/>
      <c r="V43" s="332">
        <f>SUM(V37,V42)</f>
        <v>2540.5749999999998</v>
      </c>
      <c r="W43" s="331">
        <f>SUM(W37,W42)</f>
        <v>7796.0839999999998</v>
      </c>
      <c r="X43" s="47"/>
      <c r="Y43" s="875">
        <v>43218.527999999998</v>
      </c>
      <c r="Z43" s="853"/>
      <c r="AA43" s="854"/>
      <c r="AB43" s="855"/>
      <c r="AC43" s="2115"/>
      <c r="AD43" s="1989"/>
      <c r="AE43" s="2141"/>
      <c r="AF43" s="2163">
        <v>38017.648000000001</v>
      </c>
      <c r="AG43" s="2152">
        <v>37573.972999999998</v>
      </c>
      <c r="AH43" s="1623">
        <f>AH37+AH42</f>
        <v>5200.8779999999997</v>
      </c>
    </row>
    <row r="44" spans="1:34" ht="48" customHeight="1" thickBot="1">
      <c r="A44" s="1083"/>
      <c r="B44" s="748" t="s">
        <v>77</v>
      </c>
      <c r="C44" s="857"/>
      <c r="D44" s="858"/>
      <c r="E44" s="859"/>
      <c r="F44" s="859"/>
      <c r="G44" s="859"/>
      <c r="H44" s="858"/>
      <c r="I44" s="859"/>
      <c r="J44" s="860"/>
      <c r="K44" s="28"/>
      <c r="L44" s="401"/>
      <c r="M44" s="402"/>
      <c r="N44" s="395"/>
      <c r="O44" s="395"/>
      <c r="P44" s="397"/>
      <c r="Q44" s="174"/>
      <c r="R44" s="401"/>
      <c r="S44" s="396"/>
      <c r="T44" s="397"/>
      <c r="U44" s="174"/>
      <c r="V44" s="405"/>
      <c r="W44" s="406"/>
      <c r="X44" s="28"/>
      <c r="Y44" s="1460" t="s">
        <v>913</v>
      </c>
      <c r="Z44" s="2457"/>
      <c r="AA44" s="2455"/>
      <c r="AB44" s="2455"/>
      <c r="AC44" s="2456"/>
      <c r="AD44" s="1989"/>
      <c r="AE44" s="2139"/>
      <c r="AF44" s="2167"/>
      <c r="AG44" s="2154"/>
      <c r="AH44" s="1624"/>
    </row>
    <row r="45" spans="1:34" ht="39.75" customHeight="1">
      <c r="A45" s="1820" t="s">
        <v>375</v>
      </c>
      <c r="B45" s="749" t="s">
        <v>522</v>
      </c>
      <c r="C45" s="861"/>
      <c r="D45" s="862"/>
      <c r="E45" s="863"/>
      <c r="F45" s="863"/>
      <c r="G45" s="863"/>
      <c r="H45" s="862"/>
      <c r="I45" s="863"/>
      <c r="J45" s="864"/>
      <c r="K45" s="28"/>
      <c r="L45" s="403"/>
      <c r="M45" s="404"/>
      <c r="N45" s="398"/>
      <c r="O45" s="398"/>
      <c r="P45" s="400"/>
      <c r="Q45" s="174"/>
      <c r="R45" s="403"/>
      <c r="S45" s="399"/>
      <c r="T45" s="400"/>
      <c r="U45" s="174"/>
      <c r="V45" s="407"/>
      <c r="W45" s="408"/>
      <c r="X45" s="28"/>
      <c r="Y45" s="1472"/>
      <c r="Z45" s="2458" t="s">
        <v>916</v>
      </c>
      <c r="AA45" s="2459"/>
      <c r="AB45" s="1481"/>
      <c r="AC45" s="2116"/>
      <c r="AD45" s="1989"/>
      <c r="AE45" s="2139"/>
      <c r="AF45" s="2168"/>
      <c r="AG45" s="2155"/>
      <c r="AH45" s="1625"/>
    </row>
    <row r="46" spans="1:34">
      <c r="A46" s="467" t="s">
        <v>232</v>
      </c>
      <c r="B46" s="742" t="s">
        <v>78</v>
      </c>
      <c r="C46" s="16">
        <v>306.22699999999998</v>
      </c>
      <c r="D46" s="17">
        <v>122.14700000000001</v>
      </c>
      <c r="E46" s="16">
        <v>18.263999999999999</v>
      </c>
      <c r="F46" s="16">
        <v>13.856999999999999</v>
      </c>
      <c r="G46" s="16">
        <v>31.861000000000001</v>
      </c>
      <c r="H46" s="17">
        <v>0.23100000000000001</v>
      </c>
      <c r="I46" s="16">
        <v>46.746000000000002</v>
      </c>
      <c r="J46" s="88">
        <v>4.8680000000000003</v>
      </c>
      <c r="K46" s="27"/>
      <c r="L46" s="91">
        <v>75.168000000000006</v>
      </c>
      <c r="M46" s="16">
        <v>59.487000000000002</v>
      </c>
      <c r="N46" s="17">
        <v>1.3480000000000001</v>
      </c>
      <c r="O46" s="297">
        <v>24.213999999999999</v>
      </c>
      <c r="P46" s="296">
        <f>SUM(C46:O46)</f>
        <v>704.41799999999989</v>
      </c>
      <c r="Q46" s="40"/>
      <c r="R46" s="91">
        <v>1.9350000000000001</v>
      </c>
      <c r="S46" s="16">
        <v>2.7469999999999999</v>
      </c>
      <c r="T46" s="88">
        <v>31.975000000000001</v>
      </c>
      <c r="U46" s="41"/>
      <c r="V46" s="101">
        <v>49.441000000000003</v>
      </c>
      <c r="W46" s="330">
        <f t="shared" ref="W46:W51" si="11">SUM(R46:V46)</f>
        <v>86.098000000000013</v>
      </c>
      <c r="X46" s="47"/>
      <c r="Y46" s="848">
        <v>652.18499999999995</v>
      </c>
      <c r="Z46" s="1441"/>
      <c r="AA46" s="1455"/>
      <c r="AB46" s="1456"/>
      <c r="AC46" s="2108"/>
      <c r="AD46" s="1989"/>
      <c r="AE46" s="2139"/>
      <c r="AF46" s="2162">
        <v>618.32100000000003</v>
      </c>
      <c r="AG46" s="2151">
        <v>640.88900000000001</v>
      </c>
      <c r="AH46" s="1621">
        <f>W46-V46-(IF(AND(Motpart!$Y$16="",Motpart!$Z$16=""),0,IF(AND(Motpart!$Y$16=0,Motpart!$Z$16=0),0,((T46/($T$46+$T$49))*(Motpart!$Y$16+Motpart!$Z$16)))))</f>
        <v>33.04376386233271</v>
      </c>
    </row>
    <row r="47" spans="1:34">
      <c r="A47" s="467" t="s">
        <v>233</v>
      </c>
      <c r="B47" s="743" t="s">
        <v>79</v>
      </c>
      <c r="C47" s="16">
        <v>36508.985000000001</v>
      </c>
      <c r="D47" s="17">
        <v>14772.348</v>
      </c>
      <c r="E47" s="19">
        <v>2285.6640000000002</v>
      </c>
      <c r="F47" s="19">
        <v>19831.472000000002</v>
      </c>
      <c r="G47" s="19">
        <v>2258.6309999999999</v>
      </c>
      <c r="H47" s="20">
        <v>60.039000000000001</v>
      </c>
      <c r="I47" s="19">
        <v>2552.0500000000002</v>
      </c>
      <c r="J47" s="89">
        <v>859.78</v>
      </c>
      <c r="K47" s="27"/>
      <c r="L47" s="92">
        <v>7056.5559999999996</v>
      </c>
      <c r="M47" s="19">
        <v>12928.093999999999</v>
      </c>
      <c r="N47" s="17">
        <v>185.68799999999999</v>
      </c>
      <c r="O47" s="297">
        <v>2883.6170000000002</v>
      </c>
      <c r="P47" s="296">
        <f>SUM(C47:O47)</f>
        <v>102182.92399999998</v>
      </c>
      <c r="Q47" s="40"/>
      <c r="R47" s="1671">
        <v>5930.0749999999998</v>
      </c>
      <c r="S47" s="1672">
        <v>17.669</v>
      </c>
      <c r="T47" s="186">
        <v>6601.9340000000002</v>
      </c>
      <c r="U47" s="41"/>
      <c r="V47" s="102">
        <v>8470.7109999999993</v>
      </c>
      <c r="W47" s="330">
        <f t="shared" si="11"/>
        <v>21020.388999999999</v>
      </c>
      <c r="X47" s="47"/>
      <c r="Y47" s="848">
        <v>93244.665999999997</v>
      </c>
      <c r="Z47" s="1458"/>
      <c r="AA47" s="1445"/>
      <c r="AB47" s="1445"/>
      <c r="AC47" s="2106"/>
      <c r="AD47" s="1989"/>
      <c r="AE47" s="2139"/>
      <c r="AF47" s="2162">
        <v>81162.534</v>
      </c>
      <c r="AG47" s="2151">
        <v>73820.702000000005</v>
      </c>
      <c r="AH47" s="1621">
        <f>W47-V47-SUM(Motpart!Y13:Z13)</f>
        <v>12082.130999999999</v>
      </c>
    </row>
    <row r="48" spans="1:34">
      <c r="A48" s="467" t="s">
        <v>234</v>
      </c>
      <c r="B48" s="743" t="s">
        <v>80</v>
      </c>
      <c r="C48" s="19">
        <v>192.33500000000001</v>
      </c>
      <c r="D48" s="17">
        <v>77.739999999999995</v>
      </c>
      <c r="E48" s="19">
        <v>6.8079999999999998</v>
      </c>
      <c r="F48" s="19">
        <v>496.976</v>
      </c>
      <c r="G48" s="19">
        <v>20.311</v>
      </c>
      <c r="H48" s="20">
        <v>0.47299999999999998</v>
      </c>
      <c r="I48" s="23">
        <v>3.2770000000000001</v>
      </c>
      <c r="J48" s="89">
        <v>0.752</v>
      </c>
      <c r="K48" s="27"/>
      <c r="L48" s="92">
        <v>28.863</v>
      </c>
      <c r="M48" s="19">
        <v>62.832999999999998</v>
      </c>
      <c r="N48" s="17">
        <v>4.75</v>
      </c>
      <c r="O48" s="297">
        <v>12.361000000000001</v>
      </c>
      <c r="P48" s="296">
        <f>SUM(C48:O48)</f>
        <v>907.47899999999981</v>
      </c>
      <c r="Q48" s="40"/>
      <c r="R48" s="1671">
        <v>44.118000000000002</v>
      </c>
      <c r="S48" s="1672">
        <v>0</v>
      </c>
      <c r="T48" s="186">
        <v>47.441000000000003</v>
      </c>
      <c r="U48" s="41"/>
      <c r="V48" s="102">
        <v>56.284999999999997</v>
      </c>
      <c r="W48" s="330">
        <f t="shared" si="11"/>
        <v>147.84399999999999</v>
      </c>
      <c r="X48" s="47"/>
      <c r="Y48" s="868">
        <v>847.58900000000006</v>
      </c>
      <c r="Z48" s="1444"/>
      <c r="AA48" s="1445"/>
      <c r="AB48" s="1445"/>
      <c r="AC48" s="2106"/>
      <c r="AD48" s="1989"/>
      <c r="AE48" s="2142">
        <f>(SUM(I51:L51))*1000/invanare</f>
        <v>1310.4665411576523</v>
      </c>
      <c r="AF48" s="2162">
        <v>759.63499999999999</v>
      </c>
      <c r="AG48" s="2151">
        <v>353.74299999999999</v>
      </c>
      <c r="AH48" s="1621">
        <f>W48-V48-SUM(Motpart!Y14:Z14)</f>
        <v>87.956000000000003</v>
      </c>
    </row>
    <row r="49" spans="1:34">
      <c r="A49" s="467" t="s">
        <v>235</v>
      </c>
      <c r="B49" s="742" t="s">
        <v>81</v>
      </c>
      <c r="C49" s="16">
        <v>160.655</v>
      </c>
      <c r="D49" s="17">
        <v>64.995999999999995</v>
      </c>
      <c r="E49" s="16">
        <v>14.938000000000001</v>
      </c>
      <c r="F49" s="16">
        <v>90.165999999999997</v>
      </c>
      <c r="G49" s="16">
        <v>8.66</v>
      </c>
      <c r="H49" s="17">
        <v>1.7909999999999999</v>
      </c>
      <c r="I49" s="16">
        <v>8.1560000000000006</v>
      </c>
      <c r="J49" s="88">
        <v>0.91700000000000004</v>
      </c>
      <c r="K49" s="27"/>
      <c r="L49" s="91">
        <v>30.437000000000001</v>
      </c>
      <c r="M49" s="16">
        <v>75.424999999999997</v>
      </c>
      <c r="N49" s="17">
        <v>4.4139999999999997</v>
      </c>
      <c r="O49" s="297">
        <v>13.976000000000001</v>
      </c>
      <c r="P49" s="296">
        <f>SUM(C49:O49)</f>
        <v>474.53100000000001</v>
      </c>
      <c r="Q49" s="40"/>
      <c r="R49" s="1673">
        <v>46.853000000000002</v>
      </c>
      <c r="S49" s="1674">
        <v>1E-3</v>
      </c>
      <c r="T49" s="189">
        <v>15.095000000000001</v>
      </c>
      <c r="U49" s="41"/>
      <c r="V49" s="101">
        <v>65.201999999999998</v>
      </c>
      <c r="W49" s="330">
        <f t="shared" si="11"/>
        <v>127.151</v>
      </c>
      <c r="X49" s="47"/>
      <c r="Y49" s="868">
        <v>406.80900000000003</v>
      </c>
      <c r="Z49" s="1444"/>
      <c r="AA49" s="1445"/>
      <c r="AB49" s="1445"/>
      <c r="AC49" s="2106"/>
      <c r="AD49" s="1989"/>
      <c r="AE49" s="2142">
        <f>(R51)*1000/invanare</f>
        <v>942.51302530740224</v>
      </c>
      <c r="AF49" s="2162">
        <v>347.38200000000001</v>
      </c>
      <c r="AG49" s="2151">
        <v>317.37299999999999</v>
      </c>
      <c r="AH49" s="1621">
        <f>W49-V49-(IF(AND(Motpart!$Y$16="",Motpart!$Z$16=""),0,IF(AND(Motpart!$Y$16=0,Motpart!$Z$16=0),0,((T49/($T$49+$T$46))*(Motpart!$Y$16+Motpart!$Z$16)))))</f>
        <v>60.243236137667303</v>
      </c>
    </row>
    <row r="50" spans="1:34">
      <c r="A50" s="467" t="s">
        <v>236</v>
      </c>
      <c r="B50" s="743" t="s">
        <v>82</v>
      </c>
      <c r="C50" s="16">
        <v>10229.380999999999</v>
      </c>
      <c r="D50" s="17">
        <v>4132.4179999999997</v>
      </c>
      <c r="E50" s="19">
        <v>479.30700000000002</v>
      </c>
      <c r="F50" s="19">
        <v>3098.0360000000001</v>
      </c>
      <c r="G50" s="19">
        <v>509.67500000000001</v>
      </c>
      <c r="H50" s="20">
        <v>4.1420000000000003</v>
      </c>
      <c r="I50" s="23">
        <v>737.26199999999994</v>
      </c>
      <c r="J50" s="89">
        <v>140.07400000000001</v>
      </c>
      <c r="K50" s="27"/>
      <c r="L50" s="92">
        <v>2356.527</v>
      </c>
      <c r="M50" s="19">
        <v>4175.2439999999997</v>
      </c>
      <c r="N50" s="17">
        <v>44.75</v>
      </c>
      <c r="O50" s="297">
        <v>815.89700000000005</v>
      </c>
      <c r="P50" s="296">
        <f>SUM(C50:O50)</f>
        <v>26722.713</v>
      </c>
      <c r="Q50" s="40"/>
      <c r="R50" s="1671">
        <v>3975.2</v>
      </c>
      <c r="S50" s="1672">
        <v>0.90500000000000003</v>
      </c>
      <c r="T50" s="186">
        <v>1001.8630000000001</v>
      </c>
      <c r="U50" s="41"/>
      <c r="V50" s="102">
        <v>2733.5549999999998</v>
      </c>
      <c r="W50" s="330">
        <f t="shared" si="11"/>
        <v>7711.5229999999992</v>
      </c>
      <c r="X50" s="47"/>
      <c r="Y50" s="868">
        <v>23811.564999999999</v>
      </c>
      <c r="Z50" s="1444"/>
      <c r="AA50" s="1445"/>
      <c r="AB50" s="1445"/>
      <c r="AC50" s="2106"/>
      <c r="AD50" s="1989"/>
      <c r="AE50" s="2139"/>
      <c r="AF50" s="2162">
        <v>19011.188999999998</v>
      </c>
      <c r="AG50" s="2151">
        <v>20886.98</v>
      </c>
      <c r="AH50" s="1621">
        <f>W50-V50-SUM(Motpart!Y15:Z15)</f>
        <v>4800.3759999999993</v>
      </c>
    </row>
    <row r="51" spans="1:34" ht="13.5" thickBot="1">
      <c r="A51" s="467" t="s">
        <v>237</v>
      </c>
      <c r="B51" s="750" t="s">
        <v>1171</v>
      </c>
      <c r="C51" s="292">
        <f t="shared" ref="C51:M51" si="12">SUM(C46:C50)</f>
        <v>47397.582999999999</v>
      </c>
      <c r="D51" s="22">
        <f t="shared" si="12"/>
        <v>19169.648999999998</v>
      </c>
      <c r="E51" s="292">
        <f t="shared" si="12"/>
        <v>2804.9810000000007</v>
      </c>
      <c r="F51" s="292">
        <f t="shared" si="12"/>
        <v>23530.507000000001</v>
      </c>
      <c r="G51" s="292">
        <f t="shared" si="12"/>
        <v>2829.1379999999999</v>
      </c>
      <c r="H51" s="22">
        <f t="shared" si="12"/>
        <v>66.676000000000002</v>
      </c>
      <c r="I51" s="292">
        <f t="shared" si="12"/>
        <v>3347.491</v>
      </c>
      <c r="J51" s="93">
        <f t="shared" si="12"/>
        <v>1006.3910000000001</v>
      </c>
      <c r="K51" s="131"/>
      <c r="L51" s="298">
        <f>SUM(L46:L50)</f>
        <v>9547.5509999999995</v>
      </c>
      <c r="M51" s="292">
        <f t="shared" si="12"/>
        <v>17301.082999999999</v>
      </c>
      <c r="N51" s="22">
        <f t="shared" ref="N51:V51" si="13">SUM(N46:N50)</f>
        <v>240.95</v>
      </c>
      <c r="O51" s="22">
        <f t="shared" si="13"/>
        <v>3750.0650000000001</v>
      </c>
      <c r="P51" s="93">
        <f t="shared" si="13"/>
        <v>130992.065</v>
      </c>
      <c r="Q51" s="40"/>
      <c r="R51" s="298">
        <f t="shared" si="13"/>
        <v>9998.1810000000005</v>
      </c>
      <c r="S51" s="292">
        <f t="shared" si="13"/>
        <v>21.322000000000003</v>
      </c>
      <c r="T51" s="93">
        <f>SUM(T46:T50)</f>
        <v>7698.3080000000009</v>
      </c>
      <c r="U51" s="40"/>
      <c r="V51" s="105">
        <f t="shared" si="13"/>
        <v>11375.194</v>
      </c>
      <c r="W51" s="330">
        <f t="shared" si="11"/>
        <v>29093.005000000001</v>
      </c>
      <c r="X51" s="47"/>
      <c r="Y51" s="848">
        <v>118962.827</v>
      </c>
      <c r="Z51" s="1476">
        <f>(P51-W51)*1000/invanare</f>
        <v>9605.8664387632616</v>
      </c>
      <c r="AA51" s="1477">
        <f>Y51*1000/invanare</f>
        <v>11214.441304362375</v>
      </c>
      <c r="AB51" s="1477">
        <v>11303.375</v>
      </c>
      <c r="AC51" s="2117">
        <f>IF(ISERROR((AA51-AB51)/AB51)," ",((AA51-AB51)/AB51))</f>
        <v>-7.8678886295132765E-3</v>
      </c>
      <c r="AD51" s="1989"/>
      <c r="AE51" s="2143">
        <f>IF(ISERROR(F51/(AA51/1000*invanare)),"",(F51/(AA51/100000*invanare)))</f>
        <v>19.779714044623372</v>
      </c>
      <c r="AF51" s="2162">
        <v>101899.07799999999</v>
      </c>
      <c r="AG51" s="2151">
        <v>96019.706000000006</v>
      </c>
      <c r="AH51" s="1621">
        <f>W51-V51-SUM(Motpart!Y13:Z16)</f>
        <v>17063.75</v>
      </c>
    </row>
    <row r="52" spans="1:34" ht="44.25" customHeight="1" thickBot="1">
      <c r="A52" s="1821"/>
      <c r="B52" s="748" t="s">
        <v>83</v>
      </c>
      <c r="C52" s="394"/>
      <c r="D52" s="393"/>
      <c r="E52" s="391"/>
      <c r="F52" s="391"/>
      <c r="G52" s="391"/>
      <c r="H52" s="393"/>
      <c r="I52" s="391"/>
      <c r="J52" s="392"/>
      <c r="K52" s="27"/>
      <c r="L52" s="390"/>
      <c r="M52" s="391"/>
      <c r="N52" s="393"/>
      <c r="O52" s="409"/>
      <c r="P52" s="392"/>
      <c r="Q52" s="41"/>
      <c r="R52" s="390"/>
      <c r="S52" s="391"/>
      <c r="T52" s="392"/>
      <c r="U52" s="41"/>
      <c r="V52" s="388"/>
      <c r="W52" s="389"/>
      <c r="X52" s="27"/>
      <c r="Y52" s="1460" t="s">
        <v>596</v>
      </c>
      <c r="Z52" s="2457"/>
      <c r="AA52" s="2455"/>
      <c r="AB52" s="2455"/>
      <c r="AC52" s="2456"/>
      <c r="AD52" s="1989"/>
      <c r="AE52" s="2139">
        <f>IF(ISERROR(F51/(AA51/1000*invanare)),"",(SUM(Motpart!D13:D16,Motpart!F13:F16)/(AA51/100000*invanare)))</f>
        <v>19.12130921367563</v>
      </c>
      <c r="AF52" s="2169"/>
      <c r="AG52" s="2156"/>
      <c r="AH52" s="1626"/>
    </row>
    <row r="53" spans="1:34">
      <c r="A53" s="467" t="s">
        <v>382</v>
      </c>
      <c r="B53" s="735" t="s">
        <v>466</v>
      </c>
      <c r="C53" s="16">
        <v>3531.0729999999999</v>
      </c>
      <c r="D53" s="17">
        <v>1421.5940000000001</v>
      </c>
      <c r="E53" s="16">
        <v>254.21199999999999</v>
      </c>
      <c r="F53" s="16">
        <v>1424.578</v>
      </c>
      <c r="G53" s="16">
        <v>386.392</v>
      </c>
      <c r="H53" s="17">
        <v>1.2829999999999999</v>
      </c>
      <c r="I53" s="16">
        <v>476.23599999999999</v>
      </c>
      <c r="J53" s="88">
        <v>76.494</v>
      </c>
      <c r="K53" s="27"/>
      <c r="L53" s="91">
        <v>1036.2349999999999</v>
      </c>
      <c r="M53" s="16">
        <v>1696.4880000000001</v>
      </c>
      <c r="N53" s="17">
        <v>22.684999999999999</v>
      </c>
      <c r="O53" s="297">
        <v>308.608</v>
      </c>
      <c r="P53" s="296">
        <f>SUM(C53:O53)</f>
        <v>10635.877999999997</v>
      </c>
      <c r="Q53" s="40"/>
      <c r="R53" s="91">
        <v>0.77900000000000003</v>
      </c>
      <c r="S53" s="16">
        <v>0.48599999999999999</v>
      </c>
      <c r="T53" s="88">
        <v>602.90099999999995</v>
      </c>
      <c r="U53" s="41"/>
      <c r="V53" s="101">
        <v>1101.0889999999999</v>
      </c>
      <c r="W53" s="330">
        <f>SUM(R53:V53)</f>
        <v>1705.2549999999999</v>
      </c>
      <c r="X53" s="47"/>
      <c r="Y53" s="1333">
        <v>9471.8510000000006</v>
      </c>
      <c r="Z53" s="1685"/>
      <c r="AA53" s="1686"/>
      <c r="AB53" s="1687"/>
      <c r="AC53" s="2118"/>
      <c r="AD53" s="1989"/>
      <c r="AE53" s="2139"/>
      <c r="AF53" s="2168">
        <v>8930.6219999999994</v>
      </c>
      <c r="AG53" s="2155">
        <v>8108.9279999999999</v>
      </c>
      <c r="AH53" s="1625">
        <f>W53-V53-SUM(Motpart!Y17:Z17)</f>
        <v>541.22899999999993</v>
      </c>
    </row>
    <row r="54" spans="1:34">
      <c r="A54" s="467" t="s">
        <v>465</v>
      </c>
      <c r="B54" s="733" t="s">
        <v>364</v>
      </c>
      <c r="C54" s="16">
        <v>63723.633000000002</v>
      </c>
      <c r="D54" s="17">
        <v>25807.043000000001</v>
      </c>
      <c r="E54" s="19">
        <v>5636.2479999999996</v>
      </c>
      <c r="F54" s="19">
        <v>24794.425999999999</v>
      </c>
      <c r="G54" s="19">
        <v>9871.7099999999991</v>
      </c>
      <c r="H54" s="20">
        <v>55.231000000000002</v>
      </c>
      <c r="I54" s="19">
        <v>4395.0559999999996</v>
      </c>
      <c r="J54" s="89">
        <v>2134.4290000000001</v>
      </c>
      <c r="K54" s="27"/>
      <c r="L54" s="92">
        <v>13263.1</v>
      </c>
      <c r="M54" s="19">
        <v>22643.985000000001</v>
      </c>
      <c r="N54" s="17">
        <v>355.28399999999999</v>
      </c>
      <c r="O54" s="297">
        <v>5576.7929999999997</v>
      </c>
      <c r="P54" s="296">
        <f>SUM(C54:O54)</f>
        <v>178256.93800000005</v>
      </c>
      <c r="Q54" s="40"/>
      <c r="R54" s="92">
        <v>42.036999999999999</v>
      </c>
      <c r="S54" s="19">
        <v>22.384</v>
      </c>
      <c r="T54" s="89">
        <v>16895.446</v>
      </c>
      <c r="U54" s="41"/>
      <c r="V54" s="102">
        <v>15257.191999999999</v>
      </c>
      <c r="W54" s="330">
        <f>SUM(R54:V54)</f>
        <v>32217.058999999997</v>
      </c>
      <c r="X54" s="47"/>
      <c r="Y54" s="1333">
        <v>161336.193</v>
      </c>
      <c r="Z54" s="1473"/>
      <c r="AA54" s="1474"/>
      <c r="AB54" s="1688"/>
      <c r="AC54" s="2105"/>
      <c r="AD54" s="1989"/>
      <c r="AE54" s="2139"/>
      <c r="AF54" s="2162">
        <v>146039.87899999999</v>
      </c>
      <c r="AG54" s="2151">
        <v>138150.08799999999</v>
      </c>
      <c r="AH54" s="1625">
        <f>W54-V54-SUM(Motpart!Y18:Z18)</f>
        <v>15296.312999999998</v>
      </c>
    </row>
    <row r="55" spans="1:34">
      <c r="A55" s="467" t="s">
        <v>238</v>
      </c>
      <c r="B55" s="2174" t="s">
        <v>1179</v>
      </c>
      <c r="C55" s="16">
        <v>4687.6970000000001</v>
      </c>
      <c r="D55" s="17">
        <v>1923.7429999999999</v>
      </c>
      <c r="E55" s="19">
        <v>188.88499999999999</v>
      </c>
      <c r="F55" s="19">
        <v>758.72900000000004</v>
      </c>
      <c r="G55" s="19">
        <v>1042.2829999999999</v>
      </c>
      <c r="H55" s="20">
        <v>0.78700000000000003</v>
      </c>
      <c r="I55" s="19">
        <v>250.08600000000001</v>
      </c>
      <c r="J55" s="89">
        <v>51.573</v>
      </c>
      <c r="K55" s="27"/>
      <c r="L55" s="92">
        <v>549.95000000000005</v>
      </c>
      <c r="M55" s="19">
        <v>1335.5219999999999</v>
      </c>
      <c r="N55" s="17">
        <v>20.169</v>
      </c>
      <c r="O55" s="297">
        <v>365.19600000000003</v>
      </c>
      <c r="P55" s="296">
        <f>SUM(C55:O55)</f>
        <v>11174.62</v>
      </c>
      <c r="Q55" s="40"/>
      <c r="R55" s="92">
        <v>5.4690000000000003</v>
      </c>
      <c r="S55" s="19">
        <v>7.1999999999999995E-2</v>
      </c>
      <c r="T55" s="89">
        <v>549.26099999999997</v>
      </c>
      <c r="U55" s="41"/>
      <c r="V55" s="102">
        <v>1011.6420000000001</v>
      </c>
      <c r="W55" s="330">
        <f>SUM(R55:V55)</f>
        <v>1566.444</v>
      </c>
      <c r="X55" s="47"/>
      <c r="Y55" s="1333">
        <v>9852.2109999999993</v>
      </c>
      <c r="Z55" s="1473"/>
      <c r="AA55" s="1474"/>
      <c r="AB55" s="1688"/>
      <c r="AC55" s="2105"/>
      <c r="AD55" s="1989"/>
      <c r="AE55" s="2139"/>
      <c r="AF55" s="2162">
        <v>9608.1749999999993</v>
      </c>
      <c r="AG55" s="2151">
        <v>9403.4619999999995</v>
      </c>
      <c r="AH55" s="1625">
        <f>W55-V55-SUM(Motpart!Y19:Z19)</f>
        <v>244.03599999999994</v>
      </c>
    </row>
    <row r="56" spans="1:34">
      <c r="A56" s="467" t="s">
        <v>239</v>
      </c>
      <c r="B56" s="743" t="s">
        <v>84</v>
      </c>
      <c r="C56" s="16">
        <v>15691.495999999999</v>
      </c>
      <c r="D56" s="17">
        <v>6354.598</v>
      </c>
      <c r="E56" s="19">
        <v>1906.325</v>
      </c>
      <c r="F56" s="19">
        <v>27743.892</v>
      </c>
      <c r="G56" s="19">
        <v>3770.7579999999998</v>
      </c>
      <c r="H56" s="20">
        <v>285.55700000000002</v>
      </c>
      <c r="I56" s="19">
        <v>1285.1389999999999</v>
      </c>
      <c r="J56" s="89">
        <v>541.96900000000005</v>
      </c>
      <c r="K56" s="27"/>
      <c r="L56" s="92">
        <v>3719.6350000000002</v>
      </c>
      <c r="M56" s="19">
        <v>5708.5690000000004</v>
      </c>
      <c r="N56" s="17">
        <v>123.014</v>
      </c>
      <c r="O56" s="297">
        <v>1332.95</v>
      </c>
      <c r="P56" s="296">
        <f>SUM(C56:O56)</f>
        <v>68463.902000000002</v>
      </c>
      <c r="Q56" s="40"/>
      <c r="R56" s="92">
        <v>35.615000000000002</v>
      </c>
      <c r="S56" s="19">
        <v>33.737000000000002</v>
      </c>
      <c r="T56" s="89">
        <v>12157.449000000001</v>
      </c>
      <c r="U56" s="41"/>
      <c r="V56" s="102">
        <v>3762.6489999999999</v>
      </c>
      <c r="W56" s="330">
        <f>SUM(R56:V56)</f>
        <v>15989.45</v>
      </c>
      <c r="X56" s="47"/>
      <c r="Y56" s="1333">
        <v>55850.866000000002</v>
      </c>
      <c r="Z56" s="1154"/>
      <c r="AA56" s="1475"/>
      <c r="AB56" s="650"/>
      <c r="AC56" s="2105"/>
      <c r="AD56" s="1989"/>
      <c r="AE56" s="2139"/>
      <c r="AF56" s="2162">
        <v>52474.453999999998</v>
      </c>
      <c r="AG56" s="2151">
        <v>36671.807000000001</v>
      </c>
      <c r="AH56" s="1625">
        <f>W56-V56-SUM(Motpart!Y20:Z20)</f>
        <v>3376.4120000000021</v>
      </c>
    </row>
    <row r="57" spans="1:34">
      <c r="A57" s="467" t="s">
        <v>240</v>
      </c>
      <c r="B57" s="2174" t="s">
        <v>1180</v>
      </c>
      <c r="C57" s="16">
        <v>1757.5509999999999</v>
      </c>
      <c r="D57" s="17">
        <v>717.36</v>
      </c>
      <c r="E57" s="19">
        <v>87.745999999999995</v>
      </c>
      <c r="F57" s="19">
        <v>1486.3979999999999</v>
      </c>
      <c r="G57" s="19">
        <v>480.38099999999997</v>
      </c>
      <c r="H57" s="20">
        <v>3.8450000000000002</v>
      </c>
      <c r="I57" s="19">
        <v>99.176000000000002</v>
      </c>
      <c r="J57" s="89">
        <v>19.452000000000002</v>
      </c>
      <c r="K57" s="27"/>
      <c r="L57" s="92">
        <v>234.911</v>
      </c>
      <c r="M57" s="19">
        <v>465.19200000000001</v>
      </c>
      <c r="N57" s="17">
        <v>11.162000000000001</v>
      </c>
      <c r="O57" s="297">
        <v>129.52500000000001</v>
      </c>
      <c r="P57" s="296">
        <f>SUM(C57:O57)</f>
        <v>5492.6990000000014</v>
      </c>
      <c r="Q57" s="40"/>
      <c r="R57" s="92">
        <v>0.83</v>
      </c>
      <c r="S57" s="19">
        <v>0.113</v>
      </c>
      <c r="T57" s="89">
        <v>1011.92</v>
      </c>
      <c r="U57" s="41"/>
      <c r="V57" s="102">
        <v>312.85300000000001</v>
      </c>
      <c r="W57" s="330">
        <f>SUM(R57:V57)</f>
        <v>1325.7159999999999</v>
      </c>
      <c r="X57" s="47"/>
      <c r="Y57" s="868">
        <v>4322.4629999999997</v>
      </c>
      <c r="Z57" s="1154"/>
      <c r="AA57" s="1442"/>
      <c r="AB57" s="650"/>
      <c r="AC57" s="2105"/>
      <c r="AD57" s="1989"/>
      <c r="AE57" s="2139"/>
      <c r="AF57" s="2162">
        <v>4166.9830000000002</v>
      </c>
      <c r="AG57" s="2151">
        <v>3689.6030000000001</v>
      </c>
      <c r="AH57" s="1625">
        <f>W57-V57-SUM(Motpart!Y21:Z21)</f>
        <v>155.47899999999981</v>
      </c>
    </row>
    <row r="58" spans="1:34">
      <c r="A58" s="467" t="s">
        <v>241</v>
      </c>
      <c r="B58" s="743" t="s">
        <v>85</v>
      </c>
      <c r="C58" s="292">
        <f t="shared" ref="C58:J58" si="14">SUM(C53:C57)</f>
        <v>89391.450000000012</v>
      </c>
      <c r="D58" s="22">
        <f t="shared" si="14"/>
        <v>36224.338000000003</v>
      </c>
      <c r="E58" s="292">
        <f t="shared" si="14"/>
        <v>8073.4159999999993</v>
      </c>
      <c r="F58" s="292">
        <f t="shared" si="14"/>
        <v>56208.023000000001</v>
      </c>
      <c r="G58" s="292">
        <f t="shared" si="14"/>
        <v>15551.523999999998</v>
      </c>
      <c r="H58" s="22">
        <f t="shared" si="14"/>
        <v>346.70300000000003</v>
      </c>
      <c r="I58" s="292">
        <f t="shared" si="14"/>
        <v>6505.6930000000002</v>
      </c>
      <c r="J58" s="93">
        <f t="shared" si="14"/>
        <v>2823.9170000000004</v>
      </c>
      <c r="K58" s="131"/>
      <c r="L58" s="298">
        <f>SUM(L53:L57)</f>
        <v>18803.831000000002</v>
      </c>
      <c r="M58" s="292">
        <f>SUM(M53:M57)</f>
        <v>31849.756000000001</v>
      </c>
      <c r="N58" s="22">
        <f>SUM(N53:N57)</f>
        <v>532.31399999999996</v>
      </c>
      <c r="O58" s="22">
        <f>SUM(O53:O57)</f>
        <v>7713.0719999999992</v>
      </c>
      <c r="P58" s="93">
        <f>SUM(P53:P57)</f>
        <v>274024.03700000007</v>
      </c>
      <c r="Q58" s="40"/>
      <c r="R58" s="298">
        <f>SUM(R53:R57)</f>
        <v>84.73</v>
      </c>
      <c r="S58" s="292">
        <f>SUM(S53:S57)</f>
        <v>56.792000000000002</v>
      </c>
      <c r="T58" s="93">
        <f>SUM(T53:T57)</f>
        <v>31216.976999999999</v>
      </c>
      <c r="U58" s="40"/>
      <c r="V58" s="105">
        <f>SUM(V53:V57)</f>
        <v>21445.424999999999</v>
      </c>
      <c r="W58" s="106">
        <f>SUM(W53:W57)</f>
        <v>52803.923999999999</v>
      </c>
      <c r="X58" s="47"/>
      <c r="Y58" s="1478">
        <v>240833.58799999999</v>
      </c>
      <c r="Z58" s="1457"/>
      <c r="AA58" s="1442"/>
      <c r="AB58" s="1443"/>
      <c r="AC58" s="2105"/>
      <c r="AD58" s="1989"/>
      <c r="AE58" s="2139"/>
      <c r="AF58" s="2162">
        <v>221220.117</v>
      </c>
      <c r="AG58" s="2151">
        <v>196023.89</v>
      </c>
      <c r="AH58" s="1621">
        <f>W58-V58-SUM(Motpart!Y17:Z21)</f>
        <v>19613.469000000001</v>
      </c>
    </row>
    <row r="59" spans="1:34" ht="13.5" customHeight="1">
      <c r="A59" s="1822"/>
      <c r="B59" s="751" t="s">
        <v>86</v>
      </c>
      <c r="C59" s="411"/>
      <c r="D59" s="412"/>
      <c r="E59" s="413"/>
      <c r="F59" s="414"/>
      <c r="G59" s="413"/>
      <c r="H59" s="415"/>
      <c r="I59" s="413"/>
      <c r="J59" s="416"/>
      <c r="K59" s="28"/>
      <c r="L59" s="417"/>
      <c r="M59" s="413"/>
      <c r="N59" s="412"/>
      <c r="O59" s="412"/>
      <c r="P59" s="416"/>
      <c r="Q59" s="174"/>
      <c r="R59" s="417"/>
      <c r="S59" s="413"/>
      <c r="T59" s="416"/>
      <c r="U59" s="174"/>
      <c r="V59" s="418"/>
      <c r="W59" s="419"/>
      <c r="X59" s="28"/>
      <c r="Y59" s="1479"/>
      <c r="Z59" s="1480"/>
      <c r="AA59" s="1480"/>
      <c r="AB59" s="1480"/>
      <c r="AC59" s="2119"/>
      <c r="AD59" s="1989"/>
      <c r="AE59" s="2139"/>
      <c r="AF59" s="2162"/>
      <c r="AG59" s="2151"/>
      <c r="AH59" s="1621"/>
    </row>
    <row r="60" spans="1:34">
      <c r="A60" s="486" t="s">
        <v>473</v>
      </c>
      <c r="B60" s="752" t="s">
        <v>365</v>
      </c>
      <c r="C60" s="410">
        <v>635.12300000000005</v>
      </c>
      <c r="D60" s="17">
        <v>254.428</v>
      </c>
      <c r="E60" s="16">
        <v>28.359000000000002</v>
      </c>
      <c r="F60" s="16">
        <v>379.30900000000003</v>
      </c>
      <c r="G60" s="16">
        <v>73.753</v>
      </c>
      <c r="H60" s="17">
        <v>2.137</v>
      </c>
      <c r="I60" s="16">
        <v>50.805</v>
      </c>
      <c r="J60" s="88">
        <v>14.154</v>
      </c>
      <c r="K60" s="27"/>
      <c r="L60" s="91">
        <v>103.07899999999999</v>
      </c>
      <c r="M60" s="16">
        <v>112.93300000000001</v>
      </c>
      <c r="N60" s="17">
        <v>4.3019999999999996</v>
      </c>
      <c r="O60" s="297">
        <v>49.984000000000002</v>
      </c>
      <c r="P60" s="296">
        <f>SUM(C60:O60)</f>
        <v>1708.3659999999998</v>
      </c>
      <c r="Q60" s="40"/>
      <c r="R60" s="91">
        <v>0.754</v>
      </c>
      <c r="S60" s="16">
        <v>0.13400000000000001</v>
      </c>
      <c r="T60" s="88">
        <v>174.26</v>
      </c>
      <c r="U60" s="41"/>
      <c r="V60" s="101">
        <v>77.12</v>
      </c>
      <c r="W60" s="330">
        <f t="shared" ref="W60:W66" si="15">SUM(R60:V60)</f>
        <v>252.268</v>
      </c>
      <c r="X60" s="47"/>
      <c r="Y60" s="868">
        <v>1567.3869999999999</v>
      </c>
      <c r="Z60" s="1457"/>
      <c r="AA60" s="1442"/>
      <c r="AB60" s="1443"/>
      <c r="AC60" s="2105"/>
      <c r="AD60" s="1989"/>
      <c r="AE60" s="2139"/>
      <c r="AF60" s="2162">
        <v>1456.0989999999999</v>
      </c>
      <c r="AG60" s="2151">
        <v>1249.8009999999999</v>
      </c>
      <c r="AH60" s="1621">
        <f>W60-V60-SUM(Motpart!Y22:Z22)</f>
        <v>111.288</v>
      </c>
    </row>
    <row r="61" spans="1:34">
      <c r="A61" s="465" t="s">
        <v>474</v>
      </c>
      <c r="B61" s="753" t="s">
        <v>366</v>
      </c>
      <c r="C61" s="18">
        <v>2074.15</v>
      </c>
      <c r="D61" s="17">
        <v>834.91700000000003</v>
      </c>
      <c r="E61" s="16">
        <v>155.12299999999999</v>
      </c>
      <c r="F61" s="16">
        <v>2285.0509999999999</v>
      </c>
      <c r="G61" s="16">
        <v>307.55099999999999</v>
      </c>
      <c r="H61" s="17">
        <v>24.039000000000001</v>
      </c>
      <c r="I61" s="16">
        <v>124.30800000000001</v>
      </c>
      <c r="J61" s="88">
        <v>48.938000000000002</v>
      </c>
      <c r="K61" s="420"/>
      <c r="L61" s="91">
        <v>304.69400000000002</v>
      </c>
      <c r="M61" s="16">
        <v>476.55700000000002</v>
      </c>
      <c r="N61" s="17">
        <v>15.529</v>
      </c>
      <c r="O61" s="297">
        <v>159.886</v>
      </c>
      <c r="P61" s="296">
        <f>SUM(C61:O61)</f>
        <v>6810.7430000000013</v>
      </c>
      <c r="Q61" s="40"/>
      <c r="R61" s="92">
        <v>14.664</v>
      </c>
      <c r="S61" s="19">
        <v>0.85199999999999998</v>
      </c>
      <c r="T61" s="89">
        <v>3146.9479999999999</v>
      </c>
      <c r="U61" s="41"/>
      <c r="V61" s="102">
        <v>326.202</v>
      </c>
      <c r="W61" s="330">
        <f t="shared" si="15"/>
        <v>3488.6660000000002</v>
      </c>
      <c r="X61" s="47"/>
      <c r="Y61" s="868">
        <v>6007.5590000000002</v>
      </c>
      <c r="Z61" s="1441"/>
      <c r="AA61" s="1442"/>
      <c r="AB61" s="1443"/>
      <c r="AC61" s="2105"/>
      <c r="AD61" s="1989"/>
      <c r="AE61" s="2139"/>
      <c r="AF61" s="2162">
        <v>3322.0790000000002</v>
      </c>
      <c r="AG61" s="2151">
        <v>4175.451</v>
      </c>
      <c r="AH61" s="1621">
        <f>W61-V61-SUM(Motpart!Y23:Z23)</f>
        <v>2685.48</v>
      </c>
    </row>
    <row r="62" spans="1:34">
      <c r="A62" s="2173">
        <v>476</v>
      </c>
      <c r="B62" s="2175" t="s">
        <v>1189</v>
      </c>
      <c r="C62" s="18">
        <v>1520.0239999999999</v>
      </c>
      <c r="D62" s="17">
        <v>608.94000000000005</v>
      </c>
      <c r="E62" s="16">
        <v>58.908000000000001</v>
      </c>
      <c r="F62" s="16">
        <v>811.23800000000006</v>
      </c>
      <c r="G62" s="16">
        <v>131.369</v>
      </c>
      <c r="H62" s="17">
        <v>2.0070000000000001</v>
      </c>
      <c r="I62" s="16">
        <v>120.717</v>
      </c>
      <c r="J62" s="88">
        <v>21.495000000000001</v>
      </c>
      <c r="K62" s="420"/>
      <c r="L62" s="91">
        <v>226.09299999999999</v>
      </c>
      <c r="M62" s="16">
        <v>254.21100000000001</v>
      </c>
      <c r="N62" s="17">
        <v>14.039</v>
      </c>
      <c r="O62" s="297">
        <v>112.107</v>
      </c>
      <c r="P62" s="296">
        <f>SUM(C62:O62)</f>
        <v>3881.1479999999997</v>
      </c>
      <c r="Q62" s="40"/>
      <c r="R62" s="92">
        <v>1.6359999999999999</v>
      </c>
      <c r="S62" s="19">
        <v>0.36</v>
      </c>
      <c r="T62" s="89">
        <v>715.38099999999997</v>
      </c>
      <c r="U62" s="41"/>
      <c r="V62" s="102">
        <v>196.119</v>
      </c>
      <c r="W62" s="330">
        <f>SUM(R62:V62)</f>
        <v>913.49599999999998</v>
      </c>
      <c r="X62" s="47"/>
      <c r="Y62" s="1331">
        <v>3605.944</v>
      </c>
      <c r="Z62" s="1441"/>
      <c r="AA62" s="1442"/>
      <c r="AB62" s="1443"/>
      <c r="AC62" s="2105"/>
      <c r="AD62" s="1989"/>
      <c r="AE62" s="2139"/>
      <c r="AF62" s="2162">
        <v>2967.652</v>
      </c>
      <c r="AG62" s="2151">
        <v>2871.7829999999999</v>
      </c>
      <c r="AH62" s="1621">
        <f>W62-V62-SUM(Motpart!Y24:Z24)</f>
        <v>638.29099999999994</v>
      </c>
    </row>
    <row r="63" spans="1:34" ht="13.5" customHeight="1">
      <c r="A63" s="1083"/>
      <c r="B63" s="2176" t="s">
        <v>18</v>
      </c>
      <c r="C63" s="394"/>
      <c r="D63" s="393"/>
      <c r="E63" s="391"/>
      <c r="F63" s="414"/>
      <c r="G63" s="391"/>
      <c r="H63" s="415"/>
      <c r="I63" s="391"/>
      <c r="J63" s="392"/>
      <c r="K63" s="420"/>
      <c r="L63" s="390"/>
      <c r="M63" s="391"/>
      <c r="N63" s="393"/>
      <c r="O63" s="393"/>
      <c r="P63" s="392"/>
      <c r="Q63" s="41"/>
      <c r="R63" s="390"/>
      <c r="S63" s="391"/>
      <c r="T63" s="392"/>
      <c r="U63" s="41"/>
      <c r="V63" s="388"/>
      <c r="W63" s="389"/>
      <c r="X63" s="27"/>
      <c r="Y63" s="848"/>
      <c r="Z63" s="1458"/>
      <c r="AA63" s="1445"/>
      <c r="AB63" s="1445"/>
      <c r="AC63" s="2106"/>
      <c r="AD63" s="1989"/>
      <c r="AE63" s="2139"/>
      <c r="AF63" s="2162"/>
      <c r="AG63" s="2151"/>
      <c r="AH63" s="1621"/>
    </row>
    <row r="64" spans="1:34">
      <c r="A64" s="467" t="s">
        <v>242</v>
      </c>
      <c r="B64" s="743" t="s">
        <v>1186</v>
      </c>
      <c r="C64" s="16">
        <v>162.03299999999999</v>
      </c>
      <c r="D64" s="17">
        <v>64.769000000000005</v>
      </c>
      <c r="E64" s="16">
        <v>6.1379999999999999</v>
      </c>
      <c r="F64" s="16">
        <v>37.902000000000001</v>
      </c>
      <c r="G64" s="16">
        <v>13.489000000000001</v>
      </c>
      <c r="H64" s="17">
        <v>0.52</v>
      </c>
      <c r="I64" s="16">
        <v>13.307</v>
      </c>
      <c r="J64" s="88">
        <v>1.9650000000000001</v>
      </c>
      <c r="K64" s="27"/>
      <c r="L64" s="91">
        <v>23.175999999999998</v>
      </c>
      <c r="M64" s="16">
        <v>20.013999999999999</v>
      </c>
      <c r="N64" s="17">
        <v>0.63</v>
      </c>
      <c r="O64" s="297">
        <v>11.641</v>
      </c>
      <c r="P64" s="296">
        <f>SUM(C64:O64)</f>
        <v>355.58399999999995</v>
      </c>
      <c r="Q64" s="40"/>
      <c r="R64" s="91">
        <v>0.17499999999999999</v>
      </c>
      <c r="S64" s="16">
        <v>1.7999999999999999E-2</v>
      </c>
      <c r="T64" s="88">
        <v>42.24</v>
      </c>
      <c r="U64" s="41"/>
      <c r="V64" s="101">
        <v>10.917999999999999</v>
      </c>
      <c r="W64" s="330">
        <f t="shared" si="15"/>
        <v>53.350999999999999</v>
      </c>
      <c r="X64" s="47"/>
      <c r="Y64" s="848">
        <v>324.10899999999998</v>
      </c>
      <c r="Z64" s="1444"/>
      <c r="AA64" s="1445"/>
      <c r="AB64" s="1445"/>
      <c r="AC64" s="2106"/>
      <c r="AD64" s="1989"/>
      <c r="AE64" s="2139"/>
      <c r="AF64" s="2162">
        <v>302.233</v>
      </c>
      <c r="AG64" s="2151">
        <v>306.24400000000003</v>
      </c>
      <c r="AH64" s="1621">
        <f>W64-V64-SUM(Motpart!Y25:Z25)</f>
        <v>21.876000000000001</v>
      </c>
    </row>
    <row r="65" spans="1:34">
      <c r="A65" s="467" t="s">
        <v>243</v>
      </c>
      <c r="B65" s="743" t="s">
        <v>87</v>
      </c>
      <c r="C65" s="16">
        <v>449.60399999999998</v>
      </c>
      <c r="D65" s="17">
        <v>182.41300000000001</v>
      </c>
      <c r="E65" s="19">
        <v>52.207999999999998</v>
      </c>
      <c r="F65" s="19">
        <v>129.99299999999999</v>
      </c>
      <c r="G65" s="19">
        <v>239.66499999999999</v>
      </c>
      <c r="H65" s="20">
        <v>83.888000000000005</v>
      </c>
      <c r="I65" s="19">
        <v>52.235999999999997</v>
      </c>
      <c r="J65" s="89">
        <v>25.053000000000001</v>
      </c>
      <c r="K65" s="27"/>
      <c r="L65" s="92">
        <v>132.761</v>
      </c>
      <c r="M65" s="19">
        <v>62.576999999999998</v>
      </c>
      <c r="N65" s="17">
        <v>1.173</v>
      </c>
      <c r="O65" s="297">
        <v>42.305999999999997</v>
      </c>
      <c r="P65" s="296">
        <f>SUM(C65:O65)</f>
        <v>1453.8770000000002</v>
      </c>
      <c r="Q65" s="40"/>
      <c r="R65" s="92">
        <v>5.5609999999999999</v>
      </c>
      <c r="S65" s="19">
        <v>8.9909999999999997</v>
      </c>
      <c r="T65" s="89">
        <v>893.29600000000005</v>
      </c>
      <c r="U65" s="41"/>
      <c r="V65" s="102">
        <v>28.716999999999999</v>
      </c>
      <c r="W65" s="330">
        <f t="shared" si="15"/>
        <v>936.56500000000005</v>
      </c>
      <c r="X65" s="47"/>
      <c r="Y65" s="868">
        <v>1414.8409999999999</v>
      </c>
      <c r="Z65" s="1444"/>
      <c r="AA65" s="1445"/>
      <c r="AB65" s="1445"/>
      <c r="AC65" s="2106"/>
      <c r="AD65" s="1989"/>
      <c r="AE65" s="2139"/>
      <c r="AF65" s="2162">
        <v>517.31200000000001</v>
      </c>
      <c r="AG65" s="2151">
        <v>1211.279</v>
      </c>
      <c r="AH65" s="1621">
        <f>W65-V65-SUM(Motpart!Y26:Z26)</f>
        <v>897.52900000000011</v>
      </c>
    </row>
    <row r="66" spans="1:34">
      <c r="A66" s="467" t="s">
        <v>244</v>
      </c>
      <c r="B66" s="750" t="s">
        <v>885</v>
      </c>
      <c r="C66" s="16">
        <v>148.37</v>
      </c>
      <c r="D66" s="17">
        <v>59.73</v>
      </c>
      <c r="E66" s="19">
        <v>7.774</v>
      </c>
      <c r="F66" s="19">
        <v>10.808</v>
      </c>
      <c r="G66" s="19">
        <v>30.544</v>
      </c>
      <c r="H66" s="20">
        <v>1.1299999999999999</v>
      </c>
      <c r="I66" s="19">
        <v>5.2539999999999996</v>
      </c>
      <c r="J66" s="89">
        <v>3.988</v>
      </c>
      <c r="K66" s="27"/>
      <c r="L66" s="92">
        <v>11.757</v>
      </c>
      <c r="M66" s="19">
        <v>10.853</v>
      </c>
      <c r="N66" s="17">
        <v>0.128</v>
      </c>
      <c r="O66" s="297">
        <v>11.077</v>
      </c>
      <c r="P66" s="296">
        <f>SUM(C66:O66)</f>
        <v>301.41300000000001</v>
      </c>
      <c r="Q66" s="40"/>
      <c r="R66" s="92">
        <v>2.7029999999999998</v>
      </c>
      <c r="S66" s="19">
        <v>0.113</v>
      </c>
      <c r="T66" s="89">
        <v>66.361000000000004</v>
      </c>
      <c r="U66" s="41"/>
      <c r="V66" s="102">
        <v>42.619</v>
      </c>
      <c r="W66" s="330">
        <f t="shared" si="15"/>
        <v>111.79600000000001</v>
      </c>
      <c r="X66" s="47"/>
      <c r="Y66" s="868">
        <v>255.286</v>
      </c>
      <c r="Z66" s="763" t="s">
        <v>93</v>
      </c>
      <c r="AA66" s="843"/>
      <c r="AB66" s="844"/>
      <c r="AC66" s="2110"/>
      <c r="AD66" s="1989"/>
      <c r="AE66" s="2139"/>
      <c r="AF66" s="2162">
        <v>189.61600000000001</v>
      </c>
      <c r="AG66" s="2151">
        <v>246.85499999999999</v>
      </c>
      <c r="AH66" s="1621">
        <f>W66-V66-SUM(Motpart!Y27:Z27)</f>
        <v>65.67</v>
      </c>
    </row>
    <row r="67" spans="1:34">
      <c r="A67" s="467" t="s">
        <v>245</v>
      </c>
      <c r="B67" s="743" t="s">
        <v>19</v>
      </c>
      <c r="C67" s="292">
        <f t="shared" ref="C67:J67" si="16">SUM(C58,C60:C62,C64:C66)</f>
        <v>94380.754000000015</v>
      </c>
      <c r="D67" s="22">
        <f t="shared" si="16"/>
        <v>38229.535000000011</v>
      </c>
      <c r="E67" s="445">
        <f t="shared" si="16"/>
        <v>8381.9259999999995</v>
      </c>
      <c r="F67" s="292">
        <f t="shared" si="16"/>
        <v>59862.324000000001</v>
      </c>
      <c r="G67" s="292">
        <f t="shared" si="16"/>
        <v>16347.894999999999</v>
      </c>
      <c r="H67" s="292">
        <f t="shared" si="16"/>
        <v>460.42399999999998</v>
      </c>
      <c r="I67" s="292">
        <f t="shared" si="16"/>
        <v>6872.32</v>
      </c>
      <c r="J67" s="93">
        <f t="shared" si="16"/>
        <v>2939.51</v>
      </c>
      <c r="K67" s="131"/>
      <c r="L67" s="298">
        <f>SUM(L58,L60:L62,L64:L66)</f>
        <v>19605.391000000003</v>
      </c>
      <c r="M67" s="292">
        <f>SUM(M58,M60:M62,M64:M66)</f>
        <v>32786.901000000005</v>
      </c>
      <c r="N67" s="22">
        <f>SUM(N58,N60:N62,N64:N66)</f>
        <v>568.11500000000001</v>
      </c>
      <c r="O67" s="301">
        <f>SUM(O58,O60:O62,O64:O66)</f>
        <v>8100.0729999999994</v>
      </c>
      <c r="P67" s="93">
        <f>SUM(P58,P60:P62,P64:P66)</f>
        <v>288535.16800000001</v>
      </c>
      <c r="Q67" s="40"/>
      <c r="R67" s="298">
        <f>SUM(R58,R60:R62,R64:R66)</f>
        <v>110.22300000000001</v>
      </c>
      <c r="S67" s="292">
        <f>SUM(S58,S60:S62,S64:S66)</f>
        <v>67.259999999999991</v>
      </c>
      <c r="T67" s="93">
        <f>SUM(T58,T60:T62,T64:T66)</f>
        <v>36255.462999999996</v>
      </c>
      <c r="U67" s="40"/>
      <c r="V67" s="105">
        <f>SUM(V58,V60:V62,V64:V66)</f>
        <v>22127.119999999999</v>
      </c>
      <c r="W67" s="106">
        <f>SUM(W58,W60:W62,W64:W66)</f>
        <v>58560.065999999999</v>
      </c>
      <c r="X67" s="47"/>
      <c r="Y67" s="848">
        <v>254008.71900000001</v>
      </c>
      <c r="Z67" s="851">
        <f>(P67-W67)*1000/invanare</f>
        <v>21679.396395344156</v>
      </c>
      <c r="AA67" s="852">
        <f>Y67*1000/invanare</f>
        <v>23945.008216909438</v>
      </c>
      <c r="AB67" s="852">
        <v>23569.565999999999</v>
      </c>
      <c r="AC67" s="2120">
        <f>IF(ISERROR((AA67-AB67)/AB67)," ",((AA67-AB67)/AB67))</f>
        <v>1.5929110315796208E-2</v>
      </c>
      <c r="AD67" s="1989"/>
      <c r="AE67" s="2143">
        <f>IF(ISERROR(F67/(AA67/1000*invanare)),"",(F67/(AA67/100000*invanare)))</f>
        <v>23.567035114255273</v>
      </c>
      <c r="AF67" s="2162">
        <v>229975.114</v>
      </c>
      <c r="AG67" s="2151">
        <v>206085.30900000001</v>
      </c>
      <c r="AH67" s="1621">
        <f>W67-V67-SUM(Motpart!Y17:Z27)</f>
        <v>24033.602999999999</v>
      </c>
    </row>
    <row r="68" spans="1:34" ht="12.75" customHeight="1" thickBot="1">
      <c r="A68" s="476" t="s">
        <v>246</v>
      </c>
      <c r="B68" s="747" t="s">
        <v>94</v>
      </c>
      <c r="C68" s="303">
        <f t="shared" ref="C68:J68" si="17">SUM(C51,C67)</f>
        <v>141778.337</v>
      </c>
      <c r="D68" s="304">
        <f t="shared" si="17"/>
        <v>57399.184000000008</v>
      </c>
      <c r="E68" s="303">
        <f t="shared" si="17"/>
        <v>11186.906999999999</v>
      </c>
      <c r="F68" s="303">
        <f t="shared" si="17"/>
        <v>83392.831000000006</v>
      </c>
      <c r="G68" s="303">
        <f t="shared" si="17"/>
        <v>19177.032999999999</v>
      </c>
      <c r="H68" s="304">
        <f t="shared" si="17"/>
        <v>527.1</v>
      </c>
      <c r="I68" s="303">
        <f t="shared" si="17"/>
        <v>10219.811</v>
      </c>
      <c r="J68" s="305">
        <f t="shared" si="17"/>
        <v>3945.9010000000003</v>
      </c>
      <c r="K68" s="131"/>
      <c r="L68" s="306">
        <f>SUM(L51,L67)</f>
        <v>29152.942000000003</v>
      </c>
      <c r="M68" s="303">
        <f>SUM(M51,M67)</f>
        <v>50087.984000000004</v>
      </c>
      <c r="N68" s="304">
        <f>SUM(N51,N67)</f>
        <v>809.06500000000005</v>
      </c>
      <c r="O68" s="304">
        <f>SUM(O51,O67)</f>
        <v>11850.137999999999</v>
      </c>
      <c r="P68" s="305">
        <f>SUM(P51,P67)</f>
        <v>419527.23300000001</v>
      </c>
      <c r="Q68" s="40"/>
      <c r="R68" s="306">
        <f>SUM(R51,R67)</f>
        <v>10108.404</v>
      </c>
      <c r="S68" s="303">
        <f>SUM(S51,S67)</f>
        <v>88.581999999999994</v>
      </c>
      <c r="T68" s="305">
        <f>SUM(T51,T67)</f>
        <v>43953.770999999993</v>
      </c>
      <c r="U68" s="40"/>
      <c r="V68" s="332">
        <f>SUM(V51,V67)</f>
        <v>33502.313999999998</v>
      </c>
      <c r="W68" s="331">
        <f>SUM(W51,W67)</f>
        <v>87653.070999999996</v>
      </c>
      <c r="X68" s="47"/>
      <c r="Y68" s="875">
        <v>372971.54</v>
      </c>
      <c r="Z68" s="853"/>
      <c r="AA68" s="854"/>
      <c r="AB68" s="855"/>
      <c r="AC68" s="2115"/>
      <c r="AD68" s="1989"/>
      <c r="AE68" s="2141">
        <f>IF(ISERROR(F67/(AA67/1000*invanare)),"",(SUM(Motpart!D17:D27,Motpart!F17:F27)/(AA67/100000*invanare)))</f>
        <v>16.658945081330064</v>
      </c>
      <c r="AF68" s="2163">
        <v>331874.18599999999</v>
      </c>
      <c r="AG68" s="2152">
        <v>302105.00799999997</v>
      </c>
      <c r="AH68" s="1623">
        <f>SUM(AH51,AH58,AH60:AH62,AH64:AH66)</f>
        <v>41097.352999999996</v>
      </c>
    </row>
    <row r="69" spans="1:34" ht="17.25" customHeight="1">
      <c r="A69" s="1083"/>
      <c r="B69" s="748" t="s">
        <v>95</v>
      </c>
      <c r="C69" s="421"/>
      <c r="D69" s="422"/>
      <c r="E69" s="423"/>
      <c r="F69" s="423"/>
      <c r="G69" s="423"/>
      <c r="H69" s="422"/>
      <c r="I69" s="423"/>
      <c r="J69" s="424"/>
      <c r="K69" s="32"/>
      <c r="L69" s="425"/>
      <c r="M69" s="423"/>
      <c r="N69" s="422"/>
      <c r="O69" s="422"/>
      <c r="P69" s="426"/>
      <c r="Q69" s="42"/>
      <c r="R69" s="425"/>
      <c r="S69" s="423"/>
      <c r="T69" s="424"/>
      <c r="U69" s="42"/>
      <c r="V69" s="427"/>
      <c r="W69" s="428"/>
      <c r="X69" s="32"/>
      <c r="Y69" s="1334"/>
      <c r="Z69" s="1467"/>
      <c r="AA69" s="1468"/>
      <c r="AB69" s="1469"/>
      <c r="AC69" s="2121"/>
      <c r="AD69" s="1989"/>
      <c r="AE69" s="2139"/>
      <c r="AF69" s="2164"/>
      <c r="AG69" s="2153"/>
      <c r="AH69" s="1622"/>
    </row>
    <row r="70" spans="1:34">
      <c r="A70" s="467" t="s">
        <v>247</v>
      </c>
      <c r="B70" s="742" t="s">
        <v>96</v>
      </c>
      <c r="C70" s="16">
        <v>126.91500000000001</v>
      </c>
      <c r="D70" s="17">
        <v>53.709000000000003</v>
      </c>
      <c r="E70" s="16">
        <v>13.433999999999999</v>
      </c>
      <c r="F70" s="16">
        <v>64.058000000000007</v>
      </c>
      <c r="G70" s="16">
        <v>45.526000000000003</v>
      </c>
      <c r="H70" s="17">
        <v>0.24199999999999999</v>
      </c>
      <c r="I70" s="16">
        <v>-0.48699999999999999</v>
      </c>
      <c r="J70" s="88">
        <v>1.4450000000000001</v>
      </c>
      <c r="K70" s="27"/>
      <c r="L70" s="91">
        <v>24.099</v>
      </c>
      <c r="M70" s="16">
        <v>176.88800000000001</v>
      </c>
      <c r="N70" s="17">
        <v>0</v>
      </c>
      <c r="O70" s="297">
        <v>6.8860000000000001</v>
      </c>
      <c r="P70" s="296">
        <f>SUM(C70:O70)</f>
        <v>512.71500000000003</v>
      </c>
      <c r="Q70" s="40"/>
      <c r="R70" s="91">
        <v>19.338999999999999</v>
      </c>
      <c r="S70" s="16">
        <v>0.38600000000000001</v>
      </c>
      <c r="T70" s="88">
        <v>39.555999999999997</v>
      </c>
      <c r="U70" s="41"/>
      <c r="V70" s="101">
        <v>176.38499999999999</v>
      </c>
      <c r="W70" s="330">
        <f>SUM(R70:V70)</f>
        <v>235.666</v>
      </c>
      <c r="X70" s="47"/>
      <c r="Y70" s="848">
        <v>324.86200000000002</v>
      </c>
      <c r="Z70" s="1470"/>
      <c r="AA70" s="1464"/>
      <c r="AB70" s="1464"/>
      <c r="AC70" s="2122"/>
      <c r="AD70" s="1989"/>
      <c r="AE70" s="2139"/>
      <c r="AF70" s="2162">
        <v>277.04899999999998</v>
      </c>
      <c r="AG70" s="2151">
        <v>272.02999999999997</v>
      </c>
      <c r="AH70" s="1621">
        <f>W70-V70-(IF(AND(Motpart!$Y$28="",Motpart!$Z$28=""),0,IF(AND(Motpart!$Y$28=0,Motpart!$Z$28=0),0,((T70/($T$70+$T$71))*(Motpart!$Y$28+Motpart!$Z$28)))))</f>
        <v>48.821101392543781</v>
      </c>
    </row>
    <row r="71" spans="1:34" ht="26.1" customHeight="1" thickBot="1">
      <c r="A71" s="467" t="s">
        <v>248</v>
      </c>
      <c r="B71" s="1666" t="s">
        <v>981</v>
      </c>
      <c r="C71" s="19">
        <v>932.08500000000004</v>
      </c>
      <c r="D71" s="17">
        <v>392.77300000000002</v>
      </c>
      <c r="E71" s="19">
        <v>514.83900000000006</v>
      </c>
      <c r="F71" s="19">
        <v>381.97800000000001</v>
      </c>
      <c r="G71" s="19">
        <v>360.52100000000002</v>
      </c>
      <c r="H71" s="20">
        <v>2.3639999999999999</v>
      </c>
      <c r="I71" s="19">
        <v>13.664</v>
      </c>
      <c r="J71" s="89">
        <v>33.433999999999997</v>
      </c>
      <c r="K71" s="27"/>
      <c r="L71" s="92">
        <v>136.72900000000001</v>
      </c>
      <c r="M71" s="19">
        <v>216.047</v>
      </c>
      <c r="N71" s="17">
        <v>0.99099999999999999</v>
      </c>
      <c r="O71" s="297">
        <v>59.045999999999999</v>
      </c>
      <c r="P71" s="296">
        <f>SUM(C71:O71)</f>
        <v>3044.4710000000005</v>
      </c>
      <c r="Q71" s="40"/>
      <c r="R71" s="92">
        <v>48.774999999999999</v>
      </c>
      <c r="S71" s="19">
        <v>3.536</v>
      </c>
      <c r="T71" s="89">
        <v>371.99299999999999</v>
      </c>
      <c r="U71" s="41"/>
      <c r="V71" s="102">
        <v>153.40700000000001</v>
      </c>
      <c r="W71" s="856">
        <f>SUM(R71:V71)</f>
        <v>577.71100000000001</v>
      </c>
      <c r="X71" s="47"/>
      <c r="Y71" s="868">
        <v>2793.7049999999999</v>
      </c>
      <c r="Z71" s="1465"/>
      <c r="AA71" s="1466"/>
      <c r="AB71" s="1466"/>
      <c r="AC71" s="2123"/>
      <c r="AD71" s="1989"/>
      <c r="AE71" s="2139"/>
      <c r="AF71" s="2162">
        <v>2466.7600000000002</v>
      </c>
      <c r="AG71" s="2151">
        <v>2506.7220000000002</v>
      </c>
      <c r="AH71" s="1621">
        <f>W71-V71-(IF(AND(Motpart!$Y$28="",Motpart!$Z$28=""),0,IF(AND(Motpart!$Y$28=0,Motpart!$Z$28=0),0,((T71/($T$70+$T$71))*(Motpart!$Y$28+Motpart!$Z$28)))))</f>
        <v>325.93689860745621</v>
      </c>
    </row>
    <row r="72" spans="1:34" ht="36" customHeight="1" thickBot="1">
      <c r="A72" s="1084"/>
      <c r="B72" s="1471" t="s">
        <v>98</v>
      </c>
      <c r="C72" s="394"/>
      <c r="D72" s="393"/>
      <c r="E72" s="391"/>
      <c r="F72" s="391"/>
      <c r="G72" s="391"/>
      <c r="H72" s="393"/>
      <c r="I72" s="391"/>
      <c r="J72" s="392"/>
      <c r="K72" s="27"/>
      <c r="L72" s="390"/>
      <c r="M72" s="391"/>
      <c r="N72" s="393"/>
      <c r="O72" s="393"/>
      <c r="P72" s="392"/>
      <c r="Q72" s="41"/>
      <c r="R72" s="390"/>
      <c r="S72" s="391"/>
      <c r="T72" s="392"/>
      <c r="U72" s="41"/>
      <c r="V72" s="388"/>
      <c r="W72" s="389"/>
      <c r="X72" s="27"/>
      <c r="Y72" s="1460" t="s">
        <v>918</v>
      </c>
      <c r="Z72" s="2457"/>
      <c r="AA72" s="2455"/>
      <c r="AB72" s="2455"/>
      <c r="AC72" s="2456"/>
      <c r="AD72" s="1989"/>
      <c r="AE72" s="2144">
        <f>IF(ISERROR((F73+F74)/((AA73+AA74)/1000*invanare)),"",((F73+F74)/((AA73+AA74)/100000*invanare)))</f>
        <v>16.538922502355469</v>
      </c>
      <c r="AF72" s="2162"/>
      <c r="AG72" s="2151"/>
      <c r="AH72" s="1621"/>
    </row>
    <row r="73" spans="1:34">
      <c r="A73" s="467" t="s">
        <v>425</v>
      </c>
      <c r="B73" s="750" t="s">
        <v>476</v>
      </c>
      <c r="C73" s="16">
        <v>73233.046000000002</v>
      </c>
      <c r="D73" s="17">
        <v>29653.004000000001</v>
      </c>
      <c r="E73" s="16">
        <v>5691.1779999999999</v>
      </c>
      <c r="F73" s="16">
        <v>26867.627</v>
      </c>
      <c r="G73" s="16">
        <v>7623.8019999999997</v>
      </c>
      <c r="H73" s="17">
        <v>1256.7570000000001</v>
      </c>
      <c r="I73" s="16">
        <v>4402.8670000000002</v>
      </c>
      <c r="J73" s="88">
        <v>1778.4749999999999</v>
      </c>
      <c r="K73" s="27"/>
      <c r="L73" s="91">
        <v>7982.8370000000004</v>
      </c>
      <c r="M73" s="16">
        <v>19029.563999999998</v>
      </c>
      <c r="N73" s="17">
        <v>369.90300000000002</v>
      </c>
      <c r="O73" s="297">
        <v>5578.0720000000001</v>
      </c>
      <c r="P73" s="296">
        <f>SUM(C73:O73)</f>
        <v>183467.13199999998</v>
      </c>
      <c r="Q73" s="40"/>
      <c r="R73" s="1673">
        <v>7630.058</v>
      </c>
      <c r="S73" s="16">
        <v>5320.62</v>
      </c>
      <c r="T73" s="88">
        <v>13484.147000000001</v>
      </c>
      <c r="U73" s="41"/>
      <c r="V73" s="101">
        <v>13551.65</v>
      </c>
      <c r="W73" s="330">
        <f>SUM(R73:V73)</f>
        <v>39986.474999999999</v>
      </c>
      <c r="X73" s="47"/>
      <c r="Y73" s="848">
        <v>169296.39199999999</v>
      </c>
      <c r="Z73" s="851">
        <f>(P73-W73)*1000/invanare</f>
        <v>13525.699134889004</v>
      </c>
      <c r="AA73" s="852">
        <f>Y73*1000/invanare</f>
        <v>15959.308457963294</v>
      </c>
      <c r="AB73" s="866">
        <v>15686.028</v>
      </c>
      <c r="AC73" s="2113">
        <f>IF(ISERROR((AA73-AB73)/AB73)," ",((AA73-AB73)/AB73))</f>
        <v>1.742190298036532E-2</v>
      </c>
      <c r="AD73" s="1989"/>
      <c r="AE73" s="2143"/>
      <c r="AF73" s="2162">
        <v>143480.655</v>
      </c>
      <c r="AG73" s="2151">
        <v>141791.098</v>
      </c>
      <c r="AH73" s="1621">
        <f>W73-V73-SUM(Motpart!Y29:Z29)</f>
        <v>25815.734999999997</v>
      </c>
    </row>
    <row r="74" spans="1:34" ht="18.75">
      <c r="A74" s="467" t="s">
        <v>424</v>
      </c>
      <c r="B74" s="754" t="s">
        <v>360</v>
      </c>
      <c r="C74" s="16">
        <v>6885.9359999999997</v>
      </c>
      <c r="D74" s="17">
        <v>2708.7809999999999</v>
      </c>
      <c r="E74" s="16">
        <v>373.01900000000001</v>
      </c>
      <c r="F74" s="16">
        <v>4025.7080000000001</v>
      </c>
      <c r="G74" s="16">
        <v>774.51099999999997</v>
      </c>
      <c r="H74" s="17">
        <v>394.00099999999998</v>
      </c>
      <c r="I74" s="16">
        <v>451.69799999999998</v>
      </c>
      <c r="J74" s="88">
        <v>105.70099999999999</v>
      </c>
      <c r="K74" s="27"/>
      <c r="L74" s="91">
        <v>560.65300000000002</v>
      </c>
      <c r="M74" s="16">
        <v>1684.4010000000001</v>
      </c>
      <c r="N74" s="17">
        <v>41.677</v>
      </c>
      <c r="O74" s="297">
        <v>505.14299999999997</v>
      </c>
      <c r="P74" s="296">
        <f>SUM(C74:O74)</f>
        <v>18511.229000000003</v>
      </c>
      <c r="Q74" s="40"/>
      <c r="R74" s="1673">
        <v>375.60399999999998</v>
      </c>
      <c r="S74" s="16">
        <v>356.76600000000002</v>
      </c>
      <c r="T74" s="88">
        <v>1053.067</v>
      </c>
      <c r="U74" s="41"/>
      <c r="V74" s="101">
        <v>968.09799999999996</v>
      </c>
      <c r="W74" s="330">
        <f>SUM(R74:V74)</f>
        <v>2753.5349999999999</v>
      </c>
      <c r="X74" s="47"/>
      <c r="Y74" s="848">
        <v>17495.311000000002</v>
      </c>
      <c r="Z74" s="851">
        <f>(P74-W74)*1000/invanare</f>
        <v>1485.4533883521717</v>
      </c>
      <c r="AA74" s="852">
        <f>Y74*1000/invanare</f>
        <v>1649.2558495694241</v>
      </c>
      <c r="AB74" s="866">
        <v>1659.43</v>
      </c>
      <c r="AC74" s="2113">
        <f>IF(ISERROR((AA74-AB74)/AB74)," ",((AA74-AB74)/AB74))</f>
        <v>-6.131111544672563E-3</v>
      </c>
      <c r="AD74" s="1989"/>
      <c r="AE74" s="2142">
        <f>(Y77-Y76)*1000/invanare</f>
        <v>25331.842760602529</v>
      </c>
      <c r="AF74" s="2162">
        <v>15757.692999999999</v>
      </c>
      <c r="AG74" s="2151">
        <v>13123.42</v>
      </c>
      <c r="AH74" s="1621">
        <f>W74-V74-SUM(Motpart!Y30:Z30)</f>
        <v>1737.6189999999999</v>
      </c>
    </row>
    <row r="75" spans="1:34">
      <c r="A75" s="467" t="s">
        <v>249</v>
      </c>
      <c r="B75" s="750" t="s">
        <v>361</v>
      </c>
      <c r="C75" s="2178">
        <v>33356.656000000003</v>
      </c>
      <c r="D75" s="17">
        <v>13376.489</v>
      </c>
      <c r="E75" s="19">
        <v>1343.701</v>
      </c>
      <c r="F75" s="2178">
        <v>16755.786</v>
      </c>
      <c r="G75" s="19">
        <v>2317.4279999999999</v>
      </c>
      <c r="H75" s="20">
        <v>5530.8040000000001</v>
      </c>
      <c r="I75" s="19">
        <v>1801.1969999999999</v>
      </c>
      <c r="J75" s="89">
        <v>480.887</v>
      </c>
      <c r="K75" s="27"/>
      <c r="L75" s="92">
        <v>3405.4720000000002</v>
      </c>
      <c r="M75" s="2178">
        <v>4925.1940000000004</v>
      </c>
      <c r="N75" s="2189">
        <v>178.696</v>
      </c>
      <c r="O75" s="2191">
        <v>2217.4259999999999</v>
      </c>
      <c r="P75" s="296">
        <f>SUM(C75:O75)</f>
        <v>85689.736000000004</v>
      </c>
      <c r="Q75" s="40"/>
      <c r="R75" s="1671">
        <v>146.46100000000001</v>
      </c>
      <c r="S75" s="19">
        <v>1731.961</v>
      </c>
      <c r="T75" s="89">
        <v>7946.116</v>
      </c>
      <c r="U75" s="41"/>
      <c r="V75" s="2192">
        <v>3480.152</v>
      </c>
      <c r="W75" s="330">
        <f>SUM(R75:V75)</f>
        <v>13304.69</v>
      </c>
      <c r="X75" s="47"/>
      <c r="Y75" s="848">
        <v>81928.539000000004</v>
      </c>
      <c r="Z75" s="851">
        <f>(P75-W75)*1000/invanare</f>
        <v>6823.6260868327427</v>
      </c>
      <c r="AA75" s="852">
        <f>Y75*1000/invanare</f>
        <v>7723.276379163919</v>
      </c>
      <c r="AB75" s="866">
        <v>7613.3310000000001</v>
      </c>
      <c r="AC75" s="2113">
        <f>IF(ISERROR((AA75-AB75)/AB75)," ",((AA75-AB75)/AB75))</f>
        <v>1.4441166312605995E-2</v>
      </c>
      <c r="AD75" s="1989"/>
      <c r="AE75" s="2139"/>
      <c r="AF75" s="2162">
        <v>72385.047000000006</v>
      </c>
      <c r="AG75" s="2151">
        <v>59922.995999999999</v>
      </c>
      <c r="AH75" s="1621">
        <f>W75-V75-SUM(Motpart!Y31:Z31)</f>
        <v>9543.4920000000002</v>
      </c>
    </row>
    <row r="76" spans="1:34">
      <c r="A76" s="467" t="s">
        <v>250</v>
      </c>
      <c r="B76" s="743" t="s">
        <v>99</v>
      </c>
      <c r="C76" s="19">
        <v>142.726</v>
      </c>
      <c r="D76" s="17">
        <v>57.966999999999999</v>
      </c>
      <c r="E76" s="19">
        <v>3.7280000000000002</v>
      </c>
      <c r="F76" s="19">
        <v>2355.471</v>
      </c>
      <c r="G76" s="19">
        <v>450.70699999999999</v>
      </c>
      <c r="H76" s="20">
        <v>39.747</v>
      </c>
      <c r="I76" s="19">
        <v>1.845</v>
      </c>
      <c r="J76" s="89">
        <v>0.57999999999999996</v>
      </c>
      <c r="K76" s="27"/>
      <c r="L76" s="92">
        <v>6.17</v>
      </c>
      <c r="M76" s="19">
        <v>109.108</v>
      </c>
      <c r="N76" s="17">
        <v>8.4730000000000008</v>
      </c>
      <c r="O76" s="297">
        <v>22.742999999999999</v>
      </c>
      <c r="P76" s="296">
        <f>SUM(C76:O76)</f>
        <v>3199.2649999999994</v>
      </c>
      <c r="Q76" s="40"/>
      <c r="R76" s="1671">
        <v>134.60400000000001</v>
      </c>
      <c r="S76" s="19">
        <v>0.04</v>
      </c>
      <c r="T76" s="89">
        <v>72.888999999999996</v>
      </c>
      <c r="U76" s="41"/>
      <c r="V76" s="102">
        <v>124.72499999999999</v>
      </c>
      <c r="W76" s="330">
        <f>SUM(R76:V76)</f>
        <v>332.25800000000004</v>
      </c>
      <c r="X76" s="47"/>
      <c r="Y76" s="848">
        <v>3065.45</v>
      </c>
      <c r="Z76" s="851">
        <f>(P76-W76)*1000/invanare</f>
        <v>270.26830591959668</v>
      </c>
      <c r="AA76" s="852">
        <f>Y76*1000/invanare</f>
        <v>288.9752199353639</v>
      </c>
      <c r="AB76" s="869">
        <v>278.14400000000001</v>
      </c>
      <c r="AC76" s="2113">
        <f>IF(ISERROR((AA76-AB76)/AB76)," ",((AA76-AB76)/AB76))</f>
        <v>3.8941051884505473E-2</v>
      </c>
      <c r="AD76" s="1989"/>
      <c r="AE76" s="2142"/>
      <c r="AF76" s="2162">
        <v>2867.0070000000001</v>
      </c>
      <c r="AG76" s="2151">
        <v>679.322</v>
      </c>
      <c r="AH76" s="1621">
        <f>W76-V76-SUM(Motpart!Y32:Z32)</f>
        <v>198.44300000000004</v>
      </c>
    </row>
    <row r="77" spans="1:34">
      <c r="A77" s="467" t="s">
        <v>487</v>
      </c>
      <c r="B77" s="743" t="s">
        <v>101</v>
      </c>
      <c r="C77" s="292">
        <f t="shared" ref="C77:J77" si="18">SUM(C73:C76)</f>
        <v>113618.364</v>
      </c>
      <c r="D77" s="22">
        <f t="shared" si="18"/>
        <v>45796.240999999995</v>
      </c>
      <c r="E77" s="292">
        <f t="shared" si="18"/>
        <v>7411.6260000000002</v>
      </c>
      <c r="F77" s="292">
        <f t="shared" si="18"/>
        <v>50004.591999999997</v>
      </c>
      <c r="G77" s="292">
        <f t="shared" si="18"/>
        <v>11166.448</v>
      </c>
      <c r="H77" s="22">
        <f t="shared" si="18"/>
        <v>7221.3090000000002</v>
      </c>
      <c r="I77" s="292">
        <f t="shared" si="18"/>
        <v>6657.6070000000009</v>
      </c>
      <c r="J77" s="93">
        <f t="shared" si="18"/>
        <v>2365.643</v>
      </c>
      <c r="K77" s="131"/>
      <c r="L77" s="298">
        <f>SUM(L73:L76)</f>
        <v>11955.132</v>
      </c>
      <c r="M77" s="292">
        <f>SUM(M73:M76)</f>
        <v>25748.267</v>
      </c>
      <c r="N77" s="22">
        <f>SUM(N73:N76)</f>
        <v>598.74900000000002</v>
      </c>
      <c r="O77" s="22">
        <f>SUM(O73:O76)</f>
        <v>8323.384</v>
      </c>
      <c r="P77" s="93">
        <f>SUM(P73:P76)</f>
        <v>290867.36199999996</v>
      </c>
      <c r="Q77" s="40"/>
      <c r="R77" s="298">
        <f>SUM(R73:R76)</f>
        <v>8286.7270000000008</v>
      </c>
      <c r="S77" s="292">
        <f>SUM(S73:S76)</f>
        <v>7409.3869999999997</v>
      </c>
      <c r="T77" s="93">
        <f>SUM(T73:T76)</f>
        <v>22556.219000000001</v>
      </c>
      <c r="U77" s="40"/>
      <c r="V77" s="105">
        <f>SUM(V73:V76)</f>
        <v>18124.625</v>
      </c>
      <c r="W77" s="106">
        <f>SUM(W73:W76)</f>
        <v>56376.957999999999</v>
      </c>
      <c r="X77" s="47"/>
      <c r="Y77" s="848">
        <v>271785.71399999998</v>
      </c>
      <c r="Z77" s="1482">
        <f>(P77-W77)*1000/invanare</f>
        <v>22105.046915993516</v>
      </c>
      <c r="AA77" s="869">
        <f>Y77*1000/invanare</f>
        <v>25620.8179805379</v>
      </c>
      <c r="AB77" s="1483">
        <v>25236.935000000001</v>
      </c>
      <c r="AC77" s="2117">
        <f t="shared" ref="AC77:AC84" si="19">IF(ISERROR((AA77-AB77)/AB77)," ",((AA77-AB77)/AB77))</f>
        <v>1.5211157002143847E-2</v>
      </c>
      <c r="AD77" s="1989"/>
      <c r="AE77" s="2143">
        <f>IF(ISERROR(F77/(AA77/1000*invanare)),"",(F77/(AA77/100000*invanare)))</f>
        <v>18.398535840629208</v>
      </c>
      <c r="AF77" s="2162">
        <v>234490.424</v>
      </c>
      <c r="AG77" s="2151">
        <v>215516.85800000001</v>
      </c>
      <c r="AH77" s="1621">
        <f>W77-V77-SUM(Motpart!Y29:Z32)</f>
        <v>37295.288999999997</v>
      </c>
    </row>
    <row r="78" spans="1:34" ht="13.5" customHeight="1">
      <c r="A78" s="1084"/>
      <c r="B78" s="751" t="s">
        <v>102</v>
      </c>
      <c r="C78" s="394"/>
      <c r="D78" s="393"/>
      <c r="E78" s="391"/>
      <c r="F78" s="391"/>
      <c r="G78" s="391"/>
      <c r="H78" s="393"/>
      <c r="I78" s="391"/>
      <c r="J78" s="392"/>
      <c r="K78" s="27"/>
      <c r="L78" s="390"/>
      <c r="M78" s="391"/>
      <c r="N78" s="393"/>
      <c r="O78" s="393"/>
      <c r="P78" s="392"/>
      <c r="Q78" s="41"/>
      <c r="R78" s="390"/>
      <c r="S78" s="391"/>
      <c r="T78" s="392"/>
      <c r="U78" s="41"/>
      <c r="V78" s="388"/>
      <c r="W78" s="389"/>
      <c r="X78" s="27"/>
      <c r="Y78" s="1459"/>
      <c r="Z78" s="1484"/>
      <c r="AA78" s="1493"/>
      <c r="AB78" s="1493"/>
      <c r="AC78" s="2124" t="str">
        <f t="shared" si="19"/>
        <v xml:space="preserve"> </v>
      </c>
      <c r="AD78" s="1989"/>
      <c r="AE78" s="2139">
        <f>IF(ISERROR(F77/(AA77/1000*invanare)),"",(SUM(Motpart!D29:D32,Motpart!F29:F32)/(AA77/100000*invanare)))</f>
        <v>16.460229031758452</v>
      </c>
      <c r="AF78" s="2162"/>
      <c r="AG78" s="2151"/>
      <c r="AH78" s="1621"/>
    </row>
    <row r="79" spans="1:34">
      <c r="A79" s="467" t="s">
        <v>429</v>
      </c>
      <c r="B79" s="755" t="s">
        <v>195</v>
      </c>
      <c r="C79" s="16">
        <v>3049.364</v>
      </c>
      <c r="D79" s="17">
        <v>1220.654</v>
      </c>
      <c r="E79" s="16">
        <v>139.96199999999999</v>
      </c>
      <c r="F79" s="16">
        <v>3142.4360000000001</v>
      </c>
      <c r="G79" s="16">
        <v>506.21100000000001</v>
      </c>
      <c r="H79" s="17">
        <v>150.726</v>
      </c>
      <c r="I79" s="16">
        <v>495.24700000000001</v>
      </c>
      <c r="J79" s="88">
        <v>43.633000000000003</v>
      </c>
      <c r="K79" s="27"/>
      <c r="L79" s="91">
        <v>436.512</v>
      </c>
      <c r="M79" s="16">
        <v>387.91199999999998</v>
      </c>
      <c r="N79" s="17">
        <v>14.621</v>
      </c>
      <c r="O79" s="297">
        <v>236.636</v>
      </c>
      <c r="P79" s="296">
        <f>SUM(C79:O79)</f>
        <v>9823.9139999999989</v>
      </c>
      <c r="Q79" s="40"/>
      <c r="R79" s="91">
        <v>43.087000000000003</v>
      </c>
      <c r="S79" s="16">
        <v>329.76900000000001</v>
      </c>
      <c r="T79" s="88">
        <v>545.71900000000005</v>
      </c>
      <c r="U79" s="41"/>
      <c r="V79" s="101">
        <v>272.92599999999999</v>
      </c>
      <c r="W79" s="330">
        <f>SUM(R79:V79)</f>
        <v>1191.501</v>
      </c>
      <c r="X79" s="47"/>
      <c r="Y79" s="848">
        <v>9519.3709999999992</v>
      </c>
      <c r="Z79" s="851">
        <f t="shared" ref="Z79:Z84" si="20">(P79-W79)*1000/invanare</f>
        <v>813.76419293999049</v>
      </c>
      <c r="AA79" s="852">
        <f t="shared" ref="AA79:AA84" si="21">Y79*1000/invanare</f>
        <v>897.37634878119843</v>
      </c>
      <c r="AB79" s="852">
        <v>894.18700000000001</v>
      </c>
      <c r="AC79" s="2113">
        <f t="shared" si="19"/>
        <v>3.5667581626644298E-3</v>
      </c>
      <c r="AD79" s="1989"/>
      <c r="AE79" s="2142">
        <f>F85-F76-F71-F70</f>
        <v>63238.152000000002</v>
      </c>
      <c r="AF79" s="2162">
        <v>8632.4150000000009</v>
      </c>
      <c r="AG79" s="2151">
        <v>6257.8280000000004</v>
      </c>
      <c r="AH79" s="1621">
        <f>W79-V79-SUM(Motpart!Y33:Z33)</f>
        <v>886.95699999999999</v>
      </c>
    </row>
    <row r="80" spans="1:34">
      <c r="A80" s="467" t="s">
        <v>428</v>
      </c>
      <c r="B80" s="755" t="s">
        <v>103</v>
      </c>
      <c r="C80" s="16">
        <v>13157.85</v>
      </c>
      <c r="D80" s="17">
        <v>4981.1400000000003</v>
      </c>
      <c r="E80" s="16">
        <v>196.078</v>
      </c>
      <c r="F80" s="16">
        <v>11055.296</v>
      </c>
      <c r="G80" s="16">
        <v>2754.8589999999999</v>
      </c>
      <c r="H80" s="17">
        <v>149.50399999999999</v>
      </c>
      <c r="I80" s="16">
        <v>383.80500000000001</v>
      </c>
      <c r="J80" s="88">
        <v>81.372</v>
      </c>
      <c r="K80" s="27"/>
      <c r="L80" s="91">
        <v>655.89200000000005</v>
      </c>
      <c r="M80" s="16">
        <v>1000.607</v>
      </c>
      <c r="N80" s="17">
        <v>65.116</v>
      </c>
      <c r="O80" s="297">
        <v>910.64099999999996</v>
      </c>
      <c r="P80" s="296">
        <f>SUM(C80:O80)</f>
        <v>35392.160000000011</v>
      </c>
      <c r="Q80" s="40"/>
      <c r="R80" s="91">
        <v>74.228999999999999</v>
      </c>
      <c r="S80" s="16">
        <v>36.395000000000003</v>
      </c>
      <c r="T80" s="88">
        <v>2801.03</v>
      </c>
      <c r="U80" s="41"/>
      <c r="V80" s="101">
        <v>556.87300000000005</v>
      </c>
      <c r="W80" s="330">
        <f>SUM(R80:V80)</f>
        <v>3468.527</v>
      </c>
      <c r="X80" s="47"/>
      <c r="Y80" s="868">
        <v>34605.124000000003</v>
      </c>
      <c r="Z80" s="851">
        <f t="shared" si="20"/>
        <v>3009.3914000589939</v>
      </c>
      <c r="AA80" s="852">
        <f t="shared" si="21"/>
        <v>3262.1714002154786</v>
      </c>
      <c r="AB80" s="866">
        <v>3118.4609999999998</v>
      </c>
      <c r="AC80" s="2112">
        <f t="shared" si="19"/>
        <v>4.6083757409657776E-2</v>
      </c>
      <c r="AD80" s="1989"/>
      <c r="AE80" s="2142">
        <f>H85-H76-H71-H70</f>
        <v>19139.873</v>
      </c>
      <c r="AF80" s="2162">
        <v>31923.633999999998</v>
      </c>
      <c r="AG80" s="2151">
        <v>23630.488000000001</v>
      </c>
      <c r="AH80" s="1621">
        <f>W80-V80-SUM(Motpart!Y35:Z35)</f>
        <v>2681.49</v>
      </c>
    </row>
    <row r="81" spans="1:34">
      <c r="A81" s="467" t="s">
        <v>431</v>
      </c>
      <c r="B81" s="755" t="s">
        <v>164</v>
      </c>
      <c r="C81" s="16">
        <v>1166.2139999999999</v>
      </c>
      <c r="D81" s="17">
        <v>469.553</v>
      </c>
      <c r="E81" s="16">
        <v>39.542999999999999</v>
      </c>
      <c r="F81" s="16">
        <v>1124.3109999999999</v>
      </c>
      <c r="G81" s="16">
        <v>216.70099999999999</v>
      </c>
      <c r="H81" s="17">
        <v>327.99099999999999</v>
      </c>
      <c r="I81" s="16">
        <v>236.71299999999999</v>
      </c>
      <c r="J81" s="88">
        <v>16.588000000000001</v>
      </c>
      <c r="K81" s="27"/>
      <c r="L81" s="91">
        <v>260.85000000000002</v>
      </c>
      <c r="M81" s="16">
        <v>177.58500000000001</v>
      </c>
      <c r="N81" s="17">
        <v>8.0790000000000006</v>
      </c>
      <c r="O81" s="297">
        <v>89.706999999999994</v>
      </c>
      <c r="P81" s="296">
        <f>SUM(C81:O81)</f>
        <v>4133.835</v>
      </c>
      <c r="Q81" s="40"/>
      <c r="R81" s="91">
        <v>6.8109999999999999</v>
      </c>
      <c r="S81" s="16">
        <v>188.89400000000001</v>
      </c>
      <c r="T81" s="88">
        <v>401.56599999999997</v>
      </c>
      <c r="U81" s="41"/>
      <c r="V81" s="101">
        <v>168.185</v>
      </c>
      <c r="W81" s="330">
        <f>SUM(R81:V81)</f>
        <v>765.4559999999999</v>
      </c>
      <c r="X81" s="47"/>
      <c r="Y81" s="868">
        <v>3906.6489999999999</v>
      </c>
      <c r="Z81" s="851">
        <f t="shared" si="20"/>
        <v>317.53186721383844</v>
      </c>
      <c r="AA81" s="852">
        <f t="shared" si="21"/>
        <v>368.27374577477019</v>
      </c>
      <c r="AB81" s="866">
        <v>362.96100000000001</v>
      </c>
      <c r="AC81" s="2112">
        <f t="shared" si="19"/>
        <v>1.4637235886969063E-2</v>
      </c>
      <c r="AD81" s="1989"/>
      <c r="AE81" s="2139"/>
      <c r="AF81" s="2162">
        <v>3368.3780000000002</v>
      </c>
      <c r="AG81" s="2151">
        <v>2513.348</v>
      </c>
      <c r="AH81" s="1621">
        <f>W81-V81-IFO!G29</f>
        <v>538.27</v>
      </c>
    </row>
    <row r="82" spans="1:34">
      <c r="A82" s="467" t="s">
        <v>430</v>
      </c>
      <c r="B82" s="755" t="s">
        <v>104</v>
      </c>
      <c r="C82" s="16">
        <v>2564.2620000000002</v>
      </c>
      <c r="D82" s="17">
        <v>1040.71</v>
      </c>
      <c r="E82" s="16">
        <v>43.755000000000003</v>
      </c>
      <c r="F82" s="16">
        <v>46.154000000000003</v>
      </c>
      <c r="G82" s="16">
        <v>396.82900000000001</v>
      </c>
      <c r="H82" s="17">
        <v>11325.376</v>
      </c>
      <c r="I82" s="16">
        <v>113.93600000000001</v>
      </c>
      <c r="J82" s="88">
        <v>28.649000000000001</v>
      </c>
      <c r="K82" s="27"/>
      <c r="L82" s="91">
        <v>166.88300000000001</v>
      </c>
      <c r="M82" s="16">
        <v>348.72899999999998</v>
      </c>
      <c r="N82" s="17">
        <v>20.931999999999999</v>
      </c>
      <c r="O82" s="297">
        <v>181.25299999999999</v>
      </c>
      <c r="P82" s="296">
        <f>SUM(C82:O82)</f>
        <v>16277.468000000001</v>
      </c>
      <c r="Q82" s="40"/>
      <c r="R82" s="91">
        <v>27.001999999999999</v>
      </c>
      <c r="S82" s="16">
        <v>34.112000000000002</v>
      </c>
      <c r="T82" s="88">
        <v>694.52499999999998</v>
      </c>
      <c r="U82" s="41"/>
      <c r="V82" s="101">
        <v>146.762</v>
      </c>
      <c r="W82" s="330">
        <f>SUM(R82:V82)</f>
        <v>902.40100000000007</v>
      </c>
      <c r="X82" s="47"/>
      <c r="Y82" s="868">
        <v>16109.655000000001</v>
      </c>
      <c r="Z82" s="851">
        <f t="shared" si="20"/>
        <v>1449.3837341486421</v>
      </c>
      <c r="AA82" s="852">
        <f t="shared" si="21"/>
        <v>1518.6322062691725</v>
      </c>
      <c r="AB82" s="866">
        <v>1455.115</v>
      </c>
      <c r="AC82" s="2112">
        <f t="shared" si="19"/>
        <v>4.3650987220372583E-2</v>
      </c>
      <c r="AD82" s="1989"/>
      <c r="AE82" s="2139"/>
      <c r="AF82" s="2162">
        <v>15375.066999999999</v>
      </c>
      <c r="AG82" s="2151">
        <v>4759.1760000000004</v>
      </c>
      <c r="AH82" s="1621">
        <f>W82-V82-IFO!G30</f>
        <v>734.5870000000001</v>
      </c>
    </row>
    <row r="83" spans="1:34">
      <c r="A83" s="467" t="s">
        <v>342</v>
      </c>
      <c r="B83" s="743" t="s">
        <v>105</v>
      </c>
      <c r="C83" s="292">
        <f>SUM(C79:C82)</f>
        <v>19937.689999999999</v>
      </c>
      <c r="D83" s="22">
        <f t="shared" ref="D83:J83" si="22">SUM(D79:D82)</f>
        <v>7712.0569999999998</v>
      </c>
      <c r="E83" s="299">
        <f t="shared" si="22"/>
        <v>419.33799999999997</v>
      </c>
      <c r="F83" s="292">
        <f t="shared" si="22"/>
        <v>15368.197</v>
      </c>
      <c r="G83" s="292">
        <f t="shared" si="22"/>
        <v>3874.6</v>
      </c>
      <c r="H83" s="22">
        <f t="shared" si="22"/>
        <v>11953.597</v>
      </c>
      <c r="I83" s="445">
        <f t="shared" si="22"/>
        <v>1229.701</v>
      </c>
      <c r="J83" s="93">
        <f t="shared" si="22"/>
        <v>170.24199999999999</v>
      </c>
      <c r="K83" s="131"/>
      <c r="L83" s="298">
        <f>SUM(L79:L82)</f>
        <v>1520.1369999999999</v>
      </c>
      <c r="M83" s="292">
        <f>SUM(M79:M82)</f>
        <v>1914.8330000000001</v>
      </c>
      <c r="N83" s="22">
        <f>SUM(N79:N82)</f>
        <v>108.748</v>
      </c>
      <c r="O83" s="307">
        <f t="shared" ref="O83" si="23">IF(I$120=0,0,(SUM(C83:E83,G83,I83:M83)-V83)/(SUM(C$110:E$110,G$110,I$110:M$110)-V$110)*I$120)</f>
        <v>1447.4593172904199</v>
      </c>
      <c r="P83" s="296">
        <f>SUM(P79:P82)</f>
        <v>65627.377000000008</v>
      </c>
      <c r="Q83" s="40"/>
      <c r="R83" s="298">
        <f>SUM(R79:R82)</f>
        <v>151.12900000000002</v>
      </c>
      <c r="S83" s="292">
        <f>SUM(S79:S82)</f>
        <v>589.16999999999996</v>
      </c>
      <c r="T83" s="93">
        <f>SUM(T79:T82)</f>
        <v>4442.84</v>
      </c>
      <c r="U83" s="40"/>
      <c r="V83" s="105">
        <f>SUM(V79:V82)</f>
        <v>1144.7459999999999</v>
      </c>
      <c r="W83" s="330">
        <f>SUM(W79:W82)</f>
        <v>6327.8850000000002</v>
      </c>
      <c r="X83" s="47"/>
      <c r="Y83" s="870">
        <v>64140.794999999998</v>
      </c>
      <c r="Z83" s="851">
        <f>(P83+P84-W83-W84)*1000/invanare</f>
        <v>5708.6225371542605</v>
      </c>
      <c r="AA83" s="852">
        <f>SUM(Y83:Y84)*1000/invanare</f>
        <v>6173.0738575394444</v>
      </c>
      <c r="AB83" s="852">
        <v>5950.96</v>
      </c>
      <c r="AC83" s="2112">
        <f t="shared" si="19"/>
        <v>3.7324038060992569E-2</v>
      </c>
      <c r="AD83" s="1989"/>
      <c r="AE83" s="2143">
        <f>IF(ISERROR((F83+F84)/((F83+F84)/1000*invanare)),"",((F83+F84)/(AA83/100000*invanare)))</f>
        <v>23.805867590283828</v>
      </c>
      <c r="AF83" s="2162">
        <v>59299.49</v>
      </c>
      <c r="AG83" s="2151">
        <v>37160.837</v>
      </c>
      <c r="AH83" s="1621">
        <f>W83-V83-IFO!G31</f>
        <v>4841.3040000000001</v>
      </c>
    </row>
    <row r="84" spans="1:34">
      <c r="A84" s="467" t="s">
        <v>437</v>
      </c>
      <c r="B84" s="743" t="s">
        <v>106</v>
      </c>
      <c r="C84" s="19">
        <v>699.851</v>
      </c>
      <c r="D84" s="17">
        <v>278.76299999999998</v>
      </c>
      <c r="E84" s="19">
        <v>9.4420000000000002</v>
      </c>
      <c r="F84" s="19">
        <v>220.834</v>
      </c>
      <c r="G84" s="19">
        <v>110.09099999999999</v>
      </c>
      <c r="H84" s="20">
        <v>4.7140000000000004</v>
      </c>
      <c r="I84" s="19">
        <v>18.289000000000001</v>
      </c>
      <c r="J84" s="89">
        <v>4.3239999999999998</v>
      </c>
      <c r="K84" s="26"/>
      <c r="L84" s="92">
        <v>39.569000000000003</v>
      </c>
      <c r="M84" s="19">
        <v>66.747</v>
      </c>
      <c r="N84" s="20">
        <v>3.27</v>
      </c>
      <c r="O84" s="297">
        <v>48.36</v>
      </c>
      <c r="P84" s="296">
        <f>SUM(C84:O84)</f>
        <v>1504.2539999999999</v>
      </c>
      <c r="Q84" s="40"/>
      <c r="R84" s="92">
        <v>14.375</v>
      </c>
      <c r="S84" s="19">
        <v>0.246</v>
      </c>
      <c r="T84" s="89">
        <v>195.71100000000001</v>
      </c>
      <c r="U84" s="175"/>
      <c r="V84" s="102">
        <v>36.329000000000001</v>
      </c>
      <c r="W84" s="330">
        <f>SUM(R84:V84)</f>
        <v>246.66100000000003</v>
      </c>
      <c r="X84" s="47"/>
      <c r="Y84" s="868">
        <v>1343.191</v>
      </c>
      <c r="Z84" s="851">
        <f t="shared" si="20"/>
        <v>118.55134279279518</v>
      </c>
      <c r="AA84" s="852">
        <f t="shared" si="21"/>
        <v>126.62053357262435</v>
      </c>
      <c r="AB84" s="866">
        <v>120.235</v>
      </c>
      <c r="AC84" s="2112">
        <f t="shared" si="19"/>
        <v>5.3108775087323604E-2</v>
      </c>
      <c r="AD84" s="1989"/>
      <c r="AE84" s="2139">
        <f>IF(ISERROR(F83+F84/(F83+F84/1000*invanare)),"",(SUM(Motpart!D33,Motpart!D35,Motpart!D37,Motpart!F33,Motpart!F35,Motpart!F37)/(AA83/100000*invanare)))</f>
        <v>19.475037759613471</v>
      </c>
      <c r="AF84" s="2162">
        <v>1257.5930000000001</v>
      </c>
      <c r="AG84" s="2151">
        <v>1242.377</v>
      </c>
      <c r="AH84" s="1621">
        <f>W84-V84-SUM(IFO!G33:G34)</f>
        <v>85.599000000000018</v>
      </c>
    </row>
    <row r="85" spans="1:34" ht="13.5" thickBot="1">
      <c r="A85" s="476" t="s">
        <v>343</v>
      </c>
      <c r="B85" s="747" t="s">
        <v>107</v>
      </c>
      <c r="C85" s="303">
        <f t="shared" ref="C85:J85" si="24">SUM(C70:C71,C77,C83,C84)</f>
        <v>135314.905</v>
      </c>
      <c r="D85" s="304">
        <f t="shared" si="24"/>
        <v>54233.542999999998</v>
      </c>
      <c r="E85" s="300">
        <f t="shared" si="24"/>
        <v>8368.6790000000001</v>
      </c>
      <c r="F85" s="303">
        <f t="shared" si="24"/>
        <v>66039.659</v>
      </c>
      <c r="G85" s="303">
        <f t="shared" si="24"/>
        <v>15557.186000000002</v>
      </c>
      <c r="H85" s="304">
        <f t="shared" si="24"/>
        <v>19182.225999999999</v>
      </c>
      <c r="I85" s="303">
        <f t="shared" si="24"/>
        <v>7918.7740000000003</v>
      </c>
      <c r="J85" s="305">
        <f t="shared" si="24"/>
        <v>2575.0880000000002</v>
      </c>
      <c r="K85" s="131"/>
      <c r="L85" s="306">
        <f>SUM(L70:L71,L77,L83,L84)</f>
        <v>13675.665999999999</v>
      </c>
      <c r="M85" s="303">
        <f>SUM(M70:M71,M77,M83,M84)</f>
        <v>28122.781999999999</v>
      </c>
      <c r="N85" s="304">
        <f>SUM(N70:N71,N77,N83,N84)</f>
        <v>711.75800000000004</v>
      </c>
      <c r="O85" s="304">
        <f>SUM(O70:O71,O77,O83,O84)</f>
        <v>9885.1353172904219</v>
      </c>
      <c r="P85" s="305">
        <f>SUM(P70:P71,P77,P83,P84)</f>
        <v>361556.17899999995</v>
      </c>
      <c r="Q85" s="40"/>
      <c r="R85" s="306">
        <f>SUM(R70:R71,R77,R83,R84)</f>
        <v>8520.3450000000012</v>
      </c>
      <c r="S85" s="303">
        <f>SUM(S70:S71,S77,S83,S84)</f>
        <v>8002.7249999999995</v>
      </c>
      <c r="T85" s="305">
        <f>SUM(T70:T71,T77,T83,T84)</f>
        <v>27606.319</v>
      </c>
      <c r="U85" s="40"/>
      <c r="V85" s="332">
        <f>SUM(V70:V71,V77,V83,V84)</f>
        <v>19635.492000000002</v>
      </c>
      <c r="W85" s="331">
        <f>SUM(W70:W71,W77,W83,W84)</f>
        <v>63764.881000000001</v>
      </c>
      <c r="X85" s="47"/>
      <c r="Y85" s="1335">
        <v>340388.26699999999</v>
      </c>
      <c r="Z85" s="853"/>
      <c r="AA85" s="854"/>
      <c r="AB85" s="855"/>
      <c r="AC85" s="2115"/>
      <c r="AD85" s="1989"/>
      <c r="AE85" s="2145">
        <f>IF(ISERROR((F83)/((F83)/1000*invanare)),"",SUM(AA77,AA83)*100/AA90)</f>
        <v>39.789168678828084</v>
      </c>
      <c r="AF85" s="2163">
        <v>297791.315</v>
      </c>
      <c r="AG85" s="2152">
        <v>256698.82399999999</v>
      </c>
      <c r="AH85" s="1623">
        <f>SUM(AH70,AH71,AH77,AH83,AH84)</f>
        <v>42596.95</v>
      </c>
    </row>
    <row r="86" spans="1:34" ht="40.5" customHeight="1" thickBot="1">
      <c r="A86" s="1084"/>
      <c r="B86" s="751" t="s">
        <v>108</v>
      </c>
      <c r="C86" s="370"/>
      <c r="D86" s="369"/>
      <c r="E86" s="367"/>
      <c r="F86" s="367"/>
      <c r="G86" s="367"/>
      <c r="H86" s="369"/>
      <c r="I86" s="367"/>
      <c r="J86" s="368"/>
      <c r="K86" s="27"/>
      <c r="L86" s="366"/>
      <c r="M86" s="367"/>
      <c r="N86" s="369"/>
      <c r="O86" s="369"/>
      <c r="P86" s="368"/>
      <c r="Q86" s="41"/>
      <c r="R86" s="366"/>
      <c r="S86" s="367"/>
      <c r="T86" s="368"/>
      <c r="U86" s="41"/>
      <c r="V86" s="364"/>
      <c r="W86" s="365"/>
      <c r="X86" s="27"/>
      <c r="Y86" s="1460" t="s">
        <v>911</v>
      </c>
      <c r="Z86" s="2457"/>
      <c r="AA86" s="2455"/>
      <c r="AB86" s="2455"/>
      <c r="AC86" s="2456"/>
      <c r="AD86" s="1989"/>
      <c r="AE86" s="2146">
        <f>IF(ISERROR((F83)/((F83)/1000*invanare)),"",(F83/((AA83-AA84)/100000*invanare)))</f>
        <v>23.960097469948728</v>
      </c>
      <c r="AF86" s="2164"/>
      <c r="AG86" s="2153"/>
      <c r="AH86" s="1622"/>
    </row>
    <row r="87" spans="1:34">
      <c r="A87" s="467" t="s">
        <v>251</v>
      </c>
      <c r="B87" s="742" t="s">
        <v>110</v>
      </c>
      <c r="C87" s="16">
        <v>831.54899999999998</v>
      </c>
      <c r="D87" s="17">
        <v>321.08499999999998</v>
      </c>
      <c r="E87" s="16">
        <v>48.658999999999999</v>
      </c>
      <c r="F87" s="16">
        <v>191.47300000000001</v>
      </c>
      <c r="G87" s="16">
        <v>214.298</v>
      </c>
      <c r="H87" s="17">
        <v>464.43099999999998</v>
      </c>
      <c r="I87" s="16">
        <v>501.00099999999998</v>
      </c>
      <c r="J87" s="88">
        <v>14.701000000000001</v>
      </c>
      <c r="K87" s="27"/>
      <c r="L87" s="91">
        <v>358.72699999999998</v>
      </c>
      <c r="M87" s="16">
        <v>179.11600000000001</v>
      </c>
      <c r="N87" s="17">
        <v>11.414</v>
      </c>
      <c r="O87" s="297">
        <v>95.070999999999998</v>
      </c>
      <c r="P87" s="296">
        <f>SUM(C87:O87)</f>
        <v>3231.5250000000001</v>
      </c>
      <c r="Q87" s="40"/>
      <c r="R87" s="91">
        <v>4.5789999999999997</v>
      </c>
      <c r="S87" s="16">
        <v>305.27999999999997</v>
      </c>
      <c r="T87" s="88">
        <v>3305.739</v>
      </c>
      <c r="U87" s="41"/>
      <c r="V87" s="101">
        <v>102.324</v>
      </c>
      <c r="W87" s="330">
        <f>SUM(R87:V87)</f>
        <v>3717.922</v>
      </c>
      <c r="X87" s="47"/>
      <c r="Y87" s="848">
        <v>3084.7620000000002</v>
      </c>
      <c r="Z87" s="851">
        <f>(P87-W87)*1000/invanare</f>
        <v>-45.851891256063929</v>
      </c>
      <c r="AA87" s="852">
        <f>Y87*1000/invanare</f>
        <v>290.79573224102592</v>
      </c>
      <c r="AB87" s="874">
        <v>337.18099999999998</v>
      </c>
      <c r="AC87" s="2113">
        <f>IF(ISERROR((AA87-AB87)/AB87)," ",((AA87-AB87)/AB87))</f>
        <v>-0.13756785749782482</v>
      </c>
      <c r="AD87" s="1989"/>
      <c r="AE87" s="2139"/>
      <c r="AF87" s="2162">
        <v>-486.39400000000001</v>
      </c>
      <c r="AG87" s="2151">
        <v>2473.2979999999998</v>
      </c>
      <c r="AH87" s="1621">
        <f>W87-V87-SUM(Motpart!Y38:Z38)</f>
        <v>3571.1579999999999</v>
      </c>
    </row>
    <row r="88" spans="1:34">
      <c r="A88" s="467" t="s">
        <v>252</v>
      </c>
      <c r="B88" s="743" t="s">
        <v>111</v>
      </c>
      <c r="C88" s="19">
        <v>5408.3869999999997</v>
      </c>
      <c r="D88" s="17">
        <v>2191.0650000000001</v>
      </c>
      <c r="E88" s="19">
        <v>273.65600000000001</v>
      </c>
      <c r="F88" s="19">
        <v>182.828</v>
      </c>
      <c r="G88" s="19">
        <v>472.56099999999998</v>
      </c>
      <c r="H88" s="20">
        <v>168.95500000000001</v>
      </c>
      <c r="I88" s="19">
        <v>210.113</v>
      </c>
      <c r="J88" s="89">
        <v>54.067</v>
      </c>
      <c r="K88" s="27"/>
      <c r="L88" s="92">
        <v>320.47399999999999</v>
      </c>
      <c r="M88" s="19">
        <v>580.35199999999998</v>
      </c>
      <c r="N88" s="20">
        <v>25.388999999999999</v>
      </c>
      <c r="O88" s="297">
        <v>357.12</v>
      </c>
      <c r="P88" s="296">
        <f>SUM(C88:O88)</f>
        <v>10244.966999999999</v>
      </c>
      <c r="Q88" s="40"/>
      <c r="R88" s="92">
        <v>13.708</v>
      </c>
      <c r="S88" s="19">
        <v>5.9450000000000003</v>
      </c>
      <c r="T88" s="89">
        <v>3071.4810000000002</v>
      </c>
      <c r="U88" s="41"/>
      <c r="V88" s="102">
        <v>670.11599999999999</v>
      </c>
      <c r="W88" s="330">
        <f>SUM(R88:V88)</f>
        <v>3761.25</v>
      </c>
      <c r="X88" s="47"/>
      <c r="Y88" s="1459">
        <v>9525.9599999999991</v>
      </c>
      <c r="Z88" s="851">
        <f>(P88-W88)*1000/invanare</f>
        <v>611.2099515808959</v>
      </c>
      <c r="AA88" s="852">
        <f>Y88*1000/invanare</f>
        <v>897.99748359799662</v>
      </c>
      <c r="AB88" s="874">
        <v>942.84799999999996</v>
      </c>
      <c r="AC88" s="2113">
        <f>IF(ISERROR((AA88-AB88)/AB88)," ",((AA88-AB88)/AB88))</f>
        <v>-4.7569190794277912E-2</v>
      </c>
      <c r="AD88" s="1989"/>
      <c r="AE88" s="2139"/>
      <c r="AF88" s="2162">
        <v>6483.7169999999996</v>
      </c>
      <c r="AG88" s="2151">
        <v>9223.0669999999991</v>
      </c>
      <c r="AH88" s="1621">
        <f>W88-V88-SUM(Motpart!Y39:Z39)</f>
        <v>3042.2440000000001</v>
      </c>
    </row>
    <row r="89" spans="1:34" ht="12.75" customHeight="1" thickBot="1">
      <c r="A89" s="476" t="s">
        <v>253</v>
      </c>
      <c r="B89" s="747" t="s">
        <v>112</v>
      </c>
      <c r="C89" s="309">
        <f>SUM(C87:C88)</f>
        <v>6239.9359999999997</v>
      </c>
      <c r="D89" s="310">
        <f t="shared" ref="D89:P89" si="25">SUM(D87:D88)</f>
        <v>2512.15</v>
      </c>
      <c r="E89" s="309">
        <f t="shared" si="25"/>
        <v>322.315</v>
      </c>
      <c r="F89" s="309">
        <f t="shared" si="25"/>
        <v>374.30100000000004</v>
      </c>
      <c r="G89" s="309">
        <f t="shared" si="25"/>
        <v>686.85899999999992</v>
      </c>
      <c r="H89" s="310">
        <f t="shared" si="25"/>
        <v>633.38599999999997</v>
      </c>
      <c r="I89" s="309">
        <f t="shared" si="25"/>
        <v>711.11400000000003</v>
      </c>
      <c r="J89" s="288">
        <f t="shared" si="25"/>
        <v>68.768000000000001</v>
      </c>
      <c r="K89" s="15"/>
      <c r="L89" s="308">
        <f>SUM(L87:L88)</f>
        <v>679.20100000000002</v>
      </c>
      <c r="M89" s="309">
        <f t="shared" si="25"/>
        <v>759.46799999999996</v>
      </c>
      <c r="N89" s="310">
        <f t="shared" si="25"/>
        <v>36.802999999999997</v>
      </c>
      <c r="O89" s="310">
        <f t="shared" si="25"/>
        <v>452.19100000000003</v>
      </c>
      <c r="P89" s="288">
        <f t="shared" si="25"/>
        <v>13476.491999999998</v>
      </c>
      <c r="Q89" s="43"/>
      <c r="R89" s="308">
        <f>SUM(R87:R88)</f>
        <v>18.286999999999999</v>
      </c>
      <c r="S89" s="309">
        <f>SUM(S87:S88)</f>
        <v>311.22499999999997</v>
      </c>
      <c r="T89" s="288">
        <f>SUM(T87:T88)</f>
        <v>6377.22</v>
      </c>
      <c r="U89" s="43"/>
      <c r="V89" s="334">
        <f>SUM(V87:V88)</f>
        <v>772.43999999999994</v>
      </c>
      <c r="W89" s="333">
        <f>SUM(W87:W88)</f>
        <v>7479.1720000000005</v>
      </c>
      <c r="X89" s="48"/>
      <c r="Y89" s="1459">
        <v>12610.724</v>
      </c>
      <c r="Z89" s="876">
        <f>(P89-W89)*1000/invanare</f>
        <v>565.35806032483185</v>
      </c>
      <c r="AA89" s="877">
        <f>Y89*1000/invanare</f>
        <v>1188.7934043759226</v>
      </c>
      <c r="AB89" s="849">
        <v>1280.029</v>
      </c>
      <c r="AC89" s="2125">
        <f>IF(ISERROR((AA89-AB89)/AB89)," ",((AA89-AB89)/AB89))</f>
        <v>-7.127619423003495E-2</v>
      </c>
      <c r="AD89" s="1989"/>
      <c r="AE89" s="2139"/>
      <c r="AF89" s="2169">
        <v>5997.3230000000003</v>
      </c>
      <c r="AG89" s="2156">
        <v>11696.369000000001</v>
      </c>
      <c r="AH89" s="1626">
        <f>W89-V89-SUM(Motpart!Y38:Z39)</f>
        <v>6613.402000000001</v>
      </c>
    </row>
    <row r="90" spans="1:34" ht="12.75" customHeight="1" thickBot="1">
      <c r="A90" s="476" t="s">
        <v>254</v>
      </c>
      <c r="B90" s="747" t="s">
        <v>20</v>
      </c>
      <c r="C90" s="303">
        <f t="shared" ref="C90:J90" si="26">SUM(C17,C30,C43,C68,C85,C89)</f>
        <v>312900.48800000001</v>
      </c>
      <c r="D90" s="304">
        <f t="shared" si="26"/>
        <v>125959.83499999999</v>
      </c>
      <c r="E90" s="303">
        <f t="shared" si="26"/>
        <v>30201.008999999998</v>
      </c>
      <c r="F90" s="303">
        <f t="shared" si="26"/>
        <v>164436.07600000003</v>
      </c>
      <c r="G90" s="303">
        <f t="shared" si="26"/>
        <v>48402.964</v>
      </c>
      <c r="H90" s="304">
        <f t="shared" si="26"/>
        <v>28887.505999999998</v>
      </c>
      <c r="I90" s="303">
        <f t="shared" si="26"/>
        <v>22102.955000000002</v>
      </c>
      <c r="J90" s="305">
        <f t="shared" si="26"/>
        <v>24561.471999999998</v>
      </c>
      <c r="K90" s="131"/>
      <c r="L90" s="306">
        <f>SUM(L17,L30,L43,L68,L85,L89)</f>
        <v>55336.092000000004</v>
      </c>
      <c r="M90" s="303">
        <f>SUM(M17,M30,M43,M68,M85,M89)</f>
        <v>87508.601999999999</v>
      </c>
      <c r="N90" s="304">
        <f>SUM(N17,N30,N43,N68,N85,N89)</f>
        <v>1931.3009999999999</v>
      </c>
      <c r="O90" s="304">
        <f>SUM(O17,O30,O43,O68,O85,O89)</f>
        <v>26215.981317290418</v>
      </c>
      <c r="P90" s="305">
        <f>SUM(P17,P30,P43,P68,P85,P89)</f>
        <v>928415.05900000001</v>
      </c>
      <c r="Q90" s="40"/>
      <c r="R90" s="306">
        <f>SUM(R17,R30,R43,R68,R85,R89)</f>
        <v>29761.322000000004</v>
      </c>
      <c r="S90" s="303">
        <f>SUM(S17,S30,S43,S68,S85,S89)</f>
        <v>9335.875</v>
      </c>
      <c r="T90" s="305">
        <f>SUM(T17,T30,T43,T68,T85,T89)</f>
        <v>90721.603999999992</v>
      </c>
      <c r="U90" s="40"/>
      <c r="V90" s="332">
        <f>SUM(V17,V30,V43,V68,V85,V89)</f>
        <v>62150.607000000004</v>
      </c>
      <c r="W90" s="331">
        <f>SUM(W17,W30,W43,W68,W85,W89)</f>
        <v>191969.408</v>
      </c>
      <c r="X90" s="47"/>
      <c r="Y90" s="875">
        <v>850760.54700000002</v>
      </c>
      <c r="Z90" s="876">
        <f>(P90-W90)*1000/invanare</f>
        <v>69423.590000870099</v>
      </c>
      <c r="AA90" s="877">
        <f>SUM(AA17,AA30,AA37,AA42,AA51,AA67,AA77,AA83,AA89)</f>
        <v>79905.896237020293</v>
      </c>
      <c r="AB90" s="849">
        <v>78685.438999999998</v>
      </c>
      <c r="AC90" s="2125">
        <f>IF(ISERROR((AA90-AB90)/AB90)," ",((AA90-AB90)/AB90))</f>
        <v>1.5510585599202096E-2</v>
      </c>
      <c r="AD90" s="1989"/>
      <c r="AE90" s="2147">
        <f>IF(ISERROR(F90/(AA90/1000*invanare)),"",(F90/(AA90/100000*invanare)))</f>
        <v>19.399236767633131</v>
      </c>
      <c r="AF90" s="2170">
        <v>736445.74300000002</v>
      </c>
      <c r="AG90" s="2157">
        <v>672940.96499999997</v>
      </c>
      <c r="AH90" s="1627">
        <f>SUM(AH17,AH30,AH43,AH51,AH67,AH85,AH89)</f>
        <v>114314.802</v>
      </c>
    </row>
    <row r="91" spans="1:34" ht="38.25" customHeight="1" thickBot="1">
      <c r="A91" s="1083"/>
      <c r="B91" s="748" t="s">
        <v>113</v>
      </c>
      <c r="C91" s="374"/>
      <c r="D91" s="375"/>
      <c r="E91" s="376"/>
      <c r="F91" s="376"/>
      <c r="G91" s="376"/>
      <c r="H91" s="375"/>
      <c r="I91" s="376"/>
      <c r="J91" s="377"/>
      <c r="K91" s="27"/>
      <c r="L91" s="382"/>
      <c r="M91" s="376"/>
      <c r="N91" s="375"/>
      <c r="O91" s="375"/>
      <c r="P91" s="377"/>
      <c r="Q91" s="41"/>
      <c r="R91" s="382"/>
      <c r="S91" s="376"/>
      <c r="T91" s="377"/>
      <c r="U91" s="41"/>
      <c r="V91" s="384"/>
      <c r="W91" s="385"/>
      <c r="X91" s="27"/>
      <c r="Y91" s="1460" t="s">
        <v>914</v>
      </c>
      <c r="Z91" s="2457"/>
      <c r="AA91" s="2455"/>
      <c r="AB91" s="2455"/>
      <c r="AC91" s="2456"/>
      <c r="AD91" s="1989"/>
      <c r="AE91" s="2139">
        <f>IF(ISERROR(F90/(AA90/1000*invanare)),"",((SUM(Motpart!D42,Motpart!F42)-SUM(Motpart!D40,Motpart!D41,Motpart!F40,Motpart!F41))/(AA90/100000*invanare)))</f>
        <v>15.245761180067641</v>
      </c>
      <c r="AF91" s="2165"/>
      <c r="AG91" s="2154"/>
      <c r="AH91" s="1624"/>
    </row>
    <row r="92" spans="1:34">
      <c r="A92" s="1083"/>
      <c r="B92" s="748" t="s">
        <v>114</v>
      </c>
      <c r="C92" s="378"/>
      <c r="D92" s="379"/>
      <c r="E92" s="380"/>
      <c r="F92" s="380"/>
      <c r="G92" s="380"/>
      <c r="H92" s="379"/>
      <c r="I92" s="380"/>
      <c r="J92" s="381"/>
      <c r="K92" s="27"/>
      <c r="L92" s="383"/>
      <c r="M92" s="380"/>
      <c r="N92" s="379"/>
      <c r="O92" s="379"/>
      <c r="P92" s="381"/>
      <c r="Q92" s="41"/>
      <c r="R92" s="383"/>
      <c r="S92" s="380"/>
      <c r="T92" s="381"/>
      <c r="U92" s="41"/>
      <c r="V92" s="386"/>
      <c r="W92" s="387"/>
      <c r="X92" s="27"/>
      <c r="Y92" s="1331"/>
      <c r="Z92" s="843"/>
      <c r="AA92" s="843"/>
      <c r="AB92" s="844"/>
      <c r="AC92" s="2110"/>
      <c r="AD92" s="1989"/>
      <c r="AE92" s="2142">
        <f>(C113-C109+D113-D109)*1000/invanare</f>
        <v>45085.688701256971</v>
      </c>
      <c r="AF92" s="2168"/>
      <c r="AG92" s="2155"/>
      <c r="AH92" s="1625"/>
    </row>
    <row r="93" spans="1:34" s="452" customFormat="1">
      <c r="A93" s="1823" t="s">
        <v>255</v>
      </c>
      <c r="B93" s="756" t="s">
        <v>115</v>
      </c>
      <c r="C93" s="55">
        <v>178.62100000000001</v>
      </c>
      <c r="D93" s="1224">
        <v>97.738</v>
      </c>
      <c r="E93" s="55">
        <v>436.726</v>
      </c>
      <c r="F93" s="55">
        <v>22.396999999999998</v>
      </c>
      <c r="G93" s="55">
        <v>342.88400000000001</v>
      </c>
      <c r="H93" s="1224">
        <v>6.0019999999999998</v>
      </c>
      <c r="I93" s="55">
        <v>198.70099999999999</v>
      </c>
      <c r="J93" s="87">
        <v>463.46800000000002</v>
      </c>
      <c r="K93" s="448"/>
      <c r="L93" s="360">
        <v>122.36499999999999</v>
      </c>
      <c r="M93" s="55">
        <v>167.50200000000001</v>
      </c>
      <c r="N93" s="1224">
        <v>1.202</v>
      </c>
      <c r="O93" s="1225">
        <v>56.991</v>
      </c>
      <c r="P93" s="358">
        <f>SUM(C93:O93)</f>
        <v>2094.5970000000002</v>
      </c>
      <c r="Q93" s="449"/>
      <c r="R93" s="360">
        <v>16.757000000000001</v>
      </c>
      <c r="S93" s="55">
        <v>871.15300000000002</v>
      </c>
      <c r="T93" s="87">
        <v>2220.0949999999998</v>
      </c>
      <c r="U93" s="450"/>
      <c r="V93" s="1226">
        <v>385.63</v>
      </c>
      <c r="W93" s="1227">
        <f>SUM(R93:V93)</f>
        <v>3493.6349999999998</v>
      </c>
      <c r="X93" s="451"/>
      <c r="Y93" s="848">
        <v>1704.0640000000001</v>
      </c>
      <c r="Z93" s="878"/>
      <c r="AA93" s="879"/>
      <c r="AB93" s="879"/>
      <c r="AC93" s="2126"/>
      <c r="AD93" s="1989"/>
      <c r="AE93" s="2148">
        <f>IF(ISERROR(F90/(AA90/1000*invanare)),"",AE92*invanare/10/(P125-P109+J109))</f>
        <v>56.816532236384234</v>
      </c>
      <c r="AF93" s="2162">
        <v>-1399.038</v>
      </c>
      <c r="AG93" s="2151">
        <v>1680.568</v>
      </c>
      <c r="AH93" s="1621">
        <f>W93-V93-(IF(AND(Motpart!$Y$40="",Motpart!$Z$40=""),0,IF(AND(Motpart!$Y$40=0,Motpart!$Z$40=0),0,((T93/$T$109)*(Motpart!$Y$40+Motpart!$Z$40)))))</f>
        <v>3076.0501239542955</v>
      </c>
    </row>
    <row r="94" spans="1:34">
      <c r="A94" s="467" t="s">
        <v>256</v>
      </c>
      <c r="B94" s="743" t="s">
        <v>21</v>
      </c>
      <c r="C94" s="19">
        <v>42.03</v>
      </c>
      <c r="D94" s="17">
        <v>16.850999999999999</v>
      </c>
      <c r="E94" s="19">
        <v>100.871</v>
      </c>
      <c r="F94" s="19">
        <v>14.502000000000001</v>
      </c>
      <c r="G94" s="19">
        <v>48.936</v>
      </c>
      <c r="H94" s="20">
        <v>1.8089999999999999</v>
      </c>
      <c r="I94" s="19">
        <v>1.9790000000000001</v>
      </c>
      <c r="J94" s="89">
        <v>503.41</v>
      </c>
      <c r="K94" s="27"/>
      <c r="L94" s="92">
        <v>5.0620000000000003</v>
      </c>
      <c r="M94" s="19">
        <v>29.526</v>
      </c>
      <c r="N94" s="20">
        <v>0.19800000000000001</v>
      </c>
      <c r="O94" s="297">
        <v>22.872</v>
      </c>
      <c r="P94" s="296">
        <f>SUM(C94:O94)</f>
        <v>788.04599999999994</v>
      </c>
      <c r="Q94" s="40"/>
      <c r="R94" s="92">
        <v>149.47900000000001</v>
      </c>
      <c r="S94" s="19">
        <v>28.041</v>
      </c>
      <c r="T94" s="89">
        <v>494.29700000000003</v>
      </c>
      <c r="U94" s="41"/>
      <c r="V94" s="102">
        <v>9.8279999999999994</v>
      </c>
      <c r="W94" s="330">
        <f>SUM(R94:V94)</f>
        <v>681.64499999999998</v>
      </c>
      <c r="X94" s="47"/>
      <c r="Y94" s="848">
        <v>762.12900000000002</v>
      </c>
      <c r="Z94" s="871"/>
      <c r="AA94" s="872"/>
      <c r="AB94" s="873"/>
      <c r="AC94" s="2127"/>
      <c r="AD94" s="1989"/>
      <c r="AE94" s="2139"/>
      <c r="AF94" s="2162">
        <v>106.401</v>
      </c>
      <c r="AG94" s="2151">
        <v>761.90700000000004</v>
      </c>
      <c r="AH94" s="1621">
        <f>W94-V94-(IF(AND(Motpart!$Y$40="",Motpart!$Z$40=""),0,IF(AND(Motpart!$Y$40=0,Motpart!$Z$40=0),0,((T94/$T$109)*(Motpart!$Y$40+Motpart!$Z$40)))))</f>
        <v>664.70234978693998</v>
      </c>
    </row>
    <row r="95" spans="1:34">
      <c r="A95" s="467" t="s">
        <v>257</v>
      </c>
      <c r="B95" s="743" t="s">
        <v>22</v>
      </c>
      <c r="C95" s="19">
        <v>237.5</v>
      </c>
      <c r="D95" s="17">
        <v>93.557000000000002</v>
      </c>
      <c r="E95" s="19">
        <v>390.73200000000003</v>
      </c>
      <c r="F95" s="19">
        <v>67.793000000000006</v>
      </c>
      <c r="G95" s="19">
        <v>414.20100000000002</v>
      </c>
      <c r="H95" s="20">
        <v>22.885999999999999</v>
      </c>
      <c r="I95" s="19">
        <v>64.427000000000007</v>
      </c>
      <c r="J95" s="89">
        <v>459.37099999999998</v>
      </c>
      <c r="K95" s="27"/>
      <c r="L95" s="92">
        <v>40.003999999999998</v>
      </c>
      <c r="M95" s="19">
        <v>167.63499999999999</v>
      </c>
      <c r="N95" s="20">
        <v>3.48</v>
      </c>
      <c r="O95" s="297">
        <v>59.695</v>
      </c>
      <c r="P95" s="296">
        <f>SUM(C95:O95)</f>
        <v>2021.2809999999995</v>
      </c>
      <c r="Q95" s="40"/>
      <c r="R95" s="92">
        <v>241.48400000000001</v>
      </c>
      <c r="S95" s="19">
        <v>310.06200000000001</v>
      </c>
      <c r="T95" s="89">
        <v>1911.3</v>
      </c>
      <c r="U95" s="41"/>
      <c r="V95" s="102">
        <v>361.64699999999999</v>
      </c>
      <c r="W95" s="330">
        <f>SUM(R95:V95)</f>
        <v>2824.4929999999999</v>
      </c>
      <c r="X95" s="47"/>
      <c r="Y95" s="848">
        <v>1628.0329999999999</v>
      </c>
      <c r="Z95" s="871"/>
      <c r="AA95" s="872"/>
      <c r="AB95" s="873"/>
      <c r="AC95" s="2127"/>
      <c r="AD95" s="1989"/>
      <c r="AE95" s="2139"/>
      <c r="AF95" s="2162">
        <v>-803.21199999999999</v>
      </c>
      <c r="AG95" s="2151">
        <v>1568.9549999999999</v>
      </c>
      <c r="AH95" s="1621">
        <f>W95-V95-(IF(AND(Motpart!$Y$40="",Motpart!$Z$40=""),0,IF(AND(Motpart!$Y$40=0,Motpart!$Z$40=0),0,((T95/$T$109)*(Motpart!$Y$40+Motpart!$Z$40)))))</f>
        <v>2435.3357562554061</v>
      </c>
    </row>
    <row r="96" spans="1:34">
      <c r="A96" s="467" t="s">
        <v>258</v>
      </c>
      <c r="B96" s="743" t="s">
        <v>23</v>
      </c>
      <c r="C96" s="19">
        <v>263.43200000000002</v>
      </c>
      <c r="D96" s="17">
        <v>120.092</v>
      </c>
      <c r="E96" s="19">
        <v>525.00900000000001</v>
      </c>
      <c r="F96" s="19">
        <v>7.0819999999999999</v>
      </c>
      <c r="G96" s="19">
        <v>326.577</v>
      </c>
      <c r="H96" s="20">
        <v>21.957999999999998</v>
      </c>
      <c r="I96" s="19">
        <v>488.18400000000003</v>
      </c>
      <c r="J96" s="89">
        <v>1441.521</v>
      </c>
      <c r="K96" s="27"/>
      <c r="L96" s="92">
        <v>81.807000000000002</v>
      </c>
      <c r="M96" s="19">
        <v>214.102</v>
      </c>
      <c r="N96" s="20">
        <v>1.0069999999999999</v>
      </c>
      <c r="O96" s="297">
        <v>160.66800000000001</v>
      </c>
      <c r="P96" s="296">
        <f>SUM(C96:O96)</f>
        <v>3651.4389999999999</v>
      </c>
      <c r="Q96" s="40"/>
      <c r="R96" s="92">
        <v>19.048999999999999</v>
      </c>
      <c r="S96" s="19">
        <v>693.91099999999994</v>
      </c>
      <c r="T96" s="89">
        <v>2735.68</v>
      </c>
      <c r="U96" s="41"/>
      <c r="V96" s="102">
        <v>284.89100000000002</v>
      </c>
      <c r="W96" s="330">
        <f>SUM(R96:V96)</f>
        <v>3733.5309999999999</v>
      </c>
      <c r="X96" s="47"/>
      <c r="Y96" s="848">
        <v>3356.1680000000001</v>
      </c>
      <c r="Z96" s="871"/>
      <c r="AA96" s="872"/>
      <c r="AB96" s="873"/>
      <c r="AC96" s="2127"/>
      <c r="AD96" s="1989"/>
      <c r="AE96" s="2139"/>
      <c r="AF96" s="2162">
        <v>-82.093000000000004</v>
      </c>
      <c r="AG96" s="2151">
        <v>3337.5079999999998</v>
      </c>
      <c r="AH96" s="1621">
        <f>W96-V96-(IF(AND(Motpart!$Y$40="",Motpart!$Z$40=""),0,IF(AND(Motpart!$Y$40=0,Motpart!$Z$40=0),0,((T96/$T$109)*(Motpart!$Y$40+Motpart!$Z$40)))))</f>
        <v>3409.2640655013806</v>
      </c>
    </row>
    <row r="97" spans="1:34">
      <c r="A97" s="467" t="s">
        <v>259</v>
      </c>
      <c r="B97" s="743" t="s">
        <v>24</v>
      </c>
      <c r="C97" s="292">
        <f>SUM(C93:C96)</f>
        <v>721.58300000000008</v>
      </c>
      <c r="D97" s="22">
        <f t="shared" ref="D97:P97" si="27">SUM(D93:D96)</f>
        <v>328.238</v>
      </c>
      <c r="E97" s="292">
        <f t="shared" si="27"/>
        <v>1453.338</v>
      </c>
      <c r="F97" s="292">
        <f t="shared" si="27"/>
        <v>111.774</v>
      </c>
      <c r="G97" s="292">
        <f t="shared" si="27"/>
        <v>1132.598</v>
      </c>
      <c r="H97" s="22">
        <f t="shared" si="27"/>
        <v>52.655000000000001</v>
      </c>
      <c r="I97" s="292">
        <f t="shared" si="27"/>
        <v>753.29100000000005</v>
      </c>
      <c r="J97" s="93">
        <f t="shared" si="27"/>
        <v>2867.77</v>
      </c>
      <c r="K97" s="131"/>
      <c r="L97" s="298">
        <f>SUM(L93:L96)</f>
        <v>249.238</v>
      </c>
      <c r="M97" s="292">
        <f t="shared" si="27"/>
        <v>578.76499999999999</v>
      </c>
      <c r="N97" s="22">
        <f t="shared" si="27"/>
        <v>5.8869999999999996</v>
      </c>
      <c r="O97" s="22">
        <f t="shared" si="27"/>
        <v>300.226</v>
      </c>
      <c r="P97" s="93">
        <f t="shared" si="27"/>
        <v>8555.3629999999994</v>
      </c>
      <c r="Q97" s="40"/>
      <c r="R97" s="298">
        <f>SUM(R93:R96)</f>
        <v>426.76900000000001</v>
      </c>
      <c r="S97" s="292">
        <f>SUM(S93:S96)</f>
        <v>1903.1669999999999</v>
      </c>
      <c r="T97" s="93">
        <f>SUM(T93:T96)</f>
        <v>7361.3719999999994</v>
      </c>
      <c r="U97" s="41"/>
      <c r="V97" s="105">
        <f>SUM(V93:V96)</f>
        <v>1041.9960000000001</v>
      </c>
      <c r="W97" s="106">
        <f>SUM(W93:W96)</f>
        <v>10733.304</v>
      </c>
      <c r="X97" s="47"/>
      <c r="Y97" s="848">
        <v>7450.402</v>
      </c>
      <c r="Z97" s="871"/>
      <c r="AA97" s="872"/>
      <c r="AB97" s="873"/>
      <c r="AC97" s="2127"/>
      <c r="AD97" s="1989"/>
      <c r="AE97" s="2139"/>
      <c r="AF97" s="2162">
        <v>-2177.9360000000001</v>
      </c>
      <c r="AG97" s="2151">
        <v>7348.9430000000002</v>
      </c>
      <c r="AH97" s="1621">
        <f>SUM(AH93:AH96)</f>
        <v>9585.3522954980217</v>
      </c>
    </row>
    <row r="98" spans="1:34">
      <c r="A98" s="1084"/>
      <c r="B98" s="751" t="s">
        <v>116</v>
      </c>
      <c r="C98" s="394"/>
      <c r="D98" s="393"/>
      <c r="E98" s="391"/>
      <c r="F98" s="391"/>
      <c r="G98" s="391"/>
      <c r="H98" s="393"/>
      <c r="I98" s="391"/>
      <c r="J98" s="392"/>
      <c r="K98" s="27"/>
      <c r="L98" s="390"/>
      <c r="M98" s="391"/>
      <c r="N98" s="393"/>
      <c r="O98" s="393"/>
      <c r="P98" s="392"/>
      <c r="Q98" s="41"/>
      <c r="R98" s="390"/>
      <c r="S98" s="391"/>
      <c r="T98" s="392"/>
      <c r="U98" s="41"/>
      <c r="V98" s="388"/>
      <c r="W98" s="389"/>
      <c r="X98" s="27"/>
      <c r="Y98" s="848"/>
      <c r="Z98" s="871"/>
      <c r="AA98" s="872"/>
      <c r="AB98" s="873"/>
      <c r="AC98" s="2127"/>
      <c r="AD98" s="1989"/>
      <c r="AE98" s="2139"/>
      <c r="AF98" s="2162"/>
      <c r="AG98" s="2151"/>
      <c r="AH98" s="1621"/>
    </row>
    <row r="99" spans="1:34">
      <c r="A99" s="467" t="s">
        <v>260</v>
      </c>
      <c r="B99" s="742" t="s">
        <v>117</v>
      </c>
      <c r="C99" s="16">
        <v>13.834</v>
      </c>
      <c r="D99" s="17">
        <v>5.8940000000000001</v>
      </c>
      <c r="E99" s="16">
        <v>10.445</v>
      </c>
      <c r="F99" s="16">
        <v>2.7949999999999999</v>
      </c>
      <c r="G99" s="16">
        <v>74.507000000000005</v>
      </c>
      <c r="H99" s="17">
        <v>210.51</v>
      </c>
      <c r="I99" s="16">
        <v>8.7999999999999995E-2</v>
      </c>
      <c r="J99" s="88">
        <v>40.209000000000003</v>
      </c>
      <c r="K99" s="27"/>
      <c r="L99" s="91">
        <v>3.371</v>
      </c>
      <c r="M99" s="16">
        <v>1.129</v>
      </c>
      <c r="N99" s="17">
        <v>0.121</v>
      </c>
      <c r="O99" s="297">
        <v>5.6369999999999996</v>
      </c>
      <c r="P99" s="296">
        <f>SUM(C99:O99)</f>
        <v>368.54</v>
      </c>
      <c r="Q99" s="40"/>
      <c r="R99" s="91">
        <v>8.2880000000000003</v>
      </c>
      <c r="S99" s="16">
        <v>15.653</v>
      </c>
      <c r="T99" s="88">
        <v>91.334999999999994</v>
      </c>
      <c r="U99" s="41"/>
      <c r="V99" s="101">
        <v>0.63</v>
      </c>
      <c r="W99" s="330">
        <f>SUM(R99:V99)</f>
        <v>115.90599999999999</v>
      </c>
      <c r="X99" s="47"/>
      <c r="Y99" s="848">
        <v>366.46600000000001</v>
      </c>
      <c r="Z99" s="871"/>
      <c r="AA99" s="872"/>
      <c r="AB99" s="873"/>
      <c r="AC99" s="2127"/>
      <c r="AD99" s="1989"/>
      <c r="AE99" s="2139"/>
      <c r="AF99" s="2162">
        <v>252.63399999999999</v>
      </c>
      <c r="AG99" s="2151">
        <v>154.60499999999999</v>
      </c>
      <c r="AH99" s="1621">
        <f>W99-V99-(IF(AND(Motpart!$Y$40="",Motpart!$Z$40=""),0,IF(AND(Motpart!$Y$40=0,Motpart!$Z$40=0),0,((T99/$T$109)*(Motpart!$Y$40+Motpart!$Z$40)))))</f>
        <v>113.96137220090384</v>
      </c>
    </row>
    <row r="100" spans="1:34">
      <c r="A100" s="467" t="s">
        <v>261</v>
      </c>
      <c r="B100" s="750" t="s">
        <v>798</v>
      </c>
      <c r="C100" s="19">
        <v>161.898</v>
      </c>
      <c r="D100" s="17">
        <v>69.799000000000007</v>
      </c>
      <c r="E100" s="19">
        <v>71.516000000000005</v>
      </c>
      <c r="F100" s="19">
        <v>1121.8610000000001</v>
      </c>
      <c r="G100" s="19">
        <v>300.25900000000001</v>
      </c>
      <c r="H100" s="20">
        <v>1175.287</v>
      </c>
      <c r="I100" s="19">
        <v>35.732999999999997</v>
      </c>
      <c r="J100" s="89">
        <v>154.697</v>
      </c>
      <c r="K100" s="27"/>
      <c r="L100" s="92">
        <v>36.607999999999997</v>
      </c>
      <c r="M100" s="19">
        <v>62.639000000000003</v>
      </c>
      <c r="N100" s="20">
        <v>0.58399999999999996</v>
      </c>
      <c r="O100" s="297">
        <v>23.861999999999998</v>
      </c>
      <c r="P100" s="296">
        <f>SUM(C100:O100)</f>
        <v>3214.7430000000004</v>
      </c>
      <c r="Q100" s="40"/>
      <c r="R100" s="1671">
        <v>82.757000000000005</v>
      </c>
      <c r="S100" s="19">
        <v>3.9590000000000001</v>
      </c>
      <c r="T100" s="89">
        <v>152.34800000000001</v>
      </c>
      <c r="U100" s="41"/>
      <c r="V100" s="102">
        <v>56.563000000000002</v>
      </c>
      <c r="W100" s="330">
        <f>SUM(R100:V100)</f>
        <v>295.62700000000001</v>
      </c>
      <c r="X100" s="47"/>
      <c r="Y100" s="848">
        <v>3157.598</v>
      </c>
      <c r="Z100" s="880"/>
      <c r="AA100" s="872"/>
      <c r="AB100" s="873"/>
      <c r="AC100" s="2127"/>
      <c r="AD100" s="1989"/>
      <c r="AE100" s="2142"/>
      <c r="AF100" s="2162">
        <v>2919.1149999999998</v>
      </c>
      <c r="AG100" s="2151">
        <v>861.03200000000004</v>
      </c>
      <c r="AH100" s="1621">
        <f>W100-V100-(IF(AND(Motpart!$Y$40="",Motpart!$Z$40=""),0,IF(AND(Motpart!$Y$40=0,Motpart!$Z$40=0),0,((T100/$T$109)*(Motpart!$Y$40+Motpart!$Z$40)))))</f>
        <v>236.87118327107132</v>
      </c>
    </row>
    <row r="101" spans="1:34">
      <c r="A101" s="467" t="s">
        <v>262</v>
      </c>
      <c r="B101" s="743" t="s">
        <v>25</v>
      </c>
      <c r="C101" s="19">
        <v>13.683</v>
      </c>
      <c r="D101" s="17">
        <v>5.9050000000000002</v>
      </c>
      <c r="E101" s="19">
        <v>2.58</v>
      </c>
      <c r="F101" s="19">
        <v>117.05200000000001</v>
      </c>
      <c r="G101" s="19">
        <v>17.356999999999999</v>
      </c>
      <c r="H101" s="20">
        <v>19.425000000000001</v>
      </c>
      <c r="I101" s="19">
        <v>0.44400000000000001</v>
      </c>
      <c r="J101" s="89">
        <v>4.5339999999999998</v>
      </c>
      <c r="K101" s="27"/>
      <c r="L101" s="92">
        <v>6.444</v>
      </c>
      <c r="M101" s="19">
        <v>1.8460000000000001</v>
      </c>
      <c r="N101" s="20">
        <v>0</v>
      </c>
      <c r="O101" s="297">
        <v>2.0950000000000002</v>
      </c>
      <c r="P101" s="296">
        <f>SUM(C101:O101)</f>
        <v>191.36499999999998</v>
      </c>
      <c r="Q101" s="40"/>
      <c r="R101" s="92">
        <v>43.808</v>
      </c>
      <c r="S101" s="19">
        <v>0.11</v>
      </c>
      <c r="T101" s="89">
        <v>77.843000000000004</v>
      </c>
      <c r="U101" s="41"/>
      <c r="V101" s="102">
        <v>5.9820000000000002</v>
      </c>
      <c r="W101" s="330">
        <f>SUM(R101:V101)</f>
        <v>127.74299999999999</v>
      </c>
      <c r="X101" s="47"/>
      <c r="Y101" s="848">
        <v>185.38300000000001</v>
      </c>
      <c r="Z101" s="871"/>
      <c r="AA101" s="872"/>
      <c r="AB101" s="873"/>
      <c r="AC101" s="2127"/>
      <c r="AD101" s="1989"/>
      <c r="AE101" s="2139"/>
      <c r="AF101" s="2162">
        <v>63.622</v>
      </c>
      <c r="AG101" s="2151">
        <v>48.905999999999999</v>
      </c>
      <c r="AH101" s="1621">
        <f>W101-V101-(IF(AND(Motpart!$Y$40="",Motpart!$Z$40=""),0,IF(AND(Motpart!$Y$40=0,Motpart!$Z$40=0),0,((T101/$T$109)*(Motpart!$Y$40+Motpart!$Z$40)))))</f>
        <v>120.64056893014678</v>
      </c>
    </row>
    <row r="102" spans="1:34">
      <c r="A102" s="467" t="s">
        <v>263</v>
      </c>
      <c r="B102" s="743" t="s">
        <v>26</v>
      </c>
      <c r="C102" s="292">
        <f>SUM(C99:C101)</f>
        <v>189.41499999999999</v>
      </c>
      <c r="D102" s="22">
        <f t="shared" ref="D102:P102" si="28">SUM(D99:D101)</f>
        <v>81.598000000000013</v>
      </c>
      <c r="E102" s="292">
        <f t="shared" si="28"/>
        <v>84.541000000000011</v>
      </c>
      <c r="F102" s="292">
        <f t="shared" si="28"/>
        <v>1241.7080000000001</v>
      </c>
      <c r="G102" s="292">
        <f t="shared" si="28"/>
        <v>392.12300000000005</v>
      </c>
      <c r="H102" s="22">
        <f t="shared" si="28"/>
        <v>1405.222</v>
      </c>
      <c r="I102" s="292">
        <f t="shared" si="28"/>
        <v>36.265000000000001</v>
      </c>
      <c r="J102" s="93">
        <f t="shared" si="28"/>
        <v>199.44</v>
      </c>
      <c r="K102" s="131"/>
      <c r="L102" s="298">
        <f>SUM(L99:L101)</f>
        <v>46.423000000000002</v>
      </c>
      <c r="M102" s="292">
        <f t="shared" si="28"/>
        <v>65.614000000000004</v>
      </c>
      <c r="N102" s="22">
        <f t="shared" si="28"/>
        <v>0.70499999999999996</v>
      </c>
      <c r="O102" s="22">
        <f t="shared" si="28"/>
        <v>31.593999999999998</v>
      </c>
      <c r="P102" s="93">
        <f t="shared" si="28"/>
        <v>3774.6480000000001</v>
      </c>
      <c r="Q102" s="40"/>
      <c r="R102" s="298">
        <f>SUM(R99:R101)</f>
        <v>134.85300000000001</v>
      </c>
      <c r="S102" s="292">
        <f>SUM(S99:S101)</f>
        <v>19.722000000000001</v>
      </c>
      <c r="T102" s="93">
        <f>SUM(T99:T101)</f>
        <v>321.52600000000001</v>
      </c>
      <c r="U102" s="40"/>
      <c r="V102" s="105">
        <f>SUM(V99:V101)</f>
        <v>63.175000000000004</v>
      </c>
      <c r="W102" s="106">
        <f>SUM(W99:W101)</f>
        <v>539.27600000000007</v>
      </c>
      <c r="X102" s="47"/>
      <c r="Y102" s="848">
        <v>3709.45</v>
      </c>
      <c r="Z102" s="871"/>
      <c r="AA102" s="872"/>
      <c r="AB102" s="873"/>
      <c r="AC102" s="2127"/>
      <c r="AD102" s="1989"/>
      <c r="AE102" s="2139"/>
      <c r="AF102" s="2162">
        <v>3235.3739999999998</v>
      </c>
      <c r="AG102" s="2151">
        <v>1064.546</v>
      </c>
      <c r="AH102" s="1621">
        <f>SUM(AH99:AH101)</f>
        <v>471.47312440212198</v>
      </c>
    </row>
    <row r="103" spans="1:34">
      <c r="A103" s="1084"/>
      <c r="B103" s="751" t="s">
        <v>118</v>
      </c>
      <c r="C103" s="394"/>
      <c r="D103" s="393"/>
      <c r="E103" s="391"/>
      <c r="F103" s="391"/>
      <c r="G103" s="391"/>
      <c r="H103" s="393"/>
      <c r="I103" s="391"/>
      <c r="J103" s="392"/>
      <c r="K103" s="27"/>
      <c r="L103" s="390"/>
      <c r="M103" s="391"/>
      <c r="N103" s="393"/>
      <c r="O103" s="393"/>
      <c r="P103" s="392"/>
      <c r="Q103" s="41"/>
      <c r="R103" s="390"/>
      <c r="S103" s="391"/>
      <c r="T103" s="392"/>
      <c r="U103" s="41"/>
      <c r="V103" s="388"/>
      <c r="W103" s="389"/>
      <c r="X103" s="27"/>
      <c r="Y103" s="848"/>
      <c r="Z103" s="842"/>
      <c r="AA103" s="1491"/>
      <c r="AB103" s="1492"/>
      <c r="AC103" s="2128"/>
      <c r="AD103" s="1989"/>
      <c r="AE103" s="2139"/>
      <c r="AF103" s="2162"/>
      <c r="AG103" s="2151"/>
      <c r="AH103" s="1621"/>
    </row>
    <row r="104" spans="1:34">
      <c r="A104" s="467" t="s">
        <v>264</v>
      </c>
      <c r="B104" s="742" t="s">
        <v>119</v>
      </c>
      <c r="C104" s="16">
        <v>4.992</v>
      </c>
      <c r="D104" s="17">
        <v>1.6539999999999999</v>
      </c>
      <c r="E104" s="16">
        <v>136.208</v>
      </c>
      <c r="F104" s="16">
        <v>28.19</v>
      </c>
      <c r="G104" s="16">
        <v>75.188000000000002</v>
      </c>
      <c r="H104" s="17">
        <v>0.28599999999999998</v>
      </c>
      <c r="I104" s="16">
        <v>1.6E-2</v>
      </c>
      <c r="J104" s="88">
        <v>77.126000000000005</v>
      </c>
      <c r="K104" s="27"/>
      <c r="L104" s="91">
        <v>4.5999999999999999E-2</v>
      </c>
      <c r="M104" s="16">
        <v>13.098000000000001</v>
      </c>
      <c r="N104" s="17">
        <v>0.112</v>
      </c>
      <c r="O104" s="297">
        <v>8.6649999999999991</v>
      </c>
      <c r="P104" s="296">
        <f>SUM(C104:O104)</f>
        <v>345.58100000000002</v>
      </c>
      <c r="Q104" s="40"/>
      <c r="R104" s="1673">
        <v>14.406000000000001</v>
      </c>
      <c r="S104" s="16">
        <v>0</v>
      </c>
      <c r="T104" s="88">
        <v>591.27599999999995</v>
      </c>
      <c r="U104" s="41"/>
      <c r="V104" s="101">
        <v>16.827999999999999</v>
      </c>
      <c r="W104" s="330">
        <f>SUM(R104:V104)</f>
        <v>622.50999999999988</v>
      </c>
      <c r="X104" s="47"/>
      <c r="Y104" s="848">
        <v>326.33699999999999</v>
      </c>
      <c r="Z104" s="1458"/>
      <c r="AA104" s="1445"/>
      <c r="AB104" s="1445"/>
      <c r="AC104" s="2106"/>
      <c r="AD104" s="1989"/>
      <c r="AE104" s="2139"/>
      <c r="AF104" s="2162">
        <v>-276.92899999999997</v>
      </c>
      <c r="AG104" s="2151">
        <v>300.27699999999999</v>
      </c>
      <c r="AH104" s="1621">
        <f>W104-V104-(IF(AND(Motpart!$Y$40="",Motpart!$Z$40=""),0,IF(AND(Motpart!$Y$40=0,Motpart!$Z$40=0),0,((T104/$T$109)*(Motpart!$Y$40+Motpart!$Z$40)))))</f>
        <v>597.17148522977618</v>
      </c>
    </row>
    <row r="105" spans="1:34">
      <c r="A105" s="467" t="s">
        <v>265</v>
      </c>
      <c r="B105" s="743" t="s">
        <v>27</v>
      </c>
      <c r="C105" s="19">
        <v>12.116</v>
      </c>
      <c r="D105" s="17">
        <v>4.8730000000000002</v>
      </c>
      <c r="E105" s="19">
        <v>99.805999999999997</v>
      </c>
      <c r="F105" s="19">
        <v>3.5670000000000002</v>
      </c>
      <c r="G105" s="19">
        <v>15.195</v>
      </c>
      <c r="H105" s="20">
        <v>1.8460000000000001</v>
      </c>
      <c r="I105" s="19">
        <v>0</v>
      </c>
      <c r="J105" s="89">
        <v>20.288</v>
      </c>
      <c r="K105" s="27"/>
      <c r="L105" s="92">
        <v>20.175999999999998</v>
      </c>
      <c r="M105" s="19">
        <v>25.908999999999999</v>
      </c>
      <c r="N105" s="20">
        <v>8.0000000000000002E-3</v>
      </c>
      <c r="O105" s="297">
        <v>6.5979999999999999</v>
      </c>
      <c r="P105" s="296">
        <f>SUM(C105:O105)</f>
        <v>210.38200000000001</v>
      </c>
      <c r="Q105" s="40"/>
      <c r="R105" s="1671">
        <v>104.194</v>
      </c>
      <c r="S105" s="19">
        <v>0</v>
      </c>
      <c r="T105" s="89">
        <v>11.792</v>
      </c>
      <c r="U105" s="41"/>
      <c r="V105" s="102">
        <v>52.915999999999997</v>
      </c>
      <c r="W105" s="330">
        <f>SUM(R105:V105)</f>
        <v>168.90199999999999</v>
      </c>
      <c r="X105" s="47"/>
      <c r="Y105" s="848">
        <v>157.44999999999999</v>
      </c>
      <c r="Z105" s="1444"/>
      <c r="AA105" s="1445"/>
      <c r="AB105" s="1445"/>
      <c r="AC105" s="2106"/>
      <c r="AD105" s="1989"/>
      <c r="AE105" s="2139"/>
      <c r="AF105" s="2162">
        <v>41.48</v>
      </c>
      <c r="AG105" s="2151">
        <v>152.053</v>
      </c>
      <c r="AH105" s="1621">
        <f>W105-V105-(IF(AND(Motpart!$Y$40="",Motpart!$Z$40=""),0,IF(AND(Motpart!$Y$40=0,Motpart!$Z$40=0),0,((T105/$T$109)*(Motpart!$Y$40+Motpart!$Z$40)))))</f>
        <v>115.81627217378943</v>
      </c>
    </row>
    <row r="106" spans="1:34">
      <c r="A106" s="467" t="s">
        <v>266</v>
      </c>
      <c r="B106" s="743" t="s">
        <v>28</v>
      </c>
      <c r="C106" s="19">
        <v>1869.7639999999999</v>
      </c>
      <c r="D106" s="17">
        <v>776.20500000000004</v>
      </c>
      <c r="E106" s="19">
        <v>2974.261</v>
      </c>
      <c r="F106" s="19">
        <v>2313.9189999999999</v>
      </c>
      <c r="G106" s="19">
        <v>1976.357</v>
      </c>
      <c r="H106" s="20">
        <v>43.164000000000001</v>
      </c>
      <c r="I106" s="19">
        <v>46.777000000000001</v>
      </c>
      <c r="J106" s="89">
        <v>4707.9709999999995</v>
      </c>
      <c r="K106" s="27"/>
      <c r="L106" s="92">
        <v>130.143</v>
      </c>
      <c r="M106" s="19">
        <v>1127.992</v>
      </c>
      <c r="N106" s="20">
        <v>-1.361</v>
      </c>
      <c r="O106" s="297">
        <v>507.33199999999999</v>
      </c>
      <c r="P106" s="296">
        <f>SUM(C106:O106)</f>
        <v>16472.523999999998</v>
      </c>
      <c r="Q106" s="40"/>
      <c r="R106" s="1671">
        <v>14445.405000000001</v>
      </c>
      <c r="S106" s="19">
        <v>26.010999999999999</v>
      </c>
      <c r="T106" s="89">
        <v>666.64300000000003</v>
      </c>
      <c r="U106" s="41"/>
      <c r="V106" s="102">
        <v>1142.8019999999999</v>
      </c>
      <c r="W106" s="330">
        <f>SUM(R106:V106)</f>
        <v>16280.861000000001</v>
      </c>
      <c r="X106" s="47"/>
      <c r="Y106" s="848">
        <v>15269.875</v>
      </c>
      <c r="Z106" s="1444"/>
      <c r="AA106" s="1445"/>
      <c r="AB106" s="1445"/>
      <c r="AC106" s="2106"/>
      <c r="AD106" s="1989"/>
      <c r="AE106" s="2139"/>
      <c r="AF106" s="2162">
        <v>191.66300000000001</v>
      </c>
      <c r="AG106" s="2151">
        <v>12972.638999999999</v>
      </c>
      <c r="AH106" s="1621">
        <f>W106-V106-(IF(AND(Motpart!$Y$40="",Motpart!$Z$40=""),0,IF(AND(Motpart!$Y$40=0,Motpart!$Z$40=0),0,((T106/$T$109)*(Motpart!$Y$40+Motpart!$Z$40)))))</f>
        <v>15128.463692397518</v>
      </c>
    </row>
    <row r="107" spans="1:34">
      <c r="A107" s="467" t="s">
        <v>267</v>
      </c>
      <c r="B107" s="743" t="s">
        <v>29</v>
      </c>
      <c r="C107" s="19">
        <v>699.29200000000003</v>
      </c>
      <c r="D107" s="17">
        <v>278.71600000000001</v>
      </c>
      <c r="E107" s="19">
        <v>527.55499999999995</v>
      </c>
      <c r="F107" s="19">
        <v>3789.9180000000001</v>
      </c>
      <c r="G107" s="19">
        <v>904.625</v>
      </c>
      <c r="H107" s="20">
        <v>45.09</v>
      </c>
      <c r="I107" s="19">
        <v>35.712000000000003</v>
      </c>
      <c r="J107" s="89">
        <v>390.017</v>
      </c>
      <c r="K107" s="27"/>
      <c r="L107" s="92">
        <v>45.451999999999998</v>
      </c>
      <c r="M107" s="19">
        <v>508.06700000000001</v>
      </c>
      <c r="N107" s="20">
        <v>2.1070000000000002</v>
      </c>
      <c r="O107" s="297">
        <v>126.661</v>
      </c>
      <c r="P107" s="296">
        <f>SUM(C107:O107)</f>
        <v>7353.2120000000004</v>
      </c>
      <c r="Q107" s="40"/>
      <c r="R107" s="1671">
        <v>4771.5360000000001</v>
      </c>
      <c r="S107" s="19">
        <v>6.6349999999999998</v>
      </c>
      <c r="T107" s="89">
        <v>1993.6030000000001</v>
      </c>
      <c r="U107" s="41"/>
      <c r="V107" s="102">
        <v>365.10300000000001</v>
      </c>
      <c r="W107" s="330">
        <f>SUM(R107:V107)</f>
        <v>7136.8770000000004</v>
      </c>
      <c r="X107" s="47"/>
      <c r="Y107" s="848">
        <v>6957.8289999999997</v>
      </c>
      <c r="Z107" s="1444"/>
      <c r="AA107" s="1445"/>
      <c r="AB107" s="1445"/>
      <c r="AC107" s="2106"/>
      <c r="AD107" s="1989"/>
      <c r="AE107" s="2139"/>
      <c r="AF107" s="2162">
        <v>216.33500000000001</v>
      </c>
      <c r="AG107" s="2151">
        <v>3153.1010000000001</v>
      </c>
      <c r="AH107" s="1621">
        <f>W107-V107-(IF(AND(Motpart!$Y$40="",Motpart!$Z$40=""),0,IF(AND(Motpart!$Y$40=0,Motpart!$Z$40=0),0,((T107/$T$109)*(Motpart!$Y$40+Motpart!$Z$40)))))</f>
        <v>6743.0791302987736</v>
      </c>
    </row>
    <row r="108" spans="1:34" ht="12.75" customHeight="1">
      <c r="A108" s="467" t="s">
        <v>268</v>
      </c>
      <c r="B108" s="743" t="s">
        <v>120</v>
      </c>
      <c r="C108" s="292">
        <f>SUM(C104:C107)</f>
        <v>2586.1639999999998</v>
      </c>
      <c r="D108" s="22">
        <f t="shared" ref="D108:P108" si="29">SUM(D104:D107)</f>
        <v>1061.4480000000001</v>
      </c>
      <c r="E108" s="292">
        <f t="shared" si="29"/>
        <v>3737.83</v>
      </c>
      <c r="F108" s="292">
        <f t="shared" si="29"/>
        <v>6135.5940000000001</v>
      </c>
      <c r="G108" s="292">
        <f t="shared" si="29"/>
        <v>2971.3649999999998</v>
      </c>
      <c r="H108" s="22">
        <f t="shared" si="29"/>
        <v>90.385999999999996</v>
      </c>
      <c r="I108" s="292">
        <f t="shared" si="29"/>
        <v>82.504999999999995</v>
      </c>
      <c r="J108" s="93">
        <f t="shared" si="29"/>
        <v>5195.4019999999991</v>
      </c>
      <c r="K108" s="131"/>
      <c r="L108" s="298">
        <f>SUM(L104:L107)</f>
        <v>195.81700000000001</v>
      </c>
      <c r="M108" s="292">
        <f t="shared" si="29"/>
        <v>1675.066</v>
      </c>
      <c r="N108" s="22">
        <f t="shared" si="29"/>
        <v>0.8660000000000001</v>
      </c>
      <c r="O108" s="22">
        <f t="shared" si="29"/>
        <v>649.25600000000009</v>
      </c>
      <c r="P108" s="93">
        <f t="shared" si="29"/>
        <v>24381.698999999997</v>
      </c>
      <c r="Q108" s="40"/>
      <c r="R108" s="298">
        <f>SUM(R104:R107)</f>
        <v>19335.541000000001</v>
      </c>
      <c r="S108" s="292">
        <f>SUM(S104:S107)</f>
        <v>32.646000000000001</v>
      </c>
      <c r="T108" s="93">
        <f>SUM(T104:T107)</f>
        <v>3263.3140000000003</v>
      </c>
      <c r="U108" s="40"/>
      <c r="V108" s="105">
        <f>SUM(V104:V107)</f>
        <v>1577.6489999999999</v>
      </c>
      <c r="W108" s="106">
        <f>SUM(W104:W107)</f>
        <v>24209.15</v>
      </c>
      <c r="X108" s="47"/>
      <c r="Y108" s="848">
        <v>22711.496999999999</v>
      </c>
      <c r="Z108" s="1444"/>
      <c r="AA108" s="1445"/>
      <c r="AB108" s="1445"/>
      <c r="AC108" s="2106"/>
      <c r="AD108" s="1989"/>
      <c r="AE108" s="2139"/>
      <c r="AF108" s="2162">
        <v>172.55600000000001</v>
      </c>
      <c r="AG108" s="2151">
        <v>16578.077000000001</v>
      </c>
      <c r="AH108" s="1621">
        <f>SUM(AH104:AH107)</f>
        <v>22584.530580099858</v>
      </c>
    </row>
    <row r="109" spans="1:34" ht="12.75" customHeight="1">
      <c r="A109" s="467" t="s">
        <v>269</v>
      </c>
      <c r="B109" s="743" t="s">
        <v>30</v>
      </c>
      <c r="C109" s="292">
        <f>SUM(C97,C102,C108)</f>
        <v>3497.1619999999998</v>
      </c>
      <c r="D109" s="22">
        <f t="shared" ref="D109:P109" si="30">SUM(D97,D102,D108)</f>
        <v>1471.2840000000001</v>
      </c>
      <c r="E109" s="292">
        <f t="shared" si="30"/>
        <v>5275.7089999999998</v>
      </c>
      <c r="F109" s="292">
        <f t="shared" si="30"/>
        <v>7489.076</v>
      </c>
      <c r="G109" s="292">
        <f t="shared" si="30"/>
        <v>4496.0859999999993</v>
      </c>
      <c r="H109" s="22">
        <f t="shared" si="30"/>
        <v>1548.2629999999999</v>
      </c>
      <c r="I109" s="292">
        <f t="shared" si="30"/>
        <v>872.06100000000004</v>
      </c>
      <c r="J109" s="93">
        <f t="shared" si="30"/>
        <v>8262.6119999999992</v>
      </c>
      <c r="K109" s="131"/>
      <c r="L109" s="298">
        <f>SUM(L97,L102,L108)</f>
        <v>491.47800000000001</v>
      </c>
      <c r="M109" s="292">
        <f t="shared" si="30"/>
        <v>2319.4450000000002</v>
      </c>
      <c r="N109" s="22">
        <f t="shared" si="30"/>
        <v>7.4580000000000002</v>
      </c>
      <c r="O109" s="22">
        <f t="shared" si="30"/>
        <v>981.07600000000002</v>
      </c>
      <c r="P109" s="93">
        <f t="shared" si="30"/>
        <v>36711.709999999992</v>
      </c>
      <c r="Q109" s="40"/>
      <c r="R109" s="298">
        <f>SUM(R97,R102,R108)</f>
        <v>19897.163</v>
      </c>
      <c r="S109" s="292">
        <f>SUM(S97,S102,S108)</f>
        <v>1955.5349999999999</v>
      </c>
      <c r="T109" s="93">
        <f>SUM(T97,T102,T108)</f>
        <v>10946.212</v>
      </c>
      <c r="U109" s="40"/>
      <c r="V109" s="105">
        <f>SUM(V97,V102,V108)</f>
        <v>2682.8199999999997</v>
      </c>
      <c r="W109" s="106">
        <f>SUM(W97,W102,W108)</f>
        <v>35481.730000000003</v>
      </c>
      <c r="X109" s="47"/>
      <c r="Y109" s="848">
        <v>33871.351000000002</v>
      </c>
      <c r="Z109" s="851">
        <f>(P109-W109)*1000/invanare</f>
        <v>115.94830808399927</v>
      </c>
      <c r="AA109" s="852">
        <f>Y109*1000/invanare</f>
        <v>3192.9997568816675</v>
      </c>
      <c r="AB109" s="866">
        <v>3141.7910000000002</v>
      </c>
      <c r="AC109" s="2113">
        <f>IF(ISERROR((AA109-AB109)/AB109)," ",((AA109-AB109)/AB109))</f>
        <v>1.6299224512918695E-2</v>
      </c>
      <c r="AD109" s="1989"/>
      <c r="AE109" s="2143">
        <f>IF(ISERROR(F109/(AA109/1000*invanare)),"",(F109/(AA109/100000*invanare)))</f>
        <v>22.110355149400444</v>
      </c>
      <c r="AF109" s="2162">
        <v>1229.9949999999999</v>
      </c>
      <c r="AG109" s="2151">
        <v>24991.566999999999</v>
      </c>
      <c r="AH109" s="1621">
        <f>W109-V109-SUM(Motpart!Y40:Z40)</f>
        <v>32641.356000000003</v>
      </c>
    </row>
    <row r="110" spans="1:34" ht="12.75" customHeight="1" thickBot="1">
      <c r="A110" s="476" t="s">
        <v>270</v>
      </c>
      <c r="B110" s="743" t="s">
        <v>121</v>
      </c>
      <c r="C110" s="292">
        <f>SUM(C90,C109)</f>
        <v>316397.65000000002</v>
      </c>
      <c r="D110" s="311">
        <f t="shared" ref="D110:P110" si="31">SUM(D90,D109)</f>
        <v>127431.11899999999</v>
      </c>
      <c r="E110" s="292">
        <f t="shared" si="31"/>
        <v>35476.718000000001</v>
      </c>
      <c r="F110" s="292">
        <f t="shared" si="31"/>
        <v>171925.15200000003</v>
      </c>
      <c r="G110" s="292">
        <f t="shared" si="31"/>
        <v>52899.05</v>
      </c>
      <c r="H110" s="22">
        <f t="shared" si="31"/>
        <v>30435.768999999997</v>
      </c>
      <c r="I110" s="292">
        <f t="shared" si="31"/>
        <v>22975.016000000003</v>
      </c>
      <c r="J110" s="93">
        <f t="shared" si="31"/>
        <v>32824.083999999995</v>
      </c>
      <c r="K110" s="131"/>
      <c r="L110" s="298">
        <f>SUM(L90,L109)</f>
        <v>55827.570000000007</v>
      </c>
      <c r="M110" s="292">
        <f t="shared" si="31"/>
        <v>89828.047000000006</v>
      </c>
      <c r="N110" s="304">
        <f t="shared" si="31"/>
        <v>1938.759</v>
      </c>
      <c r="O110" s="304">
        <f t="shared" si="31"/>
        <v>27197.057317290419</v>
      </c>
      <c r="P110" s="93">
        <f t="shared" si="31"/>
        <v>965126.76899999997</v>
      </c>
      <c r="Q110" s="40"/>
      <c r="R110" s="298">
        <f>SUM(R90,R109)</f>
        <v>49658.485000000001</v>
      </c>
      <c r="S110" s="292">
        <f>SUM(S90,S109)</f>
        <v>11291.41</v>
      </c>
      <c r="T110" s="93">
        <f>SUM(T90,T109)</f>
        <v>101667.81599999999</v>
      </c>
      <c r="U110" s="40"/>
      <c r="V110" s="105">
        <f>SUM(V90,V109)</f>
        <v>64833.427000000003</v>
      </c>
      <c r="W110" s="106">
        <f>SUM(W90,W109)</f>
        <v>227451.13800000001</v>
      </c>
      <c r="X110" s="47"/>
      <c r="Y110" s="870">
        <v>884631.89800000004</v>
      </c>
      <c r="Z110" s="876">
        <f>Z90+Z109</f>
        <v>69539.538308954099</v>
      </c>
      <c r="AA110" s="877">
        <f>AA90+AA109</f>
        <v>83098.895993901955</v>
      </c>
      <c r="AB110" s="877">
        <f>AB90+AB109</f>
        <v>81827.23</v>
      </c>
      <c r="AC110" s="2129"/>
      <c r="AD110" s="1989"/>
      <c r="AE110" s="2141">
        <f>IF(ISERROR(F109/(AA109/1000*invanare)),"",SUM(Motpart!D40,Motpart!F40)/(AA109/100000*invanare))</f>
        <v>12.038276831650439</v>
      </c>
      <c r="AF110" s="2171">
        <v>737675.73800000001</v>
      </c>
      <c r="AG110" s="2158">
        <v>697932.53200000001</v>
      </c>
      <c r="AH110" s="1628">
        <f>AH90+AH109</f>
        <v>146956.158</v>
      </c>
    </row>
    <row r="111" spans="1:34">
      <c r="A111" s="467" t="s">
        <v>271</v>
      </c>
      <c r="B111" s="757" t="s">
        <v>31</v>
      </c>
      <c r="C111" s="24">
        <v>4022.9870000000001</v>
      </c>
      <c r="D111" s="25">
        <v>1669.1469999999999</v>
      </c>
      <c r="E111" s="24">
        <v>10367.826999999999</v>
      </c>
      <c r="F111" s="24">
        <v>229.74199999999999</v>
      </c>
      <c r="G111" s="24">
        <v>6747.777</v>
      </c>
      <c r="H111" s="25">
        <v>8.7629999999999999</v>
      </c>
      <c r="I111" s="24">
        <v>13003.95</v>
      </c>
      <c r="J111" s="90">
        <v>25477.981</v>
      </c>
      <c r="K111" s="27"/>
      <c r="L111" s="94">
        <v>877.25300000000004</v>
      </c>
      <c r="M111" s="24">
        <v>4569.808</v>
      </c>
      <c r="N111" s="312">
        <v>0</v>
      </c>
      <c r="O111" s="313">
        <v>0</v>
      </c>
      <c r="P111" s="104">
        <f>SUM(C111:O111)</f>
        <v>66975.235000000001</v>
      </c>
      <c r="Q111" s="40"/>
      <c r="R111" s="94">
        <v>149.535</v>
      </c>
      <c r="S111" s="24">
        <v>4860.3379999999997</v>
      </c>
      <c r="T111" s="90">
        <v>1354.7260000000001</v>
      </c>
      <c r="U111" s="41"/>
      <c r="V111" s="103">
        <v>60256.341</v>
      </c>
      <c r="W111" s="104">
        <f>SUM(R111:V111)</f>
        <v>66620.94</v>
      </c>
      <c r="X111" s="47"/>
      <c r="Y111" s="881"/>
      <c r="Z111" s="871"/>
      <c r="AA111" s="872"/>
      <c r="AB111" s="873"/>
      <c r="AC111" s="2127"/>
      <c r="AD111" s="1989"/>
      <c r="AE111" s="2136"/>
      <c r="AF111" s="2161"/>
      <c r="AG111" s="1412"/>
      <c r="AH111" s="1619"/>
    </row>
    <row r="112" spans="1:34" ht="13.5" thickBot="1">
      <c r="A112" s="465" t="s">
        <v>272</v>
      </c>
      <c r="B112" s="743" t="s">
        <v>32</v>
      </c>
      <c r="C112" s="19">
        <v>24053.866000000002</v>
      </c>
      <c r="D112" s="17">
        <v>9662.7980000000007</v>
      </c>
      <c r="E112" s="19">
        <v>6779.4880000000003</v>
      </c>
      <c r="F112" s="19">
        <v>757.33199999999999</v>
      </c>
      <c r="G112" s="19">
        <v>16768.993999999999</v>
      </c>
      <c r="H112" s="20">
        <v>440.23</v>
      </c>
      <c r="I112" s="19">
        <v>629.649</v>
      </c>
      <c r="J112" s="89">
        <v>3922.8110000000001</v>
      </c>
      <c r="K112" s="27"/>
      <c r="L112" s="92">
        <v>2139.8510000000001</v>
      </c>
      <c r="M112" s="19">
        <v>8579.3289999999997</v>
      </c>
      <c r="N112" s="314"/>
      <c r="O112" s="315"/>
      <c r="P112" s="316">
        <f>SUM(C112:O112)</f>
        <v>73734.348000000013</v>
      </c>
      <c r="Q112" s="40"/>
      <c r="R112" s="95">
        <v>322.79899999999998</v>
      </c>
      <c r="S112" s="96">
        <v>142.19300000000001</v>
      </c>
      <c r="T112" s="97">
        <v>6576.5789999999997</v>
      </c>
      <c r="U112" s="41"/>
      <c r="V112" s="1675">
        <f>SUM(I118:I120)</f>
        <v>66692.777000000016</v>
      </c>
      <c r="W112" s="106">
        <f>SUM(R112:V112)</f>
        <v>73734.348000000013</v>
      </c>
      <c r="X112" s="47"/>
      <c r="Y112" s="847"/>
      <c r="Z112" s="882"/>
      <c r="AA112" s="854"/>
      <c r="AB112" s="855"/>
      <c r="AC112" s="2115"/>
      <c r="AD112" s="1989"/>
      <c r="AE112" s="2136"/>
      <c r="AF112" s="2161"/>
      <c r="AG112" s="1412"/>
      <c r="AH112" s="1619"/>
    </row>
    <row r="113" spans="1:34" ht="12.75" customHeight="1" thickBot="1">
      <c r="A113" s="672" t="s">
        <v>273</v>
      </c>
      <c r="B113" s="758" t="s">
        <v>33</v>
      </c>
      <c r="C113" s="320">
        <f>SUM(C110:C112)</f>
        <v>344474.50300000003</v>
      </c>
      <c r="D113" s="319">
        <f t="shared" ref="D113:W113" si="32">SUM(D110:D112)</f>
        <v>138763.06399999998</v>
      </c>
      <c r="E113" s="318">
        <f t="shared" si="32"/>
        <v>52624.032999999996</v>
      </c>
      <c r="F113" s="318">
        <f t="shared" si="32"/>
        <v>172912.22600000002</v>
      </c>
      <c r="G113" s="318">
        <f t="shared" si="32"/>
        <v>76415.820999999996</v>
      </c>
      <c r="H113" s="319">
        <f t="shared" si="32"/>
        <v>30884.761999999995</v>
      </c>
      <c r="I113" s="321">
        <f t="shared" si="32"/>
        <v>36608.614999999998</v>
      </c>
      <c r="J113" s="322">
        <f t="shared" si="32"/>
        <v>62224.875999999997</v>
      </c>
      <c r="K113" s="131"/>
      <c r="L113" s="317">
        <f>SUM(L110:L112)</f>
        <v>58844.674000000006</v>
      </c>
      <c r="M113" s="318">
        <f t="shared" si="32"/>
        <v>102977.18400000001</v>
      </c>
      <c r="N113" s="319">
        <f t="shared" si="32"/>
        <v>1938.759</v>
      </c>
      <c r="O113" s="319">
        <f>SUM(O110:O112)</f>
        <v>27197.057317290419</v>
      </c>
      <c r="P113" s="2390">
        <f>SUM(P110:P112)</f>
        <v>1105836.352</v>
      </c>
      <c r="Q113" s="40"/>
      <c r="R113" s="320">
        <f t="shared" si="32"/>
        <v>50130.819000000003</v>
      </c>
      <c r="S113" s="318">
        <f t="shared" si="32"/>
        <v>16293.940999999999</v>
      </c>
      <c r="T113" s="319">
        <f t="shared" si="32"/>
        <v>109599.12099999998</v>
      </c>
      <c r="U113" s="100"/>
      <c r="V113" s="335">
        <f t="shared" si="32"/>
        <v>191782.54500000004</v>
      </c>
      <c r="W113" s="2391">
        <f t="shared" si="32"/>
        <v>367806.42599999998</v>
      </c>
      <c r="X113" s="47"/>
      <c r="Y113" s="883"/>
      <c r="Z113" s="884"/>
      <c r="AA113" s="885"/>
      <c r="AB113" s="886"/>
      <c r="AC113" s="2130"/>
      <c r="AD113" s="1989"/>
      <c r="AE113" s="2149"/>
      <c r="AF113" s="2172"/>
      <c r="AG113" s="2159"/>
      <c r="AH113" s="1629"/>
    </row>
    <row r="114" spans="1:34">
      <c r="A114" s="1089"/>
      <c r="B114" s="1090"/>
      <c r="C114" s="1091"/>
      <c r="D114" s="1489"/>
      <c r="E114" s="10"/>
      <c r="F114" s="176"/>
      <c r="G114" s="26"/>
      <c r="H114" s="36"/>
      <c r="I114" s="2478" t="s">
        <v>520</v>
      </c>
      <c r="J114" s="2479"/>
      <c r="K114" s="2479"/>
      <c r="L114" s="2480"/>
      <c r="M114" s="323">
        <f>I118</f>
        <v>37586.082999999999</v>
      </c>
      <c r="N114" s="112"/>
      <c r="O114" s="28"/>
      <c r="P114" s="1740"/>
      <c r="Q114" s="174"/>
      <c r="R114" s="28"/>
      <c r="S114" s="28"/>
      <c r="T114" s="28"/>
      <c r="U114" s="174"/>
      <c r="V114" s="28"/>
      <c r="W114" s="28"/>
      <c r="X114" s="28"/>
      <c r="Y114" s="28"/>
      <c r="Z114" s="46"/>
      <c r="AA114" s="46"/>
      <c r="AB114" s="46"/>
      <c r="AC114" s="46"/>
      <c r="AD114" s="1989"/>
      <c r="AE114" s="341"/>
    </row>
    <row r="115" spans="1:34" ht="13.5" thickBot="1">
      <c r="A115" s="9"/>
      <c r="B115" s="35"/>
      <c r="C115" s="1989"/>
      <c r="D115" s="1989"/>
      <c r="E115" s="4"/>
      <c r="F115" s="4"/>
      <c r="G115" s="4"/>
      <c r="H115" s="28"/>
      <c r="I115" s="28"/>
      <c r="J115" s="29"/>
      <c r="K115" s="29"/>
      <c r="L115" s="178"/>
      <c r="M115" s="4"/>
      <c r="N115" s="4"/>
      <c r="O115" s="4"/>
      <c r="P115" s="1908" t="str">
        <f>IF(AND(L113&lt;&gt;0,P111=0),"Om interna lokalkostander finns, bör det även finnas kostnader för gemensamma lokaler. Stämmer uppgifterna?","")</f>
        <v/>
      </c>
      <c r="Q115" s="1370"/>
      <c r="R115" s="1371"/>
      <c r="S115" s="177"/>
      <c r="T115" s="28"/>
      <c r="U115" s="174"/>
      <c r="V115" s="28"/>
      <c r="W115" s="34"/>
      <c r="X115" s="1370"/>
      <c r="Y115" s="1371"/>
      <c r="Z115" s="160"/>
      <c r="AA115" s="160"/>
      <c r="AB115" s="5"/>
      <c r="AC115" s="5"/>
      <c r="AD115" s="1989"/>
      <c r="AE115" s="341"/>
    </row>
    <row r="116" spans="1:34" ht="16.5" thickBot="1">
      <c r="A116" s="1989"/>
      <c r="B116" s="1989"/>
      <c r="C116" s="1989"/>
      <c r="D116" s="1989"/>
      <c r="E116" s="30" t="s">
        <v>142</v>
      </c>
      <c r="F116" s="28"/>
      <c r="G116" s="28"/>
      <c r="H116" s="26"/>
      <c r="I116" s="26"/>
      <c r="J116" s="160"/>
      <c r="K116" s="160"/>
      <c r="L116" s="887">
        <v>960</v>
      </c>
      <c r="M116" s="900" t="s">
        <v>202</v>
      </c>
      <c r="N116" s="901"/>
      <c r="O116" s="901"/>
      <c r="P116" s="324">
        <f>-SUM(D113,J113)</f>
        <v>-200987.93999999997</v>
      </c>
      <c r="Q116" s="1229"/>
      <c r="R116" s="1230"/>
      <c r="S116" s="887">
        <v>970</v>
      </c>
      <c r="T116" s="888" t="s">
        <v>143</v>
      </c>
      <c r="U116" s="889"/>
      <c r="V116" s="890"/>
      <c r="W116" s="324">
        <f>-V113</f>
        <v>-191782.54500000004</v>
      </c>
      <c r="X116" s="1409"/>
      <c r="Y116" s="1179"/>
      <c r="AA116" s="1092"/>
      <c r="AB116" s="1092"/>
      <c r="AC116" s="1092"/>
      <c r="AD116" s="1989"/>
      <c r="AE116" s="341"/>
    </row>
    <row r="117" spans="1:34" ht="16.5" customHeight="1">
      <c r="A117" s="1989"/>
      <c r="B117" s="1989"/>
      <c r="C117" s="1989"/>
      <c r="D117" s="1989"/>
      <c r="E117" s="887">
        <v>922</v>
      </c>
      <c r="F117" s="901" t="s">
        <v>122</v>
      </c>
      <c r="G117" s="901"/>
      <c r="H117" s="901"/>
      <c r="I117" s="326">
        <f>P112-SUM(R112:T112)</f>
        <v>66692.777000000016</v>
      </c>
      <c r="K117" s="160"/>
      <c r="L117" s="892">
        <v>965</v>
      </c>
      <c r="M117" s="902" t="s">
        <v>203</v>
      </c>
      <c r="N117" s="903"/>
      <c r="O117" s="904"/>
      <c r="P117" s="325">
        <f>-SUM(L113:O113)</f>
        <v>-190957.67431729042</v>
      </c>
      <c r="S117" s="892">
        <v>982</v>
      </c>
      <c r="T117" s="2449" t="s">
        <v>517</v>
      </c>
      <c r="U117" s="2450"/>
      <c r="V117" s="2451"/>
      <c r="W117" s="180">
        <v>9280.6769999999997</v>
      </c>
      <c r="Y117" s="1092"/>
      <c r="Z117" s="1092"/>
      <c r="AA117" s="1092"/>
      <c r="AB117" s="1092"/>
      <c r="AC117" s="1092"/>
      <c r="AD117" s="1989"/>
      <c r="AE117" s="341"/>
    </row>
    <row r="118" spans="1:34" ht="19.5" customHeight="1">
      <c r="A118" s="1989"/>
      <c r="B118" s="1989"/>
      <c r="C118" s="1989"/>
      <c r="D118" s="1989"/>
      <c r="E118" s="892">
        <v>924</v>
      </c>
      <c r="F118" s="2462" t="s">
        <v>1172</v>
      </c>
      <c r="G118" s="2463"/>
      <c r="H118" s="2464"/>
      <c r="I118" s="107">
        <v>37586.082999999999</v>
      </c>
      <c r="J118" s="1325"/>
      <c r="K118" s="160"/>
      <c r="L118" s="892">
        <v>975</v>
      </c>
      <c r="M118" s="2446" t="s">
        <v>1236</v>
      </c>
      <c r="N118" s="2447"/>
      <c r="O118" s="2448"/>
      <c r="P118" s="180">
        <v>153787.11499999999</v>
      </c>
      <c r="S118" s="892">
        <v>985</v>
      </c>
      <c r="T118" s="1186" t="s">
        <v>887</v>
      </c>
      <c r="U118" s="1187"/>
      <c r="V118" s="904"/>
      <c r="W118" s="180">
        <v>1553.433</v>
      </c>
      <c r="X118" s="130"/>
      <c r="Y118" s="130"/>
      <c r="Z118" s="1092"/>
      <c r="AB118" s="1092"/>
      <c r="AC118" s="1092"/>
      <c r="AD118" s="1989"/>
      <c r="AE118" s="341"/>
    </row>
    <row r="119" spans="1:34" ht="19.5" customHeight="1">
      <c r="A119" s="1989"/>
      <c r="B119" s="1989"/>
      <c r="C119" s="1989"/>
      <c r="D119" s="1989"/>
      <c r="E119" s="892">
        <v>926</v>
      </c>
      <c r="F119" s="906" t="s">
        <v>804</v>
      </c>
      <c r="G119" s="907"/>
      <c r="H119" s="907"/>
      <c r="I119" s="327">
        <f>N113</f>
        <v>1938.759</v>
      </c>
      <c r="K119" s="160"/>
      <c r="L119" s="892">
        <v>980</v>
      </c>
      <c r="M119" s="2443" t="s">
        <v>1211</v>
      </c>
      <c r="N119" s="2444"/>
      <c r="O119" s="2445"/>
      <c r="P119" s="180">
        <v>328.69600000000003</v>
      </c>
      <c r="S119" s="892">
        <v>989</v>
      </c>
      <c r="T119" s="1186" t="s">
        <v>205</v>
      </c>
      <c r="U119" s="1187"/>
      <c r="V119" s="904"/>
      <c r="W119" s="1744">
        <v>1033.845</v>
      </c>
      <c r="X119" s="112"/>
      <c r="Y119" s="160"/>
      <c r="Z119" s="160"/>
      <c r="AA119" s="217"/>
      <c r="AB119" s="217"/>
      <c r="AC119" s="217"/>
      <c r="AD119" s="1989"/>
      <c r="AE119" s="217"/>
    </row>
    <row r="120" spans="1:34" ht="13.5" customHeight="1" thickBot="1">
      <c r="A120" s="1989"/>
      <c r="B120" s="1989"/>
      <c r="C120" s="1989"/>
      <c r="D120" s="1989"/>
      <c r="E120" s="896">
        <v>928</v>
      </c>
      <c r="F120" s="1228" t="s">
        <v>805</v>
      </c>
      <c r="G120" s="898"/>
      <c r="H120" s="899"/>
      <c r="I120" s="328">
        <f>I117-I118-I119</f>
        <v>27167.935000000019</v>
      </c>
      <c r="K120" s="160"/>
      <c r="L120" s="892">
        <v>982</v>
      </c>
      <c r="M120" s="1186" t="s">
        <v>1173</v>
      </c>
      <c r="N120" s="1187"/>
      <c r="O120" s="904"/>
      <c r="P120" s="180">
        <v>1389.7809999999999</v>
      </c>
      <c r="S120" s="892"/>
      <c r="T120" s="1346"/>
      <c r="U120" s="1316"/>
      <c r="V120" s="1317"/>
      <c r="W120" s="1720"/>
      <c r="X120" s="1101"/>
      <c r="Y120" s="1318"/>
      <c r="Z120" s="160"/>
      <c r="AA120" s="217"/>
      <c r="AB120" s="217"/>
      <c r="AC120" s="217"/>
      <c r="AD120" s="1989"/>
      <c r="AE120" s="217"/>
    </row>
    <row r="121" spans="1:34" ht="13.5" customHeight="1">
      <c r="A121" s="160"/>
      <c r="B121" s="160"/>
      <c r="C121" s="1989"/>
      <c r="D121" s="1989"/>
      <c r="E121" s="160"/>
      <c r="F121" s="1989"/>
      <c r="G121" s="1989"/>
      <c r="H121" s="1989"/>
      <c r="I121" s="1749"/>
      <c r="J121" s="160"/>
      <c r="K121" s="160"/>
      <c r="L121" s="892">
        <v>985</v>
      </c>
      <c r="M121" s="2186" t="s">
        <v>1206</v>
      </c>
      <c r="N121" s="2186"/>
      <c r="O121" s="2190"/>
      <c r="P121" s="153">
        <v>1236.0239999999999</v>
      </c>
      <c r="Q121" s="2435"/>
      <c r="R121" s="2436"/>
      <c r="S121" s="891">
        <v>887</v>
      </c>
      <c r="T121" s="893" t="s">
        <v>439</v>
      </c>
      <c r="U121" s="894"/>
      <c r="V121" s="895"/>
      <c r="W121" s="329">
        <f>SUM(W113,W116:W119)</f>
        <v>187891.83599999992</v>
      </c>
      <c r="X121" s="1231"/>
      <c r="Y121" s="160"/>
      <c r="Z121" s="160"/>
      <c r="AA121" s="217"/>
      <c r="AB121" s="217"/>
      <c r="AC121" s="217"/>
      <c r="AD121" s="1989"/>
      <c r="AE121" s="217"/>
    </row>
    <row r="122" spans="1:34" ht="12.75" customHeight="1" thickBot="1">
      <c r="A122" s="160"/>
      <c r="B122" s="160"/>
      <c r="C122" s="1989"/>
      <c r="D122" s="1989"/>
      <c r="E122" s="160"/>
      <c r="F122" s="1989"/>
      <c r="G122" s="1989"/>
      <c r="H122" s="1989"/>
      <c r="I122" s="1750"/>
      <c r="J122" s="1750"/>
      <c r="K122" s="160"/>
      <c r="L122" s="2184">
        <v>988</v>
      </c>
      <c r="M122" s="2187" t="s">
        <v>1092</v>
      </c>
      <c r="N122" s="2188"/>
      <c r="O122" s="2190"/>
      <c r="P122" s="153">
        <v>2144.3090000000002</v>
      </c>
      <c r="Q122" s="112"/>
      <c r="S122" s="896">
        <v>990</v>
      </c>
      <c r="T122" s="897" t="s">
        <v>91</v>
      </c>
      <c r="U122" s="898"/>
      <c r="V122" s="899"/>
      <c r="W122" s="108">
        <f>RR!C7</f>
        <v>187891.83900000001</v>
      </c>
      <c r="X122" s="1231"/>
      <c r="Y122" s="160"/>
      <c r="Z122" s="160"/>
      <c r="AA122" s="160"/>
      <c r="AB122" s="5"/>
      <c r="AC122" s="5"/>
      <c r="AD122" s="1989"/>
      <c r="AE122" s="341"/>
    </row>
    <row r="123" spans="1:34">
      <c r="A123" s="160"/>
      <c r="B123" s="160"/>
      <c r="C123" s="1989"/>
      <c r="D123" s="1989"/>
      <c r="F123" s="1989"/>
      <c r="G123" s="1989"/>
      <c r="H123" s="1989"/>
      <c r="I123" s="1098"/>
      <c r="J123" s="1750"/>
      <c r="K123" s="160"/>
      <c r="L123" s="892">
        <v>989</v>
      </c>
      <c r="M123" s="905" t="s">
        <v>204</v>
      </c>
      <c r="N123" s="1487"/>
      <c r="O123" s="904"/>
      <c r="P123" s="1744">
        <v>-2578.6990000000001</v>
      </c>
      <c r="Q123" s="112"/>
      <c r="R123" s="160"/>
      <c r="W123" s="193"/>
      <c r="X123" s="160"/>
      <c r="Y123" s="160"/>
      <c r="Z123" s="160"/>
      <c r="AA123" s="160"/>
      <c r="AB123" s="5"/>
      <c r="AC123" s="5"/>
      <c r="AD123" s="1989"/>
      <c r="AE123" s="341"/>
    </row>
    <row r="124" spans="1:34">
      <c r="A124" s="248"/>
      <c r="B124" s="160"/>
      <c r="C124" s="160"/>
      <c r="D124" s="160"/>
      <c r="E124" s="160"/>
      <c r="F124" s="1989"/>
      <c r="G124" s="1989"/>
      <c r="H124" s="1989"/>
      <c r="I124" s="1098"/>
      <c r="J124" s="1750"/>
      <c r="K124" s="160"/>
      <c r="L124" s="891">
        <v>886</v>
      </c>
      <c r="M124" s="893" t="s">
        <v>439</v>
      </c>
      <c r="N124" s="894"/>
      <c r="O124" s="895"/>
      <c r="P124" s="329">
        <f>SUM(P110:P112,P116:P123)</f>
        <v>870197.96368270949</v>
      </c>
      <c r="Q124" s="1231"/>
      <c r="R124" s="160"/>
      <c r="X124" s="160"/>
      <c r="Y124" s="160"/>
      <c r="Z124" s="160"/>
      <c r="AA124" s="160"/>
      <c r="AB124" s="5"/>
      <c r="AC124" s="5"/>
      <c r="AD124" s="1989"/>
      <c r="AE124" s="341"/>
    </row>
    <row r="125" spans="1:34" ht="22.5" customHeight="1" thickBot="1">
      <c r="A125" s="248"/>
      <c r="B125" s="160"/>
      <c r="C125" s="160"/>
      <c r="D125" s="160"/>
      <c r="E125" s="160"/>
      <c r="F125" s="1989"/>
      <c r="G125" s="1989"/>
      <c r="H125" s="1989"/>
      <c r="I125" s="1098"/>
      <c r="J125" s="1750"/>
      <c r="K125" s="160"/>
      <c r="L125" s="896">
        <v>990</v>
      </c>
      <c r="M125" s="897" t="s">
        <v>88</v>
      </c>
      <c r="N125" s="898"/>
      <c r="O125" s="899"/>
      <c r="P125" s="1719">
        <f>RR!C8</f>
        <v>870227.19</v>
      </c>
      <c r="Q125" s="160"/>
      <c r="R125" s="160"/>
      <c r="X125" s="160"/>
      <c r="Y125" s="160"/>
      <c r="Z125" s="160"/>
      <c r="AA125" s="160"/>
      <c r="AB125" s="5"/>
      <c r="AC125" s="5"/>
      <c r="AD125" s="1989"/>
      <c r="AE125" s="341"/>
    </row>
    <row r="126" spans="1:34" ht="31.5" customHeight="1">
      <c r="F126" s="1751"/>
      <c r="G126" s="1751"/>
      <c r="H126" s="1751"/>
      <c r="I126" s="1098"/>
      <c r="K126" s="160"/>
      <c r="L126" s="1485"/>
      <c r="M126" s="1179"/>
      <c r="N126" s="1486"/>
      <c r="O126" s="1486"/>
      <c r="P126" s="1498"/>
      <c r="Q126" s="160"/>
      <c r="U126" s="160"/>
      <c r="X126" s="160"/>
      <c r="AD126" s="1989"/>
    </row>
    <row r="127" spans="1:34" hidden="1">
      <c r="P127" s="193"/>
    </row>
    <row r="129"/>
    <row r="303" spans="16:16" hidden="1">
      <c r="P303" s="179" t="str">
        <f>IF(P124&lt;&gt;P125,"Differens mot vht kostnader i RR, måste rättas!","")</f>
        <v>Differens mot vht kostnader i RR, måste rättas!</v>
      </c>
    </row>
  </sheetData>
  <customSheetViews>
    <customSheetView guid="{97D6DB71-3F4C-4C5F-8C5B-51E3EBF78932}" showPageBreaks="1" showGridLines="0" hiddenRows="1" hiddenColumns="1">
      <pane xSplit="2" ySplit="12" topLeftCell="H13" activePane="bottomRight" state="frozen"/>
      <selection pane="bottomRight" activeCell="S6" sqref="S6"/>
      <rowBreaks count="1" manualBreakCount="1">
        <brk id="43" max="16383" man="1"/>
      </rowBreaks>
      <pageMargins left="0.70866141732283472" right="0.70866141732283472" top="0.74803149606299213" bottom="0" header="0.31496062992125984" footer="0.31496062992125984"/>
      <pageSetup paperSize="9" scale="75" orientation="landscape" r:id="rId1"/>
      <headerFooter>
        <oddHeader>&amp;L&amp;8Statistiska Centralbyrån
Offentlig ekonomi&amp;R&amp;P</oddHeader>
      </headerFooter>
    </customSheetView>
    <customSheetView guid="{99FBDEB7-DD08-4F57-81F4-3C180403E153}" showPageBreaks="1" showGridLines="0" hiddenRows="1" hiddenColumns="1">
      <pane xSplit="2" ySplit="12" topLeftCell="H13" activePane="bottomRight" state="frozen"/>
      <selection pane="bottomRight" activeCell="AD14" sqref="AD14"/>
      <rowBreaks count="1" manualBreakCount="1">
        <brk id="43" max="16383" man="1"/>
      </rowBreaks>
      <pageMargins left="0.70866141732283472" right="0.70866141732283472" top="0.74803149606299213" bottom="0" header="0.31496062992125984" footer="0.31496062992125984"/>
      <pageSetup paperSize="9" scale="75" orientation="landscape" r:id="rId2"/>
      <headerFooter>
        <oddHeader>&amp;L&amp;8Statistiska Centralbyrån
Offentlig ekonomi&amp;R&amp;P</oddHeader>
      </headerFooter>
    </customSheetView>
    <customSheetView guid="{27C9E95B-0E2B-454F-B637-1CECC9579A10}" showGridLines="0" hiddenRows="1" hiddenColumns="1" showRuler="0">
      <pane xSplit="2" ySplit="10" topLeftCell="E111" activePane="bottomRight" state="frozen"/>
      <selection pane="bottomRight" activeCell="P125" sqref="P125"/>
      <rowBreaks count="1" manualBreakCount="1">
        <brk id="43" max="16383" man="1"/>
      </rowBreaks>
      <pageMargins left="0.70866141732283472" right="0.70866141732283472" top="0.74803149606299213" bottom="0" header="0.31496062992125984" footer="0.31496062992125984"/>
      <pageSetup paperSize="9" scale="75" orientation="landscape" r:id="rId3"/>
      <headerFooter alignWithMargins="0">
        <oddHeader>&amp;L&amp;8Statistiska Centralbyrån
Offentlig ekonomi&amp;R&amp;P</oddHeader>
      </headerFooter>
    </customSheetView>
  </customSheetViews>
  <mergeCells count="26">
    <mergeCell ref="C4:D4"/>
    <mergeCell ref="E4:H4"/>
    <mergeCell ref="L4:O4"/>
    <mergeCell ref="I4:J4"/>
    <mergeCell ref="I114:L114"/>
    <mergeCell ref="F118:H118"/>
    <mergeCell ref="AH5:AH6"/>
    <mergeCell ref="Z44:AC44"/>
    <mergeCell ref="AG5:AG6"/>
    <mergeCell ref="AF5:AF6"/>
    <mergeCell ref="Z18:AC18"/>
    <mergeCell ref="Z11:AC11"/>
    <mergeCell ref="Q121:R121"/>
    <mergeCell ref="R4:T4"/>
    <mergeCell ref="Z4:AB4"/>
    <mergeCell ref="M119:O119"/>
    <mergeCell ref="M118:O118"/>
    <mergeCell ref="T117:V117"/>
    <mergeCell ref="Y5:Y6"/>
    <mergeCell ref="Z31:AC31"/>
    <mergeCell ref="Z72:AC72"/>
    <mergeCell ref="Z91:AC91"/>
    <mergeCell ref="Z45:AA45"/>
    <mergeCell ref="Z52:AC52"/>
    <mergeCell ref="N5:O5"/>
    <mergeCell ref="Z86:AC86"/>
  </mergeCells>
  <phoneticPr fontId="90" type="noConversion"/>
  <conditionalFormatting sqref="C17:W105 O106:W106 C107:W113 C13:W15 C16:J16 L16:W16 C106:M106 P120:P122">
    <cfRule type="cellIs" dxfId="106" priority="33" stopIfTrue="1" operator="lessThan">
      <formula>-1</formula>
    </cfRule>
  </conditionalFormatting>
  <conditionalFormatting sqref="H47">
    <cfRule type="cellIs" dxfId="105" priority="24" stopIfTrue="1" operator="greaterThan">
      <formula>$F$47</formula>
    </cfRule>
  </conditionalFormatting>
  <conditionalFormatting sqref="H50">
    <cfRule type="cellIs" dxfId="104" priority="22" stopIfTrue="1" operator="greaterThan">
      <formula>$F$50</formula>
    </cfRule>
  </conditionalFormatting>
  <conditionalFormatting sqref="J122:J125">
    <cfRule type="expression" dxfId="103" priority="1">
      <formula>(L119+L120-M120)/M120&gt;0.1</formula>
    </cfRule>
  </conditionalFormatting>
  <conditionalFormatting sqref="P13:P14 P23:P24">
    <cfRule type="expression" dxfId="102" priority="58" stopIfTrue="1">
      <formula>$P$124&lt;100000</formula>
    </cfRule>
    <cfRule type="cellIs" dxfId="101" priority="59" stopIfTrue="1" operator="lessThan">
      <formula>1</formula>
    </cfRule>
  </conditionalFormatting>
  <conditionalFormatting sqref="P111">
    <cfRule type="expression" dxfId="100" priority="53" stopIfTrue="1">
      <formula>ABS(P111-W111)&lt;10000</formula>
    </cfRule>
    <cfRule type="expression" dxfId="99" priority="54" stopIfTrue="1">
      <formula>ABS((P111-W111)/W111)&gt;0.05</formula>
    </cfRule>
  </conditionalFormatting>
  <conditionalFormatting sqref="P117">
    <cfRule type="expression" dxfId="98" priority="49" stopIfTrue="1">
      <formula>ABS(P117-W116)&lt;10000</formula>
    </cfRule>
    <cfRule type="expression" dxfId="97" priority="50" stopIfTrue="1">
      <formula>ABS((P117-W116)/W116)&gt;0.05</formula>
    </cfRule>
  </conditionalFormatting>
  <conditionalFormatting sqref="R48">
    <cfRule type="expression" dxfId="96" priority="9" stopIfTrue="1">
      <formula>AND(C48&gt;5000,R48&lt;50)</formula>
    </cfRule>
  </conditionalFormatting>
  <conditionalFormatting sqref="R53">
    <cfRule type="cellIs" dxfId="95" priority="21" stopIfTrue="1" operator="greaterThan">
      <formula>100</formula>
    </cfRule>
  </conditionalFormatting>
  <conditionalFormatting sqref="R73:R74">
    <cfRule type="expression" dxfId="94" priority="10" stopIfTrue="1">
      <formula>AND(C73&gt;5000,R73&lt;50)</formula>
    </cfRule>
  </conditionalFormatting>
  <conditionalFormatting sqref="R76">
    <cfRule type="expression" dxfId="93" priority="12" stopIfTrue="1">
      <formula>AND(C76&gt;5000,R76&lt;50)</formula>
    </cfRule>
  </conditionalFormatting>
  <conditionalFormatting sqref="R100">
    <cfRule type="expression" dxfId="92" priority="17" stopIfTrue="1">
      <formula>AND(C100&gt;5000,R100&lt;50)</formula>
    </cfRule>
  </conditionalFormatting>
  <conditionalFormatting sqref="R104:R107">
    <cfRule type="expression" dxfId="91" priority="13" stopIfTrue="1">
      <formula>AND(C104&gt;5000,R104&lt;50)</formula>
    </cfRule>
  </conditionalFormatting>
  <conditionalFormatting sqref="T51">
    <cfRule type="expression" dxfId="90" priority="48" stopIfTrue="1">
      <formula>T51-SUM(AB53:AB55)&lt;0</formula>
    </cfRule>
  </conditionalFormatting>
  <conditionalFormatting sqref="W111">
    <cfRule type="expression" dxfId="89" priority="75" stopIfTrue="1">
      <formula>ABS(P111-W111)&lt;10000</formula>
    </cfRule>
    <cfRule type="expression" dxfId="88" priority="76" stopIfTrue="1">
      <formula>ABS((P111-W111)/W111)&gt;0.05</formula>
    </cfRule>
  </conditionalFormatting>
  <conditionalFormatting sqref="W116">
    <cfRule type="expression" dxfId="87" priority="51" stopIfTrue="1">
      <formula>ABS(P117-W116)&lt;10000</formula>
    </cfRule>
    <cfRule type="expression" dxfId="86" priority="52" stopIfTrue="1">
      <formula>ABS((P117-W116)/W116)&gt;0.05</formula>
    </cfRule>
  </conditionalFormatting>
  <conditionalFormatting sqref="W117:W118 I118 P118">
    <cfRule type="cellIs" dxfId="85" priority="32" stopIfTrue="1" operator="lessThan">
      <formula>-500</formula>
    </cfRule>
  </conditionalFormatting>
  <dataValidations count="1">
    <dataValidation type="decimal" operator="lessThan" allowBlank="1" showInputMessage="1" showErrorMessage="1" error="Beloppet ska vara i 1000 tal kr" sqref="V111 R111:U112 R93:V96 C93:N96 R99:V101 R84:V84 G114 R104:V107 C99:N101 C104:N107 C87:N88 C84:N84 I118 C79:N82 R79:V82 C111:O112 C70:N71 C73:N76 R73:V76 R70:V71 C13:N16 C19:N29 C33:N36 C39:N41 C46:N50 C53:N57 R53:V57 R46:V50 R39:V41 R33:V36 R19:V29 R13:V16 R60:V62 C60:N62 R87:V88 W117:W120 P118:P123 R64:V66 C64:N66" xr:uid="{00000000-0002-0000-0600-000000000000}">
      <formula1>99999999</formula1>
    </dataValidation>
  </dataValidations>
  <pageMargins left="0.43307086614173229" right="0.70866141732283472" top="0.43307086614173229" bottom="0" header="7.874015748031496E-2" footer="3.937007874015748E-2"/>
  <pageSetup paperSize="9" scale="83" orientation="landscape" r:id="rId4"/>
  <headerFooter>
    <oddHeader>&amp;LStatistiska Centralbyrån
Offentlig ekonomi</oddHeader>
  </headerFooter>
  <rowBreaks count="3" manualBreakCount="3">
    <brk id="43" max="16383" man="1"/>
    <brk id="68" max="16383" man="1"/>
    <brk id="90" max="16383" man="1"/>
  </rowBreaks>
  <colBreaks count="1" manualBreakCount="1">
    <brk id="16" max="1048575" man="1"/>
  </colBreaks>
  <ignoredErrors>
    <ignoredError sqref="A63:A113 A13:A61" numberStoredAsText="1"/>
  </ignoredErrors>
  <legacyDrawing r:id="rId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tabColor rgb="FFFFFF00"/>
  </sheetPr>
  <dimension ref="A1:AD58"/>
  <sheetViews>
    <sheetView showGridLines="0" zoomScaleNormal="100" workbookViewId="0">
      <pane xSplit="2" ySplit="8" topLeftCell="C9" activePane="bottomRight" state="frozen"/>
      <selection activeCell="F36" sqref="F36"/>
      <selection pane="topRight" activeCell="F36" sqref="F36"/>
      <selection pane="bottomLeft" activeCell="F36" sqref="F36"/>
      <selection pane="bottomRight" activeCell="P47" sqref="P47"/>
    </sheetView>
  </sheetViews>
  <sheetFormatPr defaultColWidth="0" defaultRowHeight="9" zeroHeight="1"/>
  <cols>
    <col min="1" max="1" width="5.42578125" style="129" customWidth="1"/>
    <col min="2" max="2" width="30.5703125" style="129" customWidth="1"/>
    <col min="3" max="3" width="8.5703125" style="129" customWidth="1"/>
    <col min="4" max="13" width="9.42578125" style="129" customWidth="1"/>
    <col min="14" max="14" width="8.42578125" style="129" customWidth="1"/>
    <col min="15" max="23" width="9.42578125" style="129" customWidth="1"/>
    <col min="24" max="24" width="8.42578125" style="129" customWidth="1"/>
    <col min="25" max="29" width="9.42578125" style="129" customWidth="1"/>
    <col min="30" max="30" width="25.5703125" style="129" customWidth="1"/>
    <col min="31" max="16384" width="0" style="129" hidden="1"/>
  </cols>
  <sheetData>
    <row r="1" spans="1:30" customFormat="1" ht="18.75" customHeight="1">
      <c r="A1" s="150"/>
      <c r="B1" s="66"/>
      <c r="C1" s="65" t="str">
        <f>"Motpartsredovisning "&amp;År&amp;", miljoner kr"</f>
        <v>Motpartsredovisning 2025, miljoner kr</v>
      </c>
      <c r="D1" s="66"/>
      <c r="E1" s="150"/>
      <c r="F1" s="150"/>
      <c r="G1" s="150"/>
      <c r="H1" s="150"/>
      <c r="I1" s="150"/>
      <c r="J1" s="431" t="s">
        <v>446</v>
      </c>
      <c r="K1" s="432" t="str">
        <f>Information!A2</f>
        <v>RIKSTOTAL</v>
      </c>
      <c r="L1" s="150"/>
      <c r="M1" s="150"/>
      <c r="N1" s="65"/>
      <c r="O1" s="150"/>
      <c r="P1" s="150"/>
      <c r="Q1" s="150"/>
      <c r="R1" s="150"/>
      <c r="S1" s="65" t="str">
        <f>"Motpartsredovisning "&amp;År&amp;", miljoner kr"</f>
        <v>Motpartsredovisning 2025, miljoner kr</v>
      </c>
      <c r="T1" s="150"/>
      <c r="U1" s="150"/>
      <c r="V1" s="150"/>
      <c r="W1" s="150"/>
      <c r="X1" s="150"/>
      <c r="Y1" s="150"/>
      <c r="Z1" s="431" t="s">
        <v>446</v>
      </c>
      <c r="AA1" s="432" t="str">
        <f>Information!A2</f>
        <v>RIKSTOTAL</v>
      </c>
      <c r="AB1" s="150"/>
      <c r="AC1" s="150"/>
      <c r="AD1" s="1989"/>
    </row>
    <row r="2" spans="1:30" customFormat="1" ht="11.25" customHeight="1">
      <c r="A2" s="1989"/>
      <c r="B2" s="1989"/>
      <c r="C2" s="1989"/>
      <c r="D2" s="1989"/>
      <c r="E2" s="1989"/>
      <c r="F2" s="1989"/>
      <c r="G2" s="1989"/>
      <c r="H2" s="1989"/>
      <c r="I2" s="1989"/>
      <c r="J2" s="1989"/>
      <c r="K2" s="1989"/>
      <c r="L2" s="1989"/>
      <c r="M2" s="1989"/>
      <c r="N2" s="1989"/>
      <c r="O2" s="1989"/>
      <c r="P2" s="1989"/>
      <c r="Q2" s="1989"/>
      <c r="R2" s="1989"/>
      <c r="S2" s="1989"/>
      <c r="T2" s="1989"/>
      <c r="U2" s="1989"/>
      <c r="V2" s="1989"/>
      <c r="W2" s="1989"/>
      <c r="X2" s="1989"/>
      <c r="Y2" s="1989"/>
      <c r="Z2" s="1989"/>
      <c r="AA2" s="1989"/>
      <c r="AB2" s="1989"/>
      <c r="AC2" s="1989"/>
      <c r="AD2" s="1989"/>
    </row>
    <row r="3" spans="1:30" ht="11.25" customHeight="1" thickBot="1">
      <c r="A3" s="1989"/>
      <c r="B3" s="1989"/>
      <c r="C3" s="1989"/>
      <c r="D3" s="1989"/>
      <c r="E3" s="1989"/>
      <c r="F3" s="1989"/>
      <c r="G3" s="1989"/>
      <c r="H3" s="1989"/>
      <c r="I3" s="1989"/>
      <c r="J3" s="1989"/>
      <c r="K3" s="1989"/>
      <c r="L3" s="1989"/>
      <c r="M3" s="1989"/>
      <c r="N3" s="1989"/>
      <c r="O3" s="1989"/>
      <c r="P3" s="1989"/>
      <c r="Q3" s="1989"/>
      <c r="R3" s="1989"/>
      <c r="S3" s="1989"/>
      <c r="T3" s="1989"/>
      <c r="U3" s="1989"/>
      <c r="V3" s="1989"/>
      <c r="W3" s="1989"/>
      <c r="X3" s="1989"/>
      <c r="Y3" s="1989"/>
      <c r="Z3" s="1989"/>
      <c r="AA3" s="1989"/>
      <c r="AB3" s="1989"/>
      <c r="AC3" s="1989"/>
      <c r="AD3" s="1989"/>
    </row>
    <row r="4" spans="1:30" s="1149" customFormat="1" ht="18" customHeight="1">
      <c r="A4" s="1142" t="s">
        <v>604</v>
      </c>
      <c r="B4" s="1143" t="s">
        <v>13</v>
      </c>
      <c r="C4" s="1133"/>
      <c r="D4" s="1150" t="s">
        <v>768</v>
      </c>
      <c r="E4" s="1143"/>
      <c r="F4" s="1143"/>
      <c r="G4" s="1143"/>
      <c r="H4" s="1143"/>
      <c r="I4" s="1143"/>
      <c r="J4" s="1143"/>
      <c r="K4" s="1143"/>
      <c r="L4" s="1143"/>
      <c r="M4" s="1144"/>
      <c r="N4" s="1150" t="s">
        <v>747</v>
      </c>
      <c r="O4" s="1143"/>
      <c r="P4" s="1143"/>
      <c r="Q4" s="1143"/>
      <c r="R4" s="1143"/>
      <c r="S4" s="1143"/>
      <c r="T4" s="1143"/>
      <c r="U4" s="1143"/>
      <c r="V4" s="1143"/>
      <c r="W4" s="1143"/>
      <c r="X4" s="1145"/>
      <c r="Y4" s="1151" t="s">
        <v>531</v>
      </c>
      <c r="Z4" s="1146"/>
      <c r="AA4" s="1147"/>
      <c r="AB4" s="1147"/>
      <c r="AC4" s="1148"/>
      <c r="AD4" s="1989"/>
    </row>
    <row r="5" spans="1:30" ht="36.75" customHeight="1">
      <c r="A5" s="673" t="s">
        <v>606</v>
      </c>
      <c r="B5" s="916"/>
      <c r="C5" s="1249" t="s">
        <v>490</v>
      </c>
      <c r="D5" s="917" t="s">
        <v>457</v>
      </c>
      <c r="E5" s="911" t="s">
        <v>482</v>
      </c>
      <c r="F5" s="911" t="s">
        <v>458</v>
      </c>
      <c r="G5" s="911" t="s">
        <v>123</v>
      </c>
      <c r="H5" s="911" t="s">
        <v>1010</v>
      </c>
      <c r="I5" s="911" t="s">
        <v>459</v>
      </c>
      <c r="J5" s="911" t="s">
        <v>785</v>
      </c>
      <c r="K5" s="911" t="s">
        <v>1060</v>
      </c>
      <c r="L5" s="911" t="s">
        <v>148</v>
      </c>
      <c r="M5" s="913" t="s">
        <v>499</v>
      </c>
      <c r="N5" s="1218" t="s">
        <v>490</v>
      </c>
      <c r="O5" s="911" t="s">
        <v>457</v>
      </c>
      <c r="P5" s="912" t="s">
        <v>482</v>
      </c>
      <c r="Q5" s="912" t="s">
        <v>458</v>
      </c>
      <c r="R5" s="912" t="s">
        <v>123</v>
      </c>
      <c r="S5" s="912" t="s">
        <v>1010</v>
      </c>
      <c r="T5" s="912" t="s">
        <v>1060</v>
      </c>
      <c r="U5" s="912" t="s">
        <v>786</v>
      </c>
      <c r="V5" s="912" t="s">
        <v>785</v>
      </c>
      <c r="W5" s="912" t="s">
        <v>148</v>
      </c>
      <c r="X5" s="910" t="s">
        <v>499</v>
      </c>
      <c r="Y5" s="1848" t="s">
        <v>1174</v>
      </c>
      <c r="Z5" s="911" t="s">
        <v>1064</v>
      </c>
      <c r="AA5" s="912" t="s">
        <v>1175</v>
      </c>
      <c r="AB5" s="912" t="s">
        <v>460</v>
      </c>
      <c r="AC5" s="913" t="s">
        <v>461</v>
      </c>
      <c r="AD5" s="1989"/>
    </row>
    <row r="6" spans="1:30" ht="40.5" customHeight="1">
      <c r="A6" s="981"/>
      <c r="B6" s="1933" t="str">
        <f>"BAS "&amp;År-2000&amp;""</f>
        <v>BAS 25</v>
      </c>
      <c r="C6" s="1217"/>
      <c r="D6" s="1387" t="s">
        <v>748</v>
      </c>
      <c r="E6" s="1388" t="s">
        <v>749</v>
      </c>
      <c r="F6" s="1388" t="s">
        <v>750</v>
      </c>
      <c r="G6" s="1388" t="s">
        <v>751</v>
      </c>
      <c r="H6" s="1388" t="s">
        <v>752</v>
      </c>
      <c r="I6" s="1388" t="s">
        <v>753</v>
      </c>
      <c r="J6" s="1388" t="s">
        <v>754</v>
      </c>
      <c r="K6" s="1388" t="s">
        <v>755</v>
      </c>
      <c r="L6" s="1388" t="s">
        <v>756</v>
      </c>
      <c r="M6" s="914"/>
      <c r="N6" s="1219"/>
      <c r="O6" s="1387" t="s">
        <v>748</v>
      </c>
      <c r="P6" s="1388" t="s">
        <v>749</v>
      </c>
      <c r="Q6" s="1388" t="s">
        <v>750</v>
      </c>
      <c r="R6" s="1388" t="s">
        <v>751</v>
      </c>
      <c r="S6" s="1388" t="s">
        <v>752</v>
      </c>
      <c r="T6" s="1388" t="s">
        <v>755</v>
      </c>
      <c r="U6" s="1388" t="s">
        <v>753</v>
      </c>
      <c r="V6" s="1388" t="s">
        <v>754</v>
      </c>
      <c r="W6" s="1388" t="s">
        <v>756</v>
      </c>
      <c r="X6" s="914"/>
      <c r="Y6" s="1849" t="s">
        <v>1011</v>
      </c>
      <c r="Z6" s="1391" t="s">
        <v>757</v>
      </c>
      <c r="AA6" s="1388" t="s">
        <v>758</v>
      </c>
      <c r="AB6" s="1388" t="s">
        <v>131</v>
      </c>
      <c r="AC6" s="2219" t="s">
        <v>1093</v>
      </c>
      <c r="AD6" s="1989"/>
    </row>
    <row r="7" spans="1:30" ht="4.5" customHeight="1">
      <c r="A7" s="919"/>
      <c r="B7" s="1389"/>
      <c r="C7" s="1390"/>
      <c r="D7" s="1382"/>
      <c r="E7" s="1383"/>
      <c r="F7" s="1383"/>
      <c r="G7" s="1383"/>
      <c r="H7" s="1383"/>
      <c r="I7" s="1383"/>
      <c r="J7" s="1383"/>
      <c r="K7" s="1383"/>
      <c r="L7" s="471"/>
      <c r="M7" s="914"/>
      <c r="N7" s="1381"/>
      <c r="O7" s="1382"/>
      <c r="P7" s="1383"/>
      <c r="Q7" s="1383"/>
      <c r="R7" s="1383"/>
      <c r="S7" s="1383"/>
      <c r="T7" s="1383"/>
      <c r="U7" s="1384"/>
      <c r="V7" s="1383"/>
      <c r="W7" s="471"/>
      <c r="X7" s="914"/>
      <c r="Y7" s="1392"/>
      <c r="Z7" s="2214"/>
      <c r="AA7" s="2215"/>
      <c r="AB7" s="1393"/>
      <c r="AC7" s="1394"/>
      <c r="AD7" s="1989"/>
    </row>
    <row r="8" spans="1:30" ht="12" hidden="1" customHeight="1">
      <c r="A8" s="918"/>
      <c r="B8" s="1385"/>
      <c r="C8" s="1386"/>
      <c r="D8" s="1372"/>
      <c r="E8" s="1373"/>
      <c r="F8" s="1373"/>
      <c r="G8" s="1373"/>
      <c r="H8" s="1373"/>
      <c r="I8" s="1373"/>
      <c r="J8" s="1373"/>
      <c r="K8" s="1373"/>
      <c r="L8" s="1374"/>
      <c r="M8" s="915"/>
      <c r="N8" s="1375"/>
      <c r="O8" s="1372"/>
      <c r="P8" s="1373"/>
      <c r="Q8" s="1373"/>
      <c r="R8" s="1373"/>
      <c r="S8" s="1373"/>
      <c r="T8" s="1373"/>
      <c r="U8" s="1376"/>
      <c r="V8" s="1373"/>
      <c r="W8" s="1374"/>
      <c r="X8" s="915"/>
      <c r="Y8" s="1377"/>
      <c r="Z8" s="1378"/>
      <c r="AA8" s="1378"/>
      <c r="AB8" s="1379"/>
      <c r="AC8" s="1380"/>
      <c r="AD8" s="1989"/>
    </row>
    <row r="9" spans="1:30" ht="14.25" customHeight="1">
      <c r="A9" s="1323">
        <v>190</v>
      </c>
      <c r="B9" s="921" t="s">
        <v>15</v>
      </c>
      <c r="C9" s="71">
        <f>Drift!F17</f>
        <v>303.19800000000004</v>
      </c>
      <c r="D9" s="55">
        <v>1.649</v>
      </c>
      <c r="E9" s="55">
        <v>4.7329999999999997</v>
      </c>
      <c r="F9" s="55">
        <v>19.245000000000001</v>
      </c>
      <c r="G9" s="55">
        <v>258.18</v>
      </c>
      <c r="H9" s="55">
        <v>2.7679999999999998</v>
      </c>
      <c r="I9" s="55">
        <v>0.32900000000000001</v>
      </c>
      <c r="J9" s="1074">
        <v>0</v>
      </c>
      <c r="K9" s="161">
        <v>16.292999999999999</v>
      </c>
      <c r="L9" s="161">
        <v>0</v>
      </c>
      <c r="M9" s="358">
        <f>C9-SUM(D9:L9)</f>
        <v>1.0000000000331966E-3</v>
      </c>
      <c r="N9" s="359">
        <f>Drift!H17</f>
        <v>725.35699999999997</v>
      </c>
      <c r="O9" s="55">
        <v>583.51199999999994</v>
      </c>
      <c r="P9" s="55">
        <v>4.4640000000000004</v>
      </c>
      <c r="Q9" s="55">
        <v>51.167999999999999</v>
      </c>
      <c r="R9" s="55">
        <v>7.8520000000000003</v>
      </c>
      <c r="S9" s="55">
        <v>22.027000000000001</v>
      </c>
      <c r="T9" s="55">
        <v>45.106000000000002</v>
      </c>
      <c r="U9" s="55">
        <v>1.7150000000000001</v>
      </c>
      <c r="V9" s="55">
        <v>8.3089999999999993</v>
      </c>
      <c r="W9" s="55">
        <v>1.204</v>
      </c>
      <c r="X9" s="358">
        <f>N9-SUM(O9:W9)</f>
        <v>0</v>
      </c>
      <c r="Y9" s="360">
        <v>199.23400000000001</v>
      </c>
      <c r="Z9" s="55">
        <v>8.7999999999999995E-2</v>
      </c>
      <c r="AA9" s="55">
        <v>25.640999999999998</v>
      </c>
      <c r="AB9" s="55">
        <v>-5.0000000000000001E-3</v>
      </c>
      <c r="AC9" s="87">
        <v>41.768000000000001</v>
      </c>
      <c r="AD9" s="1989"/>
    </row>
    <row r="10" spans="1:30" ht="13.35" customHeight="1">
      <c r="A10" s="467" t="s">
        <v>221</v>
      </c>
      <c r="B10" s="473" t="s">
        <v>147</v>
      </c>
      <c r="C10" s="71">
        <f>Drift!F30</f>
        <v>13126.102000000001</v>
      </c>
      <c r="D10" s="44">
        <v>59.113</v>
      </c>
      <c r="E10" s="44">
        <v>2103.0889999999999</v>
      </c>
      <c r="F10" s="44">
        <v>5411.4129999999996</v>
      </c>
      <c r="G10" s="44">
        <v>642.91300000000001</v>
      </c>
      <c r="H10" s="44">
        <v>9.0839999999999996</v>
      </c>
      <c r="I10" s="44">
        <v>101.29300000000001</v>
      </c>
      <c r="J10" s="1068">
        <v>0</v>
      </c>
      <c r="K10" s="45">
        <v>4790.2070000000003</v>
      </c>
      <c r="L10" s="161">
        <v>8.9890000000000008</v>
      </c>
      <c r="M10" s="358">
        <f t="shared" ref="M10:M41" si="0">C10-SUM(D10:L10)</f>
        <v>1.0000000002037268E-3</v>
      </c>
      <c r="N10" s="359">
        <f>Drift!H30</f>
        <v>3320.2350000000001</v>
      </c>
      <c r="O10" s="44">
        <v>663.33900000000006</v>
      </c>
      <c r="P10" s="44">
        <v>543.47799999999995</v>
      </c>
      <c r="Q10" s="44">
        <v>501.89400000000001</v>
      </c>
      <c r="R10" s="44">
        <v>26.16</v>
      </c>
      <c r="S10" s="44">
        <v>14.664</v>
      </c>
      <c r="T10" s="44">
        <v>720.66499999999996</v>
      </c>
      <c r="U10" s="44">
        <v>804.45600000000002</v>
      </c>
      <c r="V10" s="44">
        <v>39.795000000000002</v>
      </c>
      <c r="W10" s="44">
        <v>5.7839999999999998</v>
      </c>
      <c r="X10" s="358">
        <f t="shared" ref="X10:X41" si="1">N10-SUM(O10:W10)</f>
        <v>0</v>
      </c>
      <c r="Y10" s="361">
        <v>559.96299999999997</v>
      </c>
      <c r="Z10" s="44">
        <v>10.91</v>
      </c>
      <c r="AA10" s="44">
        <v>2367.5700000000002</v>
      </c>
      <c r="AB10" s="44">
        <v>186.68</v>
      </c>
      <c r="AC10" s="155">
        <v>2178.04</v>
      </c>
      <c r="AD10" s="1989"/>
    </row>
    <row r="11" spans="1:30" ht="13.35" customHeight="1">
      <c r="A11" s="467">
        <v>339</v>
      </c>
      <c r="B11" s="473" t="s">
        <v>70</v>
      </c>
      <c r="C11" s="71">
        <f>Drift!F37</f>
        <v>293.798</v>
      </c>
      <c r="D11" s="55">
        <v>60.055999999999997</v>
      </c>
      <c r="E11" s="55">
        <v>75.004000000000005</v>
      </c>
      <c r="F11" s="55">
        <v>134.51300000000001</v>
      </c>
      <c r="G11" s="55">
        <v>6.7229999999999999</v>
      </c>
      <c r="H11" s="55">
        <v>0.89200000000000002</v>
      </c>
      <c r="I11" s="55">
        <v>0.78</v>
      </c>
      <c r="J11" s="1074">
        <v>0</v>
      </c>
      <c r="K11" s="161">
        <v>14.558999999999999</v>
      </c>
      <c r="L11" s="161">
        <v>1.27</v>
      </c>
      <c r="M11" s="358">
        <f t="shared" si="0"/>
        <v>1.0000000000331966E-3</v>
      </c>
      <c r="N11" s="359">
        <f>Drift!H37</f>
        <v>2105.2190000000001</v>
      </c>
      <c r="O11" s="55">
        <v>1288.55</v>
      </c>
      <c r="P11" s="55">
        <v>332.84399999999999</v>
      </c>
      <c r="Q11" s="55">
        <v>310.495</v>
      </c>
      <c r="R11" s="55">
        <v>1.8380000000000001</v>
      </c>
      <c r="S11" s="55">
        <v>52.756999999999998</v>
      </c>
      <c r="T11" s="55">
        <v>55.296999999999997</v>
      </c>
      <c r="U11" s="55">
        <v>23.027999999999999</v>
      </c>
      <c r="V11" s="55">
        <v>39.728999999999999</v>
      </c>
      <c r="W11" s="55">
        <v>0.67900000000000005</v>
      </c>
      <c r="X11" s="358">
        <f t="shared" si="1"/>
        <v>1.9999999999527063E-3</v>
      </c>
      <c r="Y11" s="360">
        <v>21.963999999999999</v>
      </c>
      <c r="Z11" s="55">
        <v>3.7669999999999999</v>
      </c>
      <c r="AA11" s="55">
        <v>493.58</v>
      </c>
      <c r="AB11" s="55">
        <v>14.63</v>
      </c>
      <c r="AC11" s="87">
        <v>424.80799999999999</v>
      </c>
      <c r="AD11" s="1989"/>
    </row>
    <row r="12" spans="1:30" ht="13.35" customHeight="1">
      <c r="A12" s="467">
        <v>359</v>
      </c>
      <c r="B12" s="473" t="s">
        <v>132</v>
      </c>
      <c r="C12" s="71">
        <f>Drift!F42</f>
        <v>906.18700000000013</v>
      </c>
      <c r="D12" s="55">
        <v>246.023</v>
      </c>
      <c r="E12" s="55">
        <v>269.11700000000002</v>
      </c>
      <c r="F12" s="55">
        <v>358.38299999999998</v>
      </c>
      <c r="G12" s="55">
        <v>29.495999999999999</v>
      </c>
      <c r="H12" s="55">
        <v>0.84699999999999998</v>
      </c>
      <c r="I12" s="55">
        <v>9.1999999999999998E-2</v>
      </c>
      <c r="J12" s="1074">
        <v>0</v>
      </c>
      <c r="K12" s="161">
        <v>1.9470000000000001</v>
      </c>
      <c r="L12" s="161">
        <v>0.28199999999999997</v>
      </c>
      <c r="M12" s="358">
        <f t="shared" si="0"/>
        <v>0</v>
      </c>
      <c r="N12" s="359">
        <f>Drift!H42</f>
        <v>2393.9829999999997</v>
      </c>
      <c r="O12" s="55">
        <v>2113.027</v>
      </c>
      <c r="P12" s="55">
        <v>101.586</v>
      </c>
      <c r="Q12" s="55">
        <v>152.708</v>
      </c>
      <c r="R12" s="55">
        <v>1.389</v>
      </c>
      <c r="S12" s="55">
        <v>0.45500000000000002</v>
      </c>
      <c r="T12" s="55">
        <v>0.92200000000000004</v>
      </c>
      <c r="U12" s="55">
        <v>10.881</v>
      </c>
      <c r="V12" s="55">
        <v>12.893000000000001</v>
      </c>
      <c r="W12" s="55">
        <v>0.123</v>
      </c>
      <c r="X12" s="358">
        <f t="shared" si="1"/>
        <v>-1.0000000002037268E-3</v>
      </c>
      <c r="Y12" s="360">
        <v>28.5</v>
      </c>
      <c r="Z12" s="55">
        <v>0.4</v>
      </c>
      <c r="AA12" s="55">
        <v>174.905</v>
      </c>
      <c r="AB12" s="55">
        <v>19.347000000000001</v>
      </c>
      <c r="AC12" s="87">
        <v>166.387</v>
      </c>
      <c r="AD12" s="1989"/>
    </row>
    <row r="13" spans="1:30" ht="13.35" customHeight="1">
      <c r="A13" s="467">
        <v>407</v>
      </c>
      <c r="B13" s="473" t="s">
        <v>79</v>
      </c>
      <c r="C13" s="71">
        <f>Drift!F47</f>
        <v>19831.472000000002</v>
      </c>
      <c r="D13" s="44">
        <v>4700.7340000000004</v>
      </c>
      <c r="E13" s="44">
        <v>13.851000000000001</v>
      </c>
      <c r="F13" s="44">
        <v>14601.313</v>
      </c>
      <c r="G13" s="44">
        <v>467.21499999999997</v>
      </c>
      <c r="H13" s="44">
        <v>1.19</v>
      </c>
      <c r="I13" s="44">
        <v>46.465000000000003</v>
      </c>
      <c r="J13" s="1068">
        <v>0</v>
      </c>
      <c r="K13" s="45">
        <v>0.54800000000000004</v>
      </c>
      <c r="L13" s="161">
        <v>0.155</v>
      </c>
      <c r="M13" s="1103">
        <f>C13-SUM(D13:L13)</f>
        <v>1.0000000038417056E-3</v>
      </c>
      <c r="N13" s="359">
        <f>Drift!H47</f>
        <v>60.039000000000001</v>
      </c>
      <c r="O13" s="44">
        <v>7.3339999999999996</v>
      </c>
      <c r="P13" s="44">
        <v>0</v>
      </c>
      <c r="Q13" s="44">
        <v>48.018000000000001</v>
      </c>
      <c r="R13" s="44">
        <v>0.63800000000000001</v>
      </c>
      <c r="S13" s="44">
        <v>0.10199999999999999</v>
      </c>
      <c r="T13" s="44">
        <v>0.105</v>
      </c>
      <c r="U13" s="44">
        <v>0.41799999999999998</v>
      </c>
      <c r="V13" s="44">
        <v>3.4209999999999998</v>
      </c>
      <c r="W13" s="44">
        <v>3.0000000000000001E-3</v>
      </c>
      <c r="X13" s="358">
        <f t="shared" si="1"/>
        <v>0</v>
      </c>
      <c r="Y13" s="361">
        <v>461.95400000000001</v>
      </c>
      <c r="Z13" s="44">
        <v>5.593</v>
      </c>
      <c r="AA13" s="44">
        <v>4791.5600000000004</v>
      </c>
      <c r="AB13" s="44">
        <v>11.46</v>
      </c>
      <c r="AC13" s="87">
        <v>1194.1510000000001</v>
      </c>
      <c r="AD13" s="1989"/>
    </row>
    <row r="14" spans="1:30" ht="13.35" customHeight="1">
      <c r="A14" s="467">
        <v>412</v>
      </c>
      <c r="B14" s="473" t="s">
        <v>80</v>
      </c>
      <c r="C14" s="71">
        <f>Drift!F48</f>
        <v>496.976</v>
      </c>
      <c r="D14" s="44">
        <v>64.471000000000004</v>
      </c>
      <c r="E14" s="44">
        <v>1E-3</v>
      </c>
      <c r="F14" s="44">
        <v>428.26100000000002</v>
      </c>
      <c r="G14" s="44">
        <v>4.2329999999999997</v>
      </c>
      <c r="H14" s="44">
        <v>4.0000000000000001E-3</v>
      </c>
      <c r="I14" s="44">
        <v>2E-3</v>
      </c>
      <c r="J14" s="1068">
        <v>0</v>
      </c>
      <c r="K14" s="45">
        <v>4.0000000000000001E-3</v>
      </c>
      <c r="L14" s="161">
        <v>0</v>
      </c>
      <c r="M14" s="1103">
        <f t="shared" si="0"/>
        <v>0</v>
      </c>
      <c r="N14" s="359">
        <f>Drift!H48</f>
        <v>0.47299999999999998</v>
      </c>
      <c r="O14" s="44">
        <v>5.0000000000000001E-3</v>
      </c>
      <c r="P14" s="44">
        <v>0</v>
      </c>
      <c r="Q14" s="44">
        <v>0.436</v>
      </c>
      <c r="R14" s="44">
        <v>1E-3</v>
      </c>
      <c r="S14" s="44">
        <v>4.0000000000000001E-3</v>
      </c>
      <c r="T14" s="44">
        <v>0</v>
      </c>
      <c r="U14" s="44">
        <v>2.7E-2</v>
      </c>
      <c r="V14" s="44">
        <v>0</v>
      </c>
      <c r="W14" s="44">
        <v>0</v>
      </c>
      <c r="X14" s="358">
        <f t="shared" si="1"/>
        <v>0</v>
      </c>
      <c r="Y14" s="361">
        <v>3.6030000000000002</v>
      </c>
      <c r="Z14" s="44">
        <v>0</v>
      </c>
      <c r="AA14" s="44">
        <v>18.585000000000001</v>
      </c>
      <c r="AB14" s="44">
        <v>1.7000000000000001E-2</v>
      </c>
      <c r="AC14" s="87">
        <v>24.01</v>
      </c>
      <c r="AD14" s="1989"/>
    </row>
    <row r="15" spans="1:30" ht="13.35" customHeight="1">
      <c r="A15" s="467">
        <v>425</v>
      </c>
      <c r="B15" s="473" t="s">
        <v>82</v>
      </c>
      <c r="C15" s="71">
        <f>Drift!F50</f>
        <v>3098.0360000000001</v>
      </c>
      <c r="D15" s="44">
        <v>748.94399999999996</v>
      </c>
      <c r="E15" s="44">
        <v>0.316</v>
      </c>
      <c r="F15" s="44">
        <v>2103.1489999999999</v>
      </c>
      <c r="G15" s="44">
        <v>175.078</v>
      </c>
      <c r="H15" s="44">
        <v>0.40500000000000003</v>
      </c>
      <c r="I15" s="44">
        <v>69.5</v>
      </c>
      <c r="J15" s="1068">
        <v>0</v>
      </c>
      <c r="K15" s="45">
        <v>0.63900000000000001</v>
      </c>
      <c r="L15" s="161">
        <v>4.0000000000000001E-3</v>
      </c>
      <c r="M15" s="1103">
        <f>C15-SUM(D15:L15)</f>
        <v>1.0000000002037268E-3</v>
      </c>
      <c r="N15" s="359">
        <f>Drift!H50</f>
        <v>4.1420000000000003</v>
      </c>
      <c r="O15" s="44">
        <v>0.25700000000000001</v>
      </c>
      <c r="P15" s="44">
        <v>1.6659999999999999</v>
      </c>
      <c r="Q15" s="44">
        <v>3.4</v>
      </c>
      <c r="R15" s="44">
        <v>-1.96</v>
      </c>
      <c r="S15" s="44">
        <v>2.1000000000000001E-2</v>
      </c>
      <c r="T15" s="44">
        <v>2.5000000000000001E-2</v>
      </c>
      <c r="U15" s="44">
        <v>0.45</v>
      </c>
      <c r="V15" s="44">
        <v>0.28199999999999997</v>
      </c>
      <c r="W15" s="44">
        <v>0</v>
      </c>
      <c r="X15" s="358">
        <f t="shared" si="1"/>
        <v>1.000000000000334E-3</v>
      </c>
      <c r="Y15" s="361">
        <v>177.51400000000001</v>
      </c>
      <c r="Z15" s="44">
        <v>7.8E-2</v>
      </c>
      <c r="AA15" s="44">
        <v>608.65200000000004</v>
      </c>
      <c r="AB15" s="44">
        <v>2.4529999999999998</v>
      </c>
      <c r="AC15" s="87">
        <v>176.19300000000001</v>
      </c>
      <c r="AD15" s="1989"/>
    </row>
    <row r="16" spans="1:30" ht="20.25" customHeight="1">
      <c r="A16" s="467">
        <v>419</v>
      </c>
      <c r="B16" s="473" t="s">
        <v>153</v>
      </c>
      <c r="C16" s="71">
        <f>SUM(Drift!F46,Drift!F49)</f>
        <v>104.023</v>
      </c>
      <c r="D16" s="44">
        <v>49.08</v>
      </c>
      <c r="E16" s="44">
        <v>0</v>
      </c>
      <c r="F16" s="44">
        <v>51.298000000000002</v>
      </c>
      <c r="G16" s="44">
        <v>3.278</v>
      </c>
      <c r="H16" s="44">
        <v>0.23699999999999999</v>
      </c>
      <c r="I16" s="44">
        <v>0.11700000000000001</v>
      </c>
      <c r="J16" s="1068">
        <v>0</v>
      </c>
      <c r="K16" s="45">
        <v>1.2E-2</v>
      </c>
      <c r="L16" s="161">
        <v>1E-3</v>
      </c>
      <c r="M16" s="1103">
        <f t="shared" si="0"/>
        <v>0</v>
      </c>
      <c r="N16" s="359">
        <f>SUM(Drift!H46,Drift!H49)</f>
        <v>2.0219999999999998</v>
      </c>
      <c r="O16" s="44">
        <v>1.97</v>
      </c>
      <c r="P16" s="44">
        <v>0</v>
      </c>
      <c r="Q16" s="44">
        <v>0.02</v>
      </c>
      <c r="R16" s="44">
        <v>0</v>
      </c>
      <c r="S16" s="44">
        <v>6.0000000000000001E-3</v>
      </c>
      <c r="T16" s="44">
        <v>2E-3</v>
      </c>
      <c r="U16" s="44">
        <v>1E-3</v>
      </c>
      <c r="V16" s="44">
        <v>2.3E-2</v>
      </c>
      <c r="W16" s="44">
        <v>0</v>
      </c>
      <c r="X16" s="358">
        <f t="shared" si="1"/>
        <v>0</v>
      </c>
      <c r="Y16" s="361">
        <v>3.27</v>
      </c>
      <c r="Z16" s="44">
        <v>2.0489999999999999</v>
      </c>
      <c r="AA16" s="44">
        <v>17.45</v>
      </c>
      <c r="AB16" s="44">
        <v>6.8000000000000005E-2</v>
      </c>
      <c r="AC16" s="87">
        <v>8.3829999999999991</v>
      </c>
      <c r="AD16" s="1989"/>
    </row>
    <row r="17" spans="1:30" ht="13.35" customHeight="1">
      <c r="A17" s="467">
        <v>435</v>
      </c>
      <c r="B17" s="473" t="s">
        <v>466</v>
      </c>
      <c r="C17" s="71">
        <f>Drift!F53</f>
        <v>1424.578</v>
      </c>
      <c r="D17" s="44">
        <v>376.71100000000001</v>
      </c>
      <c r="E17" s="44">
        <v>0.112</v>
      </c>
      <c r="F17" s="44">
        <v>969.36800000000005</v>
      </c>
      <c r="G17" s="44">
        <v>61.731000000000002</v>
      </c>
      <c r="H17" s="44">
        <v>0.48799999999999999</v>
      </c>
      <c r="I17" s="44">
        <v>15.728</v>
      </c>
      <c r="J17" s="1068">
        <v>0</v>
      </c>
      <c r="K17" s="45">
        <v>0.26700000000000002</v>
      </c>
      <c r="L17" s="161">
        <v>0.17299999999999999</v>
      </c>
      <c r="M17" s="1103">
        <f t="shared" si="0"/>
        <v>0</v>
      </c>
      <c r="N17" s="359">
        <f>Drift!H53</f>
        <v>1.2829999999999999</v>
      </c>
      <c r="O17" s="44">
        <v>0.33300000000000002</v>
      </c>
      <c r="P17" s="44">
        <v>5.0000000000000001E-3</v>
      </c>
      <c r="Q17" s="44">
        <v>0.42499999999999999</v>
      </c>
      <c r="R17" s="44">
        <v>3.6999999999999998E-2</v>
      </c>
      <c r="S17" s="44">
        <v>1.2999999999999999E-2</v>
      </c>
      <c r="T17" s="44">
        <v>8.0000000000000002E-3</v>
      </c>
      <c r="U17" s="44">
        <v>0.29699999999999999</v>
      </c>
      <c r="V17" s="44">
        <v>0.16400000000000001</v>
      </c>
      <c r="W17" s="44">
        <v>0</v>
      </c>
      <c r="X17" s="358">
        <f t="shared" si="1"/>
        <v>9.9999999999988987E-4</v>
      </c>
      <c r="Y17" s="361">
        <v>62.915999999999997</v>
      </c>
      <c r="Z17" s="44">
        <v>2.1000000000000001E-2</v>
      </c>
      <c r="AA17" s="44">
        <v>427.76900000000001</v>
      </c>
      <c r="AB17" s="44">
        <v>1.1359999999999999</v>
      </c>
      <c r="AC17" s="87">
        <v>82.4</v>
      </c>
      <c r="AD17" s="1989"/>
    </row>
    <row r="18" spans="1:30" ht="13.35" customHeight="1">
      <c r="A18" s="467">
        <v>440</v>
      </c>
      <c r="B18" s="473" t="s">
        <v>364</v>
      </c>
      <c r="C18" s="71">
        <f>Drift!F54</f>
        <v>24794.425999999999</v>
      </c>
      <c r="D18" s="44">
        <v>4951.665</v>
      </c>
      <c r="E18" s="44">
        <v>10</v>
      </c>
      <c r="F18" s="44">
        <v>17696.309000000001</v>
      </c>
      <c r="G18" s="44">
        <v>1655.7070000000001</v>
      </c>
      <c r="H18" s="44">
        <v>14.071999999999999</v>
      </c>
      <c r="I18" s="44">
        <v>454.37599999999998</v>
      </c>
      <c r="J18" s="1068">
        <v>0</v>
      </c>
      <c r="K18" s="45">
        <v>8.9570000000000007</v>
      </c>
      <c r="L18" s="161">
        <v>3.34</v>
      </c>
      <c r="M18" s="1103">
        <f t="shared" si="0"/>
        <v>0</v>
      </c>
      <c r="N18" s="359">
        <f>Drift!H54</f>
        <v>55.231000000000002</v>
      </c>
      <c r="O18" s="44">
        <v>12.156000000000001</v>
      </c>
      <c r="P18" s="44">
        <v>5.0430000000000001</v>
      </c>
      <c r="Q18" s="44">
        <v>11.457000000000001</v>
      </c>
      <c r="R18" s="44">
        <v>2.1440000000000001</v>
      </c>
      <c r="S18" s="44">
        <v>5.6150000000000002</v>
      </c>
      <c r="T18" s="44">
        <v>0.99</v>
      </c>
      <c r="U18" s="44">
        <v>8.2720000000000002</v>
      </c>
      <c r="V18" s="44">
        <v>8.6059999999999999</v>
      </c>
      <c r="W18" s="44">
        <v>0.94799999999999995</v>
      </c>
      <c r="X18" s="358">
        <f t="shared" si="1"/>
        <v>0</v>
      </c>
      <c r="Y18" s="361">
        <v>1661.0050000000001</v>
      </c>
      <c r="Z18" s="44">
        <v>2.5489999999999999</v>
      </c>
      <c r="AA18" s="44">
        <v>13146.844999999999</v>
      </c>
      <c r="AB18" s="44">
        <v>55.753</v>
      </c>
      <c r="AC18" s="87">
        <v>1522.0050000000001</v>
      </c>
      <c r="AD18" s="1989"/>
    </row>
    <row r="19" spans="1:30" ht="13.35" customHeight="1">
      <c r="A19" s="467">
        <v>443</v>
      </c>
      <c r="B19" s="2031" t="s">
        <v>1179</v>
      </c>
      <c r="C19" s="71">
        <f>Drift!F55</f>
        <v>758.72900000000004</v>
      </c>
      <c r="D19" s="44">
        <v>97.622</v>
      </c>
      <c r="E19" s="44">
        <v>7.5999999999999998E-2</v>
      </c>
      <c r="F19" s="44">
        <v>334.90600000000001</v>
      </c>
      <c r="G19" s="44">
        <v>308.00700000000001</v>
      </c>
      <c r="H19" s="44">
        <v>3.7130000000000001</v>
      </c>
      <c r="I19" s="44">
        <v>13.768000000000001</v>
      </c>
      <c r="J19" s="1068">
        <v>0</v>
      </c>
      <c r="K19" s="45">
        <v>0.63500000000000001</v>
      </c>
      <c r="L19" s="161">
        <v>2E-3</v>
      </c>
      <c r="M19" s="1103">
        <f t="shared" si="0"/>
        <v>0</v>
      </c>
      <c r="N19" s="359">
        <f>Drift!H55</f>
        <v>0.78700000000000003</v>
      </c>
      <c r="O19" s="44">
        <v>5.0999999999999997E-2</v>
      </c>
      <c r="P19" s="44">
        <v>6.0000000000000001E-3</v>
      </c>
      <c r="Q19" s="44">
        <v>4.7E-2</v>
      </c>
      <c r="R19" s="44">
        <v>9.9000000000000005E-2</v>
      </c>
      <c r="S19" s="44">
        <v>1.7999999999999999E-2</v>
      </c>
      <c r="T19" s="44">
        <v>1E-3</v>
      </c>
      <c r="U19" s="44">
        <v>0.30399999999999999</v>
      </c>
      <c r="V19" s="44">
        <v>0.26</v>
      </c>
      <c r="W19" s="44">
        <v>0</v>
      </c>
      <c r="X19" s="358">
        <f t="shared" si="1"/>
        <v>1.0000000000000009E-3</v>
      </c>
      <c r="Y19" s="361">
        <v>310.75799999999998</v>
      </c>
      <c r="Z19" s="44">
        <v>8.0000000000000002E-3</v>
      </c>
      <c r="AA19" s="44">
        <v>195.767</v>
      </c>
      <c r="AB19" s="44">
        <v>0.56100000000000005</v>
      </c>
      <c r="AC19" s="87">
        <v>30.091000000000001</v>
      </c>
      <c r="AD19" s="1989"/>
    </row>
    <row r="20" spans="1:30" ht="13.35" customHeight="1">
      <c r="A20" s="467">
        <v>450</v>
      </c>
      <c r="B20" s="473" t="s">
        <v>133</v>
      </c>
      <c r="C20" s="71">
        <f>Drift!F56</f>
        <v>27743.892</v>
      </c>
      <c r="D20" s="44">
        <v>1534.8920000000001</v>
      </c>
      <c r="E20" s="44">
        <v>26.966999999999999</v>
      </c>
      <c r="F20" s="44">
        <v>13543.797</v>
      </c>
      <c r="G20" s="44">
        <v>8735.3060000000005</v>
      </c>
      <c r="H20" s="44">
        <v>512.22500000000002</v>
      </c>
      <c r="I20" s="44">
        <v>147.89099999999999</v>
      </c>
      <c r="J20" s="1068">
        <v>0</v>
      </c>
      <c r="K20" s="45">
        <v>3223.58</v>
      </c>
      <c r="L20" s="161">
        <v>19.234000000000002</v>
      </c>
      <c r="M20" s="1103">
        <f t="shared" si="0"/>
        <v>0</v>
      </c>
      <c r="N20" s="359">
        <f>Drift!H56</f>
        <v>285.55700000000002</v>
      </c>
      <c r="O20" s="44">
        <v>5.444</v>
      </c>
      <c r="P20" s="44">
        <v>1.036</v>
      </c>
      <c r="Q20" s="44">
        <v>58.883000000000003</v>
      </c>
      <c r="R20" s="44">
        <v>3.6179999999999999</v>
      </c>
      <c r="S20" s="44">
        <v>0.47299999999999998</v>
      </c>
      <c r="T20" s="44">
        <v>0.55300000000000005</v>
      </c>
      <c r="U20" s="44">
        <v>2.64</v>
      </c>
      <c r="V20" s="44">
        <v>212.73599999999999</v>
      </c>
      <c r="W20" s="44">
        <v>0.17399999999999999</v>
      </c>
      <c r="X20" s="358">
        <f t="shared" si="1"/>
        <v>0</v>
      </c>
      <c r="Y20" s="361">
        <v>8843.3539999999994</v>
      </c>
      <c r="Z20" s="44">
        <v>7.0350000000000001</v>
      </c>
      <c r="AA20" s="44">
        <v>1681.4690000000001</v>
      </c>
      <c r="AB20" s="44">
        <v>101.59699999999999</v>
      </c>
      <c r="AC20" s="87">
        <v>1034.2840000000001</v>
      </c>
      <c r="AD20" s="1989"/>
    </row>
    <row r="21" spans="1:30" ht="13.35" customHeight="1">
      <c r="A21" s="467">
        <v>453</v>
      </c>
      <c r="B21" s="2031" t="s">
        <v>1180</v>
      </c>
      <c r="C21" s="71">
        <f>Drift!F57</f>
        <v>1486.3979999999999</v>
      </c>
      <c r="D21" s="44">
        <v>69.903999999999996</v>
      </c>
      <c r="E21" s="44">
        <v>0.02</v>
      </c>
      <c r="F21" s="44">
        <v>278.84800000000001</v>
      </c>
      <c r="G21" s="44">
        <v>812.697</v>
      </c>
      <c r="H21" s="44">
        <v>58.637999999999998</v>
      </c>
      <c r="I21" s="44">
        <v>2.3180000000000001</v>
      </c>
      <c r="J21" s="1068">
        <v>0</v>
      </c>
      <c r="K21" s="45">
        <v>263.86599999999999</v>
      </c>
      <c r="L21" s="161">
        <v>0.107</v>
      </c>
      <c r="M21" s="1103">
        <f t="shared" si="0"/>
        <v>0</v>
      </c>
      <c r="N21" s="359">
        <f>Drift!H57</f>
        <v>3.8450000000000002</v>
      </c>
      <c r="O21" s="44">
        <v>0.29599999999999999</v>
      </c>
      <c r="P21" s="44">
        <v>1.7999999999999999E-2</v>
      </c>
      <c r="Q21" s="44">
        <v>0.55900000000000005</v>
      </c>
      <c r="R21" s="44">
        <v>1.9E-2</v>
      </c>
      <c r="S21" s="44">
        <v>1.3140000000000001</v>
      </c>
      <c r="T21" s="44">
        <v>0</v>
      </c>
      <c r="U21" s="44">
        <v>1.2E-2</v>
      </c>
      <c r="V21" s="44">
        <v>1.6259999999999999</v>
      </c>
      <c r="W21" s="44">
        <v>0</v>
      </c>
      <c r="X21" s="358">
        <f t="shared" si="1"/>
        <v>1.000000000000334E-3</v>
      </c>
      <c r="Y21" s="361">
        <v>857.38</v>
      </c>
      <c r="Z21" s="44">
        <v>4.0000000000000001E-3</v>
      </c>
      <c r="AA21" s="44">
        <v>105.82899999999999</v>
      </c>
      <c r="AB21" s="44">
        <v>0.95199999999999996</v>
      </c>
      <c r="AC21" s="87">
        <v>24.626999999999999</v>
      </c>
      <c r="AD21" s="1989"/>
    </row>
    <row r="22" spans="1:30" ht="13.35" customHeight="1">
      <c r="A22" s="467" t="s">
        <v>473</v>
      </c>
      <c r="B22" s="473" t="s">
        <v>365</v>
      </c>
      <c r="C22" s="71">
        <f>Drift!F60</f>
        <v>379.30900000000003</v>
      </c>
      <c r="D22" s="44">
        <v>32.375</v>
      </c>
      <c r="E22" s="44">
        <v>1.613</v>
      </c>
      <c r="F22" s="44">
        <v>213.33799999999999</v>
      </c>
      <c r="G22" s="44">
        <v>69.087999999999994</v>
      </c>
      <c r="H22" s="44">
        <v>0.54900000000000004</v>
      </c>
      <c r="I22" s="44">
        <v>0.218</v>
      </c>
      <c r="J22" s="1068">
        <v>0</v>
      </c>
      <c r="K22" s="45">
        <v>62.11</v>
      </c>
      <c r="L22" s="161">
        <v>1.7999999999999999E-2</v>
      </c>
      <c r="M22" s="1103">
        <f t="shared" si="0"/>
        <v>0</v>
      </c>
      <c r="N22" s="359">
        <f>Drift!H60</f>
        <v>2.137</v>
      </c>
      <c r="O22" s="44">
        <v>0.63300000000000001</v>
      </c>
      <c r="P22" s="44">
        <v>0</v>
      </c>
      <c r="Q22" s="44">
        <v>0.18099999999999999</v>
      </c>
      <c r="R22" s="44">
        <v>0.223</v>
      </c>
      <c r="S22" s="44">
        <v>2.4E-2</v>
      </c>
      <c r="T22" s="44">
        <v>0.81799999999999995</v>
      </c>
      <c r="U22" s="44">
        <v>0.11899999999999999</v>
      </c>
      <c r="V22" s="44">
        <v>0.128</v>
      </c>
      <c r="W22" s="44">
        <v>1.2E-2</v>
      </c>
      <c r="X22" s="358">
        <f t="shared" si="1"/>
        <v>-9.9999999999988987E-4</v>
      </c>
      <c r="Y22" s="361">
        <v>63.86</v>
      </c>
      <c r="Z22" s="44">
        <v>0</v>
      </c>
      <c r="AA22" s="44">
        <v>65.956999999999994</v>
      </c>
      <c r="AB22" s="44">
        <v>3.3170000000000002</v>
      </c>
      <c r="AC22" s="87">
        <v>33.482999999999997</v>
      </c>
      <c r="AD22" s="1989"/>
    </row>
    <row r="23" spans="1:30" ht="13.35" customHeight="1">
      <c r="A23" s="467" t="s">
        <v>474</v>
      </c>
      <c r="B23" s="473" t="s">
        <v>366</v>
      </c>
      <c r="C23" s="71">
        <f>Drift!F61</f>
        <v>2285.0509999999999</v>
      </c>
      <c r="D23" s="44">
        <v>53.185000000000002</v>
      </c>
      <c r="E23" s="44">
        <v>10.769</v>
      </c>
      <c r="F23" s="44">
        <v>1496.5889999999999</v>
      </c>
      <c r="G23" s="44">
        <v>502.78399999999999</v>
      </c>
      <c r="H23" s="44">
        <v>17.446000000000002</v>
      </c>
      <c r="I23" s="44">
        <v>4.9859999999999998</v>
      </c>
      <c r="J23" s="1068">
        <v>0</v>
      </c>
      <c r="K23" s="45">
        <v>199.29300000000001</v>
      </c>
      <c r="L23" s="161">
        <v>0</v>
      </c>
      <c r="M23" s="1103">
        <f t="shared" si="0"/>
        <v>-9.9999999974897946E-4</v>
      </c>
      <c r="N23" s="359">
        <f>Drift!H61</f>
        <v>24.039000000000001</v>
      </c>
      <c r="O23" s="44">
        <v>0.94599999999999995</v>
      </c>
      <c r="P23" s="44">
        <v>0.35399999999999998</v>
      </c>
      <c r="Q23" s="44">
        <v>6.0330000000000004</v>
      </c>
      <c r="R23" s="44">
        <v>14.01</v>
      </c>
      <c r="S23" s="44">
        <v>0.25900000000000001</v>
      </c>
      <c r="T23" s="44">
        <v>0.92500000000000004</v>
      </c>
      <c r="U23" s="44">
        <v>0.77900000000000003</v>
      </c>
      <c r="V23" s="44">
        <v>0.71</v>
      </c>
      <c r="W23" s="44">
        <v>2.3E-2</v>
      </c>
      <c r="X23" s="358">
        <f>N23-SUM(O23:W23)</f>
        <v>0</v>
      </c>
      <c r="Y23" s="361">
        <v>476.92399999999998</v>
      </c>
      <c r="Z23" s="44">
        <v>0.06</v>
      </c>
      <c r="AA23" s="44">
        <v>2294.7350000000001</v>
      </c>
      <c r="AB23" s="44">
        <v>37.859000000000002</v>
      </c>
      <c r="AC23" s="87">
        <v>265.322</v>
      </c>
      <c r="AD23" s="1989"/>
    </row>
    <row r="24" spans="1:30" ht="13.35" customHeight="1">
      <c r="A24" s="2218">
        <v>476</v>
      </c>
      <c r="B24" s="2031" t="s">
        <v>92</v>
      </c>
      <c r="C24" s="71">
        <f>Drift!F62</f>
        <v>811.23800000000006</v>
      </c>
      <c r="D24" s="44">
        <v>238.27</v>
      </c>
      <c r="E24" s="44">
        <v>4.5190000000000001</v>
      </c>
      <c r="F24" s="44">
        <v>315.95699999999999</v>
      </c>
      <c r="G24" s="44">
        <v>88.739000000000004</v>
      </c>
      <c r="H24" s="44">
        <v>3.11</v>
      </c>
      <c r="I24" s="44">
        <v>0.49099999999999999</v>
      </c>
      <c r="J24" s="1068">
        <v>0</v>
      </c>
      <c r="K24" s="45">
        <v>160.15199999999999</v>
      </c>
      <c r="L24" s="161">
        <v>0</v>
      </c>
      <c r="M24" s="1103">
        <f t="shared" si="0"/>
        <v>0</v>
      </c>
      <c r="N24" s="359">
        <f>Drift!H62</f>
        <v>2.0070000000000001</v>
      </c>
      <c r="O24" s="44">
        <v>0.56499999999999995</v>
      </c>
      <c r="P24" s="44">
        <v>0</v>
      </c>
      <c r="Q24" s="44">
        <v>0.375</v>
      </c>
      <c r="R24" s="44">
        <v>0.30099999999999999</v>
      </c>
      <c r="S24" s="44">
        <v>3.0000000000000001E-3</v>
      </c>
      <c r="T24" s="44">
        <v>0.30199999999999999</v>
      </c>
      <c r="U24" s="44">
        <v>0.27800000000000002</v>
      </c>
      <c r="V24" s="44">
        <v>0.16200000000000001</v>
      </c>
      <c r="W24" s="44">
        <v>0.02</v>
      </c>
      <c r="X24" s="358">
        <f>N24-SUM(O24:W24)</f>
        <v>1.000000000000334E-3</v>
      </c>
      <c r="Y24" s="360">
        <v>79.085999999999999</v>
      </c>
      <c r="Z24" s="44">
        <v>0</v>
      </c>
      <c r="AA24" s="44">
        <v>531.21299999999997</v>
      </c>
      <c r="AB24" s="44">
        <v>26.219000000000001</v>
      </c>
      <c r="AC24" s="87">
        <v>51.307000000000002</v>
      </c>
      <c r="AD24" s="1989"/>
    </row>
    <row r="25" spans="1:30" ht="13.35" customHeight="1">
      <c r="A25" s="467">
        <v>474</v>
      </c>
      <c r="B25" s="473" t="s">
        <v>1186</v>
      </c>
      <c r="C25" s="71">
        <f>Drift!F64</f>
        <v>37.902000000000001</v>
      </c>
      <c r="D25" s="44">
        <v>2.528</v>
      </c>
      <c r="E25" s="44">
        <v>3.5000000000000003E-2</v>
      </c>
      <c r="F25" s="44">
        <v>0.86899999999999999</v>
      </c>
      <c r="G25" s="44">
        <v>14.896000000000001</v>
      </c>
      <c r="H25" s="44">
        <v>2.1000000000000001E-2</v>
      </c>
      <c r="I25" s="44">
        <v>5.0000000000000001E-3</v>
      </c>
      <c r="J25" s="1068">
        <v>0</v>
      </c>
      <c r="K25" s="45">
        <v>19.547999999999998</v>
      </c>
      <c r="L25" s="161">
        <v>0</v>
      </c>
      <c r="M25" s="358">
        <f t="shared" si="0"/>
        <v>0</v>
      </c>
      <c r="N25" s="359">
        <f>Drift!H64</f>
        <v>0.52</v>
      </c>
      <c r="O25" s="44">
        <v>0.20899999999999999</v>
      </c>
      <c r="P25" s="44">
        <v>0</v>
      </c>
      <c r="Q25" s="44">
        <v>0.123</v>
      </c>
      <c r="R25" s="44">
        <v>5.8999999999999997E-2</v>
      </c>
      <c r="S25" s="44">
        <v>1.7999999999999999E-2</v>
      </c>
      <c r="T25" s="44">
        <v>1.6E-2</v>
      </c>
      <c r="U25" s="44">
        <v>6.8000000000000005E-2</v>
      </c>
      <c r="V25" s="44">
        <v>2.5000000000000001E-2</v>
      </c>
      <c r="W25" s="44">
        <v>2E-3</v>
      </c>
      <c r="X25" s="358">
        <f t="shared" si="1"/>
        <v>0</v>
      </c>
      <c r="Y25" s="360">
        <v>20.556999999999999</v>
      </c>
      <c r="Z25" s="44">
        <v>0</v>
      </c>
      <c r="AA25" s="44">
        <v>14.686999999999999</v>
      </c>
      <c r="AB25" s="44">
        <v>1.2310000000000001</v>
      </c>
      <c r="AC25" s="87">
        <v>1.8540000000000001</v>
      </c>
      <c r="AD25" s="1989"/>
    </row>
    <row r="26" spans="1:30" ht="13.35" customHeight="1">
      <c r="A26" s="2218">
        <v>475</v>
      </c>
      <c r="B26" s="2031" t="s">
        <v>87</v>
      </c>
      <c r="C26" s="71">
        <f>Drift!F65</f>
        <v>129.99299999999999</v>
      </c>
      <c r="D26" s="44">
        <v>4.9470000000000001</v>
      </c>
      <c r="E26" s="44">
        <v>3.1160000000000001</v>
      </c>
      <c r="F26" s="44">
        <v>99.95</v>
      </c>
      <c r="G26" s="44">
        <v>7.5640000000000001</v>
      </c>
      <c r="H26" s="44">
        <v>1.6830000000000001</v>
      </c>
      <c r="I26" s="44">
        <v>1.4350000000000001</v>
      </c>
      <c r="J26" s="1068">
        <v>0</v>
      </c>
      <c r="K26" s="45">
        <v>11.278</v>
      </c>
      <c r="L26" s="161">
        <v>2.1000000000000001E-2</v>
      </c>
      <c r="M26" s="358">
        <f t="shared" si="0"/>
        <v>-1.0000000000047748E-3</v>
      </c>
      <c r="N26" s="359">
        <f>Drift!H65</f>
        <v>83.888000000000005</v>
      </c>
      <c r="O26" s="44">
        <v>26.248000000000001</v>
      </c>
      <c r="P26" s="44">
        <v>6.524</v>
      </c>
      <c r="Q26" s="44">
        <v>5.8230000000000004</v>
      </c>
      <c r="R26" s="44">
        <v>0.76400000000000001</v>
      </c>
      <c r="S26" s="44">
        <v>0.51800000000000002</v>
      </c>
      <c r="T26" s="44">
        <v>6.9180000000000001</v>
      </c>
      <c r="U26" s="44">
        <v>35.485999999999997</v>
      </c>
      <c r="V26" s="44">
        <v>1.33</v>
      </c>
      <c r="W26" s="44">
        <v>0.27600000000000002</v>
      </c>
      <c r="X26" s="358">
        <f>N26-SUM(O26:W26)</f>
        <v>1.0000000000047748E-3</v>
      </c>
      <c r="Y26" s="360">
        <v>10.314</v>
      </c>
      <c r="Z26" s="44">
        <v>5.0000000000000001E-3</v>
      </c>
      <c r="AA26" s="44">
        <v>769.44200000000001</v>
      </c>
      <c r="AB26" s="44">
        <v>14.926</v>
      </c>
      <c r="AC26" s="87">
        <v>21.779</v>
      </c>
      <c r="AD26" s="1989"/>
    </row>
    <row r="27" spans="1:30" ht="13.35" customHeight="1">
      <c r="A27" s="2218">
        <v>478</v>
      </c>
      <c r="B27" s="2031" t="s">
        <v>885</v>
      </c>
      <c r="C27" s="71">
        <f>Drift!F66</f>
        <v>10.808</v>
      </c>
      <c r="D27" s="44">
        <v>1.427</v>
      </c>
      <c r="E27" s="44">
        <v>0.6</v>
      </c>
      <c r="F27" s="44">
        <v>1.716</v>
      </c>
      <c r="G27" s="44">
        <v>0.25900000000000001</v>
      </c>
      <c r="H27" s="44">
        <v>0.32500000000000001</v>
      </c>
      <c r="I27" s="44">
        <v>0.31</v>
      </c>
      <c r="J27" s="1068">
        <v>0</v>
      </c>
      <c r="K27" s="45">
        <v>6.1710000000000003</v>
      </c>
      <c r="L27" s="161">
        <v>0</v>
      </c>
      <c r="M27" s="358">
        <f t="shared" si="0"/>
        <v>0</v>
      </c>
      <c r="N27" s="359">
        <f>Drift!H66</f>
        <v>1.1299999999999999</v>
      </c>
      <c r="O27" s="44">
        <v>0.253</v>
      </c>
      <c r="P27" s="44">
        <v>4.0000000000000001E-3</v>
      </c>
      <c r="Q27" s="44">
        <v>4.4999999999999998E-2</v>
      </c>
      <c r="R27" s="44">
        <v>1.2E-2</v>
      </c>
      <c r="S27" s="44">
        <v>0</v>
      </c>
      <c r="T27" s="44">
        <v>0.151</v>
      </c>
      <c r="U27" s="44">
        <v>7.2999999999999995E-2</v>
      </c>
      <c r="V27" s="44">
        <v>0.58399999999999996</v>
      </c>
      <c r="W27" s="44">
        <v>8.0000000000000002E-3</v>
      </c>
      <c r="X27" s="358">
        <f t="shared" si="1"/>
        <v>0</v>
      </c>
      <c r="Y27" s="360">
        <v>3.4420000000000002</v>
      </c>
      <c r="Z27" s="44">
        <v>6.5000000000000002E-2</v>
      </c>
      <c r="AA27" s="44">
        <v>23.352</v>
      </c>
      <c r="AB27" s="44">
        <v>7.5270000000000001</v>
      </c>
      <c r="AC27" s="87">
        <v>4.7889999999999997</v>
      </c>
      <c r="AD27" s="1989"/>
    </row>
    <row r="28" spans="1:30" ht="13.35" customHeight="1">
      <c r="A28" s="467">
        <v>509</v>
      </c>
      <c r="B28" s="473" t="s">
        <v>426</v>
      </c>
      <c r="C28" s="71">
        <f>SUM(Drift!F70,Drift!F71)</f>
        <v>446.036</v>
      </c>
      <c r="D28" s="55">
        <v>0</v>
      </c>
      <c r="E28" s="55">
        <v>0</v>
      </c>
      <c r="F28" s="55">
        <v>136.983</v>
      </c>
      <c r="G28" s="55">
        <v>6.2E-2</v>
      </c>
      <c r="H28" s="55">
        <v>305.93799999999999</v>
      </c>
      <c r="I28" s="55">
        <v>0.42899999999999999</v>
      </c>
      <c r="J28" s="1074">
        <v>0</v>
      </c>
      <c r="K28" s="161">
        <v>0.97199999999999998</v>
      </c>
      <c r="L28" s="161">
        <v>1.6519999999999999</v>
      </c>
      <c r="M28" s="358">
        <f t="shared" si="0"/>
        <v>0</v>
      </c>
      <c r="N28" s="359">
        <f>SUM(Drift!H70,Drift!H71)</f>
        <v>2.6059999999999999</v>
      </c>
      <c r="O28" s="55">
        <v>0</v>
      </c>
      <c r="P28" s="55">
        <v>0</v>
      </c>
      <c r="Q28" s="55">
        <v>7.2999999999999995E-2</v>
      </c>
      <c r="R28" s="55">
        <v>0</v>
      </c>
      <c r="S28" s="55">
        <v>0</v>
      </c>
      <c r="T28" s="55">
        <v>0</v>
      </c>
      <c r="U28" s="55">
        <v>0</v>
      </c>
      <c r="V28" s="55">
        <v>2.5329999999999999</v>
      </c>
      <c r="W28" s="55">
        <v>0</v>
      </c>
      <c r="X28" s="358">
        <f t="shared" si="1"/>
        <v>0</v>
      </c>
      <c r="Y28" s="361">
        <v>20.376000000000001</v>
      </c>
      <c r="Z28" s="55">
        <v>88.450999999999993</v>
      </c>
      <c r="AA28" s="55">
        <v>234.28</v>
      </c>
      <c r="AB28" s="55">
        <v>1E-3</v>
      </c>
      <c r="AC28" s="87">
        <v>36.057000000000002</v>
      </c>
      <c r="AD28" s="1989"/>
    </row>
    <row r="29" spans="1:30" ht="13.35" customHeight="1">
      <c r="A29" s="467">
        <v>510</v>
      </c>
      <c r="B29" s="473" t="s">
        <v>476</v>
      </c>
      <c r="C29" s="71">
        <f>Drift!F73</f>
        <v>26867.627</v>
      </c>
      <c r="D29" s="44">
        <v>2745.9720000000002</v>
      </c>
      <c r="E29" s="44">
        <v>1031.7529999999999</v>
      </c>
      <c r="F29" s="44">
        <v>21452.506000000001</v>
      </c>
      <c r="G29" s="44">
        <v>361.1</v>
      </c>
      <c r="H29" s="44">
        <v>205.51</v>
      </c>
      <c r="I29" s="44">
        <v>1.9019999999999999</v>
      </c>
      <c r="J29" s="1068">
        <v>0</v>
      </c>
      <c r="K29" s="45">
        <v>1068.491</v>
      </c>
      <c r="L29" s="161">
        <v>0.39200000000000002</v>
      </c>
      <c r="M29" s="358">
        <f t="shared" si="0"/>
        <v>1.0000000038417056E-3</v>
      </c>
      <c r="N29" s="359">
        <f>Drift!H73</f>
        <v>1256.7570000000001</v>
      </c>
      <c r="O29" s="44">
        <v>119.708</v>
      </c>
      <c r="P29" s="44">
        <v>30.478999999999999</v>
      </c>
      <c r="Q29" s="44">
        <v>489.01600000000002</v>
      </c>
      <c r="R29" s="44">
        <v>7.22</v>
      </c>
      <c r="S29" s="44">
        <v>18.704000000000001</v>
      </c>
      <c r="T29" s="44">
        <v>47.506</v>
      </c>
      <c r="U29" s="44">
        <v>17.206</v>
      </c>
      <c r="V29" s="44">
        <v>526.26099999999997</v>
      </c>
      <c r="W29" s="44">
        <v>0.65600000000000003</v>
      </c>
      <c r="X29" s="358">
        <f t="shared" si="1"/>
        <v>1.0000000002037268E-3</v>
      </c>
      <c r="Y29" s="361">
        <v>385.02100000000002</v>
      </c>
      <c r="Z29" s="44">
        <v>234.06899999999999</v>
      </c>
      <c r="AA29" s="44">
        <v>6488.5</v>
      </c>
      <c r="AB29" s="44">
        <v>6.242</v>
      </c>
      <c r="AC29" s="87">
        <v>2472.672</v>
      </c>
      <c r="AD29" s="1989"/>
    </row>
    <row r="30" spans="1:30" ht="18" customHeight="1">
      <c r="A30" s="467">
        <v>520</v>
      </c>
      <c r="B30" s="511" t="s">
        <v>360</v>
      </c>
      <c r="C30" s="71">
        <f>Drift!F74</f>
        <v>4025.7080000000001</v>
      </c>
      <c r="D30" s="44">
        <v>262.43900000000002</v>
      </c>
      <c r="E30" s="44">
        <v>37.923000000000002</v>
      </c>
      <c r="F30" s="44">
        <v>3495.9119999999998</v>
      </c>
      <c r="G30" s="44">
        <v>44.966999999999999</v>
      </c>
      <c r="H30" s="44">
        <v>19.492000000000001</v>
      </c>
      <c r="I30" s="44">
        <v>9.0229999999999997</v>
      </c>
      <c r="J30" s="1068">
        <v>0</v>
      </c>
      <c r="K30" s="44">
        <v>155.95099999999999</v>
      </c>
      <c r="L30" s="44">
        <v>0</v>
      </c>
      <c r="M30" s="358">
        <f>C30-SUM(D30:L30)</f>
        <v>9.9999999974897946E-4</v>
      </c>
      <c r="N30" s="359">
        <f>Drift!H74</f>
        <v>394.00099999999998</v>
      </c>
      <c r="O30" s="44">
        <v>110.2</v>
      </c>
      <c r="P30" s="44">
        <v>2.3460000000000001</v>
      </c>
      <c r="Q30" s="44">
        <v>83.311000000000007</v>
      </c>
      <c r="R30" s="44">
        <v>2.016</v>
      </c>
      <c r="S30" s="44">
        <v>0.51600000000000001</v>
      </c>
      <c r="T30" s="44">
        <v>1.7649999999999999</v>
      </c>
      <c r="U30" s="152">
        <v>1.2689999999999999</v>
      </c>
      <c r="V30" s="44">
        <v>191.56299999999999</v>
      </c>
      <c r="W30" s="44">
        <v>1.0129999999999999</v>
      </c>
      <c r="X30" s="358">
        <f>N30-SUM(O30:W30)</f>
        <v>2.0000000000095497E-3</v>
      </c>
      <c r="Y30" s="360">
        <v>32.218000000000004</v>
      </c>
      <c r="Z30" s="44">
        <v>15.6</v>
      </c>
      <c r="AA30" s="44">
        <v>458.61</v>
      </c>
      <c r="AB30" s="44">
        <v>1.556</v>
      </c>
      <c r="AC30" s="440">
        <v>335.358</v>
      </c>
      <c r="AD30" s="1989"/>
    </row>
    <row r="31" spans="1:30" ht="13.5" customHeight="1">
      <c r="A31" s="467">
        <v>513</v>
      </c>
      <c r="B31" s="1248" t="s">
        <v>361</v>
      </c>
      <c r="C31" s="71">
        <f>Drift!F75</f>
        <v>16755.786</v>
      </c>
      <c r="D31" s="44">
        <v>1699.5329999999999</v>
      </c>
      <c r="E31" s="44">
        <v>494.11099999999999</v>
      </c>
      <c r="F31" s="44">
        <v>13611.958000000001</v>
      </c>
      <c r="G31" s="44">
        <v>308.26400000000001</v>
      </c>
      <c r="H31" s="44">
        <v>93.216999999999999</v>
      </c>
      <c r="I31" s="44">
        <v>18.027999999999999</v>
      </c>
      <c r="J31" s="1068">
        <v>0</v>
      </c>
      <c r="K31" s="45">
        <v>530.55499999999995</v>
      </c>
      <c r="L31" s="161">
        <v>0.12</v>
      </c>
      <c r="M31" s="358">
        <f t="shared" si="0"/>
        <v>0</v>
      </c>
      <c r="N31" s="359">
        <f>Drift!H75</f>
        <v>5530.8040000000001</v>
      </c>
      <c r="O31" s="44">
        <v>18.974</v>
      </c>
      <c r="P31" s="44">
        <v>6.3490000000000002</v>
      </c>
      <c r="Q31" s="44">
        <v>228.80600000000001</v>
      </c>
      <c r="R31" s="44">
        <v>2.4300000000000002</v>
      </c>
      <c r="S31" s="44">
        <v>0.81299999999999994</v>
      </c>
      <c r="T31" s="44">
        <v>2.012</v>
      </c>
      <c r="U31" s="152">
        <v>4756.8459999999995</v>
      </c>
      <c r="V31" s="44">
        <v>514.41200000000003</v>
      </c>
      <c r="W31" s="44">
        <v>0.16200000000000001</v>
      </c>
      <c r="X31" s="358">
        <f>N31-SUM(O31:W31)</f>
        <v>0</v>
      </c>
      <c r="Y31" s="360">
        <v>266.57299999999998</v>
      </c>
      <c r="Z31" s="44">
        <v>14.473000000000001</v>
      </c>
      <c r="AA31" s="44">
        <v>1170.0909999999999</v>
      </c>
      <c r="AB31" s="44">
        <v>4.5609999999999999</v>
      </c>
      <c r="AC31" s="440">
        <v>5936.2579999999998</v>
      </c>
      <c r="AD31" s="1989"/>
    </row>
    <row r="32" spans="1:30" ht="13.35" customHeight="1">
      <c r="A32" s="467">
        <v>530</v>
      </c>
      <c r="B32" s="922" t="s">
        <v>99</v>
      </c>
      <c r="C32" s="2216">
        <f>Drift!F76</f>
        <v>2355.471</v>
      </c>
      <c r="D32" s="44">
        <v>1.319</v>
      </c>
      <c r="E32" s="44">
        <v>1.0999999999999999E-2</v>
      </c>
      <c r="F32" s="44">
        <v>1466.912</v>
      </c>
      <c r="G32" s="44">
        <v>9.8810000000000002</v>
      </c>
      <c r="H32" s="44">
        <v>859.10900000000004</v>
      </c>
      <c r="I32" s="44">
        <v>0</v>
      </c>
      <c r="J32" s="1068">
        <v>0</v>
      </c>
      <c r="K32" s="45">
        <v>18.184999999999999</v>
      </c>
      <c r="L32" s="161">
        <v>5.3999999999999999E-2</v>
      </c>
      <c r="M32" s="358">
        <f t="shared" si="0"/>
        <v>0</v>
      </c>
      <c r="N32" s="2217">
        <f>Drift!H76</f>
        <v>39.747</v>
      </c>
      <c r="O32" s="44">
        <v>4.2999999999999997E-2</v>
      </c>
      <c r="P32" s="44">
        <v>0.26900000000000002</v>
      </c>
      <c r="Q32" s="44">
        <v>0.32100000000000001</v>
      </c>
      <c r="R32" s="44">
        <v>0</v>
      </c>
      <c r="S32" s="44">
        <v>37.628</v>
      </c>
      <c r="T32" s="44">
        <v>1.4590000000000001</v>
      </c>
      <c r="U32" s="44">
        <v>0</v>
      </c>
      <c r="V32" s="44">
        <v>2.7E-2</v>
      </c>
      <c r="W32" s="44">
        <v>0</v>
      </c>
      <c r="X32" s="358">
        <f t="shared" si="1"/>
        <v>0</v>
      </c>
      <c r="Y32" s="360">
        <v>9.0679999999999996</v>
      </c>
      <c r="Z32" s="44">
        <v>2.1999999999999999E-2</v>
      </c>
      <c r="AA32" s="44">
        <v>4.1390000000000002</v>
      </c>
      <c r="AB32" s="44">
        <v>9.4E-2</v>
      </c>
      <c r="AC32" s="87">
        <v>26.498999999999999</v>
      </c>
      <c r="AD32" s="1989"/>
    </row>
    <row r="33" spans="1:30" ht="13.35" customHeight="1">
      <c r="A33" s="467">
        <v>559</v>
      </c>
      <c r="B33" s="922" t="s">
        <v>195</v>
      </c>
      <c r="C33" s="71">
        <f>Drift!F79</f>
        <v>3142.4360000000001</v>
      </c>
      <c r="D33" s="44">
        <v>317.786</v>
      </c>
      <c r="E33" s="44">
        <v>0.111</v>
      </c>
      <c r="F33" s="44">
        <v>2179.4290000000001</v>
      </c>
      <c r="G33" s="44">
        <v>39.198999999999998</v>
      </c>
      <c r="H33" s="44">
        <v>23.314</v>
      </c>
      <c r="I33" s="44">
        <v>552.61800000000005</v>
      </c>
      <c r="J33" s="1068">
        <v>0</v>
      </c>
      <c r="K33" s="44">
        <v>29.98</v>
      </c>
      <c r="L33" s="44">
        <v>0</v>
      </c>
      <c r="M33" s="1103">
        <f t="shared" si="0"/>
        <v>-9.9999999974897946E-4</v>
      </c>
      <c r="N33" s="359">
        <f>Drift!H79</f>
        <v>150.726</v>
      </c>
      <c r="O33" s="44">
        <v>130.876</v>
      </c>
      <c r="P33" s="44">
        <v>1.401</v>
      </c>
      <c r="Q33" s="44">
        <v>7.5629999999999997</v>
      </c>
      <c r="R33" s="44">
        <v>0.52500000000000002</v>
      </c>
      <c r="S33" s="44">
        <v>0.95499999999999996</v>
      </c>
      <c r="T33" s="44">
        <v>1.3620000000000001</v>
      </c>
      <c r="U33" s="44">
        <v>1.222</v>
      </c>
      <c r="V33" s="44">
        <v>6.8159999999999998</v>
      </c>
      <c r="W33" s="44">
        <v>6.0000000000000001E-3</v>
      </c>
      <c r="X33" s="1103">
        <f t="shared" si="1"/>
        <v>0</v>
      </c>
      <c r="Y33" s="360">
        <v>29.795999999999999</v>
      </c>
      <c r="Z33" s="55">
        <v>1.8220000000000001</v>
      </c>
      <c r="AA33" s="55">
        <v>266.971</v>
      </c>
      <c r="AB33" s="55">
        <v>1.742</v>
      </c>
      <c r="AC33" s="155">
        <v>193.81299999999999</v>
      </c>
      <c r="AD33" s="1989"/>
    </row>
    <row r="34" spans="1:30" ht="13.35" customHeight="1">
      <c r="A34" s="467">
        <v>552</v>
      </c>
      <c r="B34" s="473" t="s">
        <v>134</v>
      </c>
      <c r="C34" s="2216">
        <f>SUM(D34+E34+F34+G34+H34+I34+K34+L34)</f>
        <v>2073.9290000000001</v>
      </c>
      <c r="D34" s="44">
        <v>78.087000000000003</v>
      </c>
      <c r="E34" s="44">
        <v>1.9E-2</v>
      </c>
      <c r="F34" s="44">
        <v>1406.44</v>
      </c>
      <c r="G34" s="44">
        <v>13.436</v>
      </c>
      <c r="H34" s="44">
        <v>16.271000000000001</v>
      </c>
      <c r="I34" s="44">
        <v>547.202</v>
      </c>
      <c r="J34" s="1068">
        <v>0</v>
      </c>
      <c r="K34" s="44">
        <v>12.474</v>
      </c>
      <c r="L34" s="44">
        <v>0</v>
      </c>
      <c r="M34" s="1103">
        <f>IF(OR(C34="",C34=0),"",C34-SUM(D34:L34))</f>
        <v>0</v>
      </c>
      <c r="N34" s="2217">
        <f>SUM(O34+P34+Q34+R34+S34+T34+U34+V34+W34)</f>
        <v>84.694000000000003</v>
      </c>
      <c r="O34" s="44">
        <v>79.382000000000005</v>
      </c>
      <c r="P34" s="44">
        <v>0</v>
      </c>
      <c r="Q34" s="44">
        <v>1.2050000000000001</v>
      </c>
      <c r="R34" s="44">
        <v>0.26700000000000002</v>
      </c>
      <c r="S34" s="44">
        <v>0.13900000000000001</v>
      </c>
      <c r="T34" s="44">
        <v>0.16400000000000001</v>
      </c>
      <c r="U34" s="44">
        <v>0.41699999999999998</v>
      </c>
      <c r="V34" s="44">
        <v>3.12</v>
      </c>
      <c r="W34" s="44">
        <v>0</v>
      </c>
      <c r="X34" s="1103">
        <f>IF(OR(N34="",N34=0),"",N34-SUM(O34:W34))</f>
        <v>0</v>
      </c>
      <c r="Y34" s="361">
        <v>9.9309999999999992</v>
      </c>
      <c r="Z34" s="44">
        <v>0.33900000000000002</v>
      </c>
      <c r="AA34" s="44">
        <v>52.027000000000001</v>
      </c>
      <c r="AB34" s="44">
        <v>0.48199999999999998</v>
      </c>
      <c r="AC34" s="155">
        <v>92.448999999999998</v>
      </c>
      <c r="AD34" s="1989"/>
    </row>
    <row r="35" spans="1:30" ht="13.35" customHeight="1">
      <c r="A35" s="467">
        <v>569</v>
      </c>
      <c r="B35" s="468" t="s">
        <v>103</v>
      </c>
      <c r="C35" s="71">
        <f>Drift!F80</f>
        <v>11055.296</v>
      </c>
      <c r="D35" s="44">
        <v>276.30500000000001</v>
      </c>
      <c r="E35" s="44">
        <v>1.3320000000000001</v>
      </c>
      <c r="F35" s="44">
        <v>8824.107</v>
      </c>
      <c r="G35" s="44">
        <v>206.93700000000001</v>
      </c>
      <c r="H35" s="44">
        <v>69.158000000000001</v>
      </c>
      <c r="I35" s="44">
        <v>1616.73</v>
      </c>
      <c r="J35" s="1068">
        <v>0</v>
      </c>
      <c r="K35" s="44">
        <v>59.77</v>
      </c>
      <c r="L35" s="44">
        <v>0.95799999999999996</v>
      </c>
      <c r="M35" s="1103">
        <f t="shared" si="0"/>
        <v>-1.0000000002037268E-3</v>
      </c>
      <c r="N35" s="359">
        <f>Drift!H80</f>
        <v>149.50399999999999</v>
      </c>
      <c r="O35" s="44">
        <v>60.326999999999998</v>
      </c>
      <c r="P35" s="44">
        <v>9.5000000000000001E-2</v>
      </c>
      <c r="Q35" s="44">
        <v>18.701000000000001</v>
      </c>
      <c r="R35" s="44">
        <v>2.2090000000000001</v>
      </c>
      <c r="S35" s="44">
        <v>3.4430000000000001</v>
      </c>
      <c r="T35" s="44">
        <v>4.2720000000000002</v>
      </c>
      <c r="U35" s="44">
        <v>1.6919999999999999</v>
      </c>
      <c r="V35" s="44">
        <v>58.755000000000003</v>
      </c>
      <c r="W35" s="44">
        <v>0.01</v>
      </c>
      <c r="X35" s="1103">
        <f t="shared" si="1"/>
        <v>0</v>
      </c>
      <c r="Y35" s="361">
        <v>209.916</v>
      </c>
      <c r="Z35" s="44">
        <v>20.248000000000001</v>
      </c>
      <c r="AA35" s="44">
        <v>1714.174</v>
      </c>
      <c r="AB35" s="44">
        <v>30.891999999999999</v>
      </c>
      <c r="AC35" s="155">
        <v>654.947</v>
      </c>
      <c r="AD35" s="1989"/>
    </row>
    <row r="36" spans="1:30" ht="13.35" customHeight="1">
      <c r="A36" s="467">
        <v>554</v>
      </c>
      <c r="B36" s="473" t="s">
        <v>199</v>
      </c>
      <c r="C36" s="71">
        <f>SUM(D36+E36+F36+G36+H36+I36+K36+L36)</f>
        <v>6916.918999999999</v>
      </c>
      <c r="D36" s="44">
        <v>169.864</v>
      </c>
      <c r="E36" s="44">
        <v>0.153</v>
      </c>
      <c r="F36" s="44">
        <v>5046.1750000000002</v>
      </c>
      <c r="G36" s="44">
        <v>60.222999999999999</v>
      </c>
      <c r="H36" s="44">
        <v>10.489000000000001</v>
      </c>
      <c r="I36" s="44">
        <v>1585.2449999999999</v>
      </c>
      <c r="J36" s="1068">
        <v>0</v>
      </c>
      <c r="K36" s="44">
        <v>44.311999999999998</v>
      </c>
      <c r="L36" s="44">
        <v>0.45800000000000002</v>
      </c>
      <c r="M36" s="1103">
        <f>IF(OR(C36="",C36=0),"",C36-SUM(D36:L36))</f>
        <v>0</v>
      </c>
      <c r="N36" s="359">
        <f>SUM(O36+P36+Q36+R36+S36+T36+U36+V36+W36)</f>
        <v>32.561999999999998</v>
      </c>
      <c r="O36" s="44">
        <v>7.6260000000000003</v>
      </c>
      <c r="P36" s="44">
        <v>0.01</v>
      </c>
      <c r="Q36" s="44">
        <v>7.9119999999999999</v>
      </c>
      <c r="R36" s="44">
        <v>0.47599999999999998</v>
      </c>
      <c r="S36" s="44">
        <v>0.32900000000000001</v>
      </c>
      <c r="T36" s="44">
        <v>0.73099999999999998</v>
      </c>
      <c r="U36" s="44">
        <v>0.36199999999999999</v>
      </c>
      <c r="V36" s="44">
        <v>15.116</v>
      </c>
      <c r="W36" s="44">
        <v>0</v>
      </c>
      <c r="X36" s="1103">
        <f>IF(OR(N36="",N36=0),"",N36-SUM(O36:W36))</f>
        <v>0</v>
      </c>
      <c r="Y36" s="361">
        <v>54.795000000000002</v>
      </c>
      <c r="Z36" s="44">
        <v>8.7390000000000008</v>
      </c>
      <c r="AA36" s="44">
        <v>448.01600000000002</v>
      </c>
      <c r="AB36" s="44">
        <v>2.8260000000000001</v>
      </c>
      <c r="AC36" s="155">
        <v>290.80799999999999</v>
      </c>
      <c r="AD36" s="1989"/>
    </row>
    <row r="37" spans="1:30" ht="13.35" customHeight="1">
      <c r="A37" s="467">
        <v>580</v>
      </c>
      <c r="B37" s="473" t="s">
        <v>135</v>
      </c>
      <c r="C37" s="71">
        <f>SUM(Drift!F81,Drift!F82,Drift!F84)</f>
        <v>1391.299</v>
      </c>
      <c r="D37" s="44">
        <v>156.24799999999999</v>
      </c>
      <c r="E37" s="44">
        <v>6.5490000000000004</v>
      </c>
      <c r="F37" s="44">
        <v>999.15599999999995</v>
      </c>
      <c r="G37" s="44">
        <v>186.274</v>
      </c>
      <c r="H37" s="44">
        <v>8.2420000000000009</v>
      </c>
      <c r="I37" s="44">
        <v>6.55</v>
      </c>
      <c r="J37" s="1068">
        <v>0</v>
      </c>
      <c r="K37" s="45">
        <v>28.245999999999999</v>
      </c>
      <c r="L37" s="161">
        <v>3.3000000000000002E-2</v>
      </c>
      <c r="M37" s="1103">
        <f t="shared" si="0"/>
        <v>1.0000000002037268E-3</v>
      </c>
      <c r="N37" s="359">
        <f>SUM(Drift!H81,Drift!H82,Drift!H84)</f>
        <v>11658.081</v>
      </c>
      <c r="O37" s="44">
        <v>300.21499999999997</v>
      </c>
      <c r="P37" s="44">
        <v>12.595000000000001</v>
      </c>
      <c r="Q37" s="44">
        <v>63.125999999999998</v>
      </c>
      <c r="R37" s="44">
        <v>3.5150000000000001</v>
      </c>
      <c r="S37" s="44">
        <v>1.794</v>
      </c>
      <c r="T37" s="44">
        <v>5.1130000000000004</v>
      </c>
      <c r="U37" s="44">
        <v>-3.0000000000000001E-3</v>
      </c>
      <c r="V37" s="44">
        <v>11271.705</v>
      </c>
      <c r="W37" s="44">
        <v>2.1000000000000001E-2</v>
      </c>
      <c r="X37" s="1103">
        <f t="shared" si="1"/>
        <v>0</v>
      </c>
      <c r="Y37" s="360">
        <v>201.94399999999999</v>
      </c>
      <c r="Z37" s="44">
        <v>2.9129999999999998</v>
      </c>
      <c r="AA37" s="44">
        <v>520.51700000000005</v>
      </c>
      <c r="AB37" s="44">
        <v>7.5380000000000003</v>
      </c>
      <c r="AC37" s="87">
        <v>462.51100000000002</v>
      </c>
      <c r="AD37" s="1989"/>
    </row>
    <row r="38" spans="1:30" ht="13.35" customHeight="1">
      <c r="A38" s="467">
        <v>600</v>
      </c>
      <c r="B38" s="468" t="s">
        <v>110</v>
      </c>
      <c r="C38" s="71">
        <f>Drift!F87</f>
        <v>191.47300000000001</v>
      </c>
      <c r="D38" s="55">
        <v>10.548999999999999</v>
      </c>
      <c r="E38" s="55">
        <v>2.3769999999999998</v>
      </c>
      <c r="F38" s="55">
        <v>127.07899999999999</v>
      </c>
      <c r="G38" s="55">
        <v>29.544</v>
      </c>
      <c r="H38" s="55">
        <v>4.2839999999999998</v>
      </c>
      <c r="I38" s="55">
        <v>5.4989999999999997</v>
      </c>
      <c r="J38" s="1074">
        <v>0</v>
      </c>
      <c r="K38" s="161">
        <v>12.141</v>
      </c>
      <c r="L38" s="161">
        <v>0</v>
      </c>
      <c r="M38" s="358">
        <f t="shared" si="0"/>
        <v>0</v>
      </c>
      <c r="N38" s="359">
        <f>Drift!H87</f>
        <v>464.43099999999998</v>
      </c>
      <c r="O38" s="55">
        <v>123.512</v>
      </c>
      <c r="P38" s="55">
        <v>0.95799999999999996</v>
      </c>
      <c r="Q38" s="55">
        <v>8.577</v>
      </c>
      <c r="R38" s="55">
        <v>5.8999999999999997E-2</v>
      </c>
      <c r="S38" s="55">
        <v>5.6000000000000001E-2</v>
      </c>
      <c r="T38" s="55">
        <v>0.57499999999999996</v>
      </c>
      <c r="U38" s="55">
        <v>1.032</v>
      </c>
      <c r="V38" s="55">
        <v>329.423</v>
      </c>
      <c r="W38" s="55">
        <v>0.23799999999999999</v>
      </c>
      <c r="X38" s="358">
        <f t="shared" si="1"/>
        <v>9.9999999997635314E-4</v>
      </c>
      <c r="Y38" s="361">
        <v>25.402999999999999</v>
      </c>
      <c r="Z38" s="55">
        <v>19.036999999999999</v>
      </c>
      <c r="AA38" s="55">
        <v>3141.732</v>
      </c>
      <c r="AB38" s="55">
        <v>16.198</v>
      </c>
      <c r="AC38" s="87">
        <v>47.478999999999999</v>
      </c>
      <c r="AD38" s="1989"/>
    </row>
    <row r="39" spans="1:30" ht="13.35" customHeight="1">
      <c r="A39" s="467">
        <v>610</v>
      </c>
      <c r="B39" s="473" t="s">
        <v>136</v>
      </c>
      <c r="C39" s="71">
        <f>Drift!F88</f>
        <v>182.828</v>
      </c>
      <c r="D39" s="44">
        <v>47.052</v>
      </c>
      <c r="E39" s="44">
        <v>31.390999999999998</v>
      </c>
      <c r="F39" s="44">
        <v>65.41</v>
      </c>
      <c r="G39" s="44">
        <v>22.838000000000001</v>
      </c>
      <c r="H39" s="44">
        <v>2.738</v>
      </c>
      <c r="I39" s="44">
        <v>7.1070000000000002</v>
      </c>
      <c r="J39" s="1068">
        <v>0</v>
      </c>
      <c r="K39" s="45">
        <v>6.2919999999999998</v>
      </c>
      <c r="L39" s="161">
        <v>0</v>
      </c>
      <c r="M39" s="358">
        <f t="shared" si="0"/>
        <v>0</v>
      </c>
      <c r="N39" s="359">
        <f>Drift!H88</f>
        <v>168.95500000000001</v>
      </c>
      <c r="O39" s="44">
        <v>65.344999999999999</v>
      </c>
      <c r="P39" s="44">
        <v>10.259</v>
      </c>
      <c r="Q39" s="44">
        <v>29.268999999999998</v>
      </c>
      <c r="R39" s="44">
        <v>21.372</v>
      </c>
      <c r="S39" s="44">
        <v>0.99299999999999999</v>
      </c>
      <c r="T39" s="44">
        <v>34.238</v>
      </c>
      <c r="U39" s="44">
        <v>2.6629999999999998</v>
      </c>
      <c r="V39" s="44">
        <v>4.4509999999999996</v>
      </c>
      <c r="W39" s="44">
        <v>0.36499999999999999</v>
      </c>
      <c r="X39" s="358">
        <f t="shared" si="1"/>
        <v>0</v>
      </c>
      <c r="Y39" s="361">
        <v>48.7</v>
      </c>
      <c r="Z39" s="44">
        <v>0.19</v>
      </c>
      <c r="AA39" s="44">
        <v>2232.0569999999998</v>
      </c>
      <c r="AB39" s="44">
        <v>187.02500000000001</v>
      </c>
      <c r="AC39" s="87">
        <v>256.11200000000002</v>
      </c>
      <c r="AD39" s="1989"/>
    </row>
    <row r="40" spans="1:30" ht="13.35" customHeight="1">
      <c r="A40" s="467">
        <v>890</v>
      </c>
      <c r="B40" s="473" t="s">
        <v>137</v>
      </c>
      <c r="C40" s="71">
        <f>Drift!F109</f>
        <v>7489.076</v>
      </c>
      <c r="D40" s="44">
        <v>14.041</v>
      </c>
      <c r="E40" s="44">
        <v>2377.4250000000002</v>
      </c>
      <c r="F40" s="44">
        <v>4063.4859999999999</v>
      </c>
      <c r="G40" s="44">
        <v>106.637</v>
      </c>
      <c r="H40" s="44">
        <v>486.93299999999999</v>
      </c>
      <c r="I40" s="44">
        <v>87.858999999999995</v>
      </c>
      <c r="J40" s="1068">
        <v>0</v>
      </c>
      <c r="K40" s="45">
        <v>337.267</v>
      </c>
      <c r="L40" s="161">
        <v>15.427</v>
      </c>
      <c r="M40" s="358">
        <f t="shared" si="0"/>
        <v>1.0000000002037268E-3</v>
      </c>
      <c r="N40" s="359">
        <f>Drift!H109</f>
        <v>1548.2629999999999</v>
      </c>
      <c r="O40" s="44">
        <v>15.2</v>
      </c>
      <c r="P40" s="44">
        <v>607.34799999999996</v>
      </c>
      <c r="Q40" s="44">
        <v>394.47699999999998</v>
      </c>
      <c r="R40" s="44">
        <v>7.0410000000000004</v>
      </c>
      <c r="S40" s="44">
        <v>224.917</v>
      </c>
      <c r="T40" s="44">
        <v>248.99299999999999</v>
      </c>
      <c r="U40" s="44">
        <v>15.44</v>
      </c>
      <c r="V40" s="44">
        <v>34.847999999999999</v>
      </c>
      <c r="W40" s="44">
        <v>0</v>
      </c>
      <c r="X40" s="358">
        <f t="shared" si="1"/>
        <v>-9.9999999997635314E-4</v>
      </c>
      <c r="Y40" s="361">
        <v>135.86600000000001</v>
      </c>
      <c r="Z40" s="44">
        <v>21.687999999999999</v>
      </c>
      <c r="AA40" s="44">
        <v>1822.8920000000001</v>
      </c>
      <c r="AB40" s="44">
        <v>9.1310000000000002</v>
      </c>
      <c r="AC40" s="87">
        <v>6162.9790000000003</v>
      </c>
      <c r="AD40" s="1989"/>
    </row>
    <row r="41" spans="1:30" ht="13.35" customHeight="1">
      <c r="A41" s="677">
        <v>940</v>
      </c>
      <c r="B41" s="922" t="s">
        <v>138</v>
      </c>
      <c r="C41" s="2199">
        <f>SUM(Drift!F111:F112)</f>
        <v>987.07399999999996</v>
      </c>
      <c r="D41" s="2200">
        <v>8.5519999999999996</v>
      </c>
      <c r="E41" s="2200">
        <v>314.05</v>
      </c>
      <c r="F41" s="2200">
        <v>293.78500000000003</v>
      </c>
      <c r="G41" s="2200">
        <v>261</v>
      </c>
      <c r="H41" s="2200">
        <v>19.007000000000001</v>
      </c>
      <c r="I41" s="2200">
        <v>1.925</v>
      </c>
      <c r="J41" s="943">
        <v>0</v>
      </c>
      <c r="K41" s="2201">
        <v>88.710999999999999</v>
      </c>
      <c r="L41" s="2202">
        <v>4.3999999999999997E-2</v>
      </c>
      <c r="M41" s="2203">
        <f t="shared" si="0"/>
        <v>0</v>
      </c>
      <c r="N41" s="2204">
        <f>SUM(Drift!H111:H112)</f>
        <v>448.99299999999999</v>
      </c>
      <c r="O41" s="2200">
        <v>166.89</v>
      </c>
      <c r="P41" s="2200">
        <v>91.206000000000003</v>
      </c>
      <c r="Q41" s="2200">
        <v>61.889000000000003</v>
      </c>
      <c r="R41" s="2200">
        <v>4.7549999999999999</v>
      </c>
      <c r="S41" s="2200">
        <v>8.73</v>
      </c>
      <c r="T41" s="2200">
        <v>44.906999999999996</v>
      </c>
      <c r="U41" s="2200">
        <v>61.631999999999998</v>
      </c>
      <c r="V41" s="2200">
        <v>7.8209999999999997</v>
      </c>
      <c r="W41" s="2200">
        <v>1.163</v>
      </c>
      <c r="X41" s="2203">
        <f t="shared" si="1"/>
        <v>0</v>
      </c>
      <c r="Y41" s="2205">
        <v>902.66399999999999</v>
      </c>
      <c r="Z41" s="2200">
        <v>23.757000000000001</v>
      </c>
      <c r="AA41" s="2200">
        <v>1137.6949999999999</v>
      </c>
      <c r="AB41" s="2200">
        <v>89.02</v>
      </c>
      <c r="AC41" s="187">
        <v>1223.249</v>
      </c>
      <c r="AD41" s="1989"/>
    </row>
    <row r="42" spans="1:30" ht="13.35" customHeight="1" thickBot="1">
      <c r="A42" s="2206" t="s">
        <v>273</v>
      </c>
      <c r="B42" s="2207" t="s">
        <v>33</v>
      </c>
      <c r="C42" s="2208">
        <f t="shared" ref="C42:AC42" si="2">SUM(C9:C33,C35,C37:C41)</f>
        <v>172912.226</v>
      </c>
      <c r="D42" s="2209">
        <f t="shared" si="2"/>
        <v>18833.392</v>
      </c>
      <c r="E42" s="2209">
        <f t="shared" si="2"/>
        <v>6820.9709999999995</v>
      </c>
      <c r="F42" s="2209">
        <f t="shared" si="2"/>
        <v>114775.94500000001</v>
      </c>
      <c r="G42" s="2209">
        <f t="shared" si="2"/>
        <v>15420.597</v>
      </c>
      <c r="H42" s="2209">
        <f t="shared" si="2"/>
        <v>2724.6390000000001</v>
      </c>
      <c r="I42" s="2209">
        <f t="shared" si="2"/>
        <v>3167.7739999999999</v>
      </c>
      <c r="J42" s="2210">
        <f t="shared" si="2"/>
        <v>0</v>
      </c>
      <c r="K42" s="2209">
        <f t="shared" si="2"/>
        <v>11116.626999999997</v>
      </c>
      <c r="L42" s="2209">
        <f t="shared" si="2"/>
        <v>52.276000000000003</v>
      </c>
      <c r="M42" s="2211">
        <f t="shared" si="2"/>
        <v>5.0000000086072305E-3</v>
      </c>
      <c r="N42" s="2212">
        <f t="shared" si="2"/>
        <v>30884.762000000002</v>
      </c>
      <c r="O42" s="2209">
        <f t="shared" si="2"/>
        <v>5816.4179999999988</v>
      </c>
      <c r="P42" s="2209">
        <f t="shared" si="2"/>
        <v>1760.3330000000001</v>
      </c>
      <c r="Q42" s="2209">
        <f t="shared" si="2"/>
        <v>2537.2190000000001</v>
      </c>
      <c r="R42" s="2209">
        <f t="shared" si="2"/>
        <v>108.346</v>
      </c>
      <c r="S42" s="2209">
        <f t="shared" si="2"/>
        <v>396.84000000000015</v>
      </c>
      <c r="T42" s="2209">
        <f t="shared" si="2"/>
        <v>1225.0059999999996</v>
      </c>
      <c r="U42" s="2209">
        <f t="shared" si="2"/>
        <v>5748.302999999999</v>
      </c>
      <c r="V42" s="2209">
        <f t="shared" si="2"/>
        <v>13279.397999999999</v>
      </c>
      <c r="W42" s="2209">
        <f t="shared" si="2"/>
        <v>12.89</v>
      </c>
      <c r="X42" s="2211">
        <f t="shared" si="2"/>
        <v>8.9999999999680336E-3</v>
      </c>
      <c r="Y42" s="2212">
        <f t="shared" si="2"/>
        <v>16113.143000000002</v>
      </c>
      <c r="Z42" s="2213">
        <f t="shared" si="2"/>
        <v>474.90199999999999</v>
      </c>
      <c r="AA42" s="2213">
        <f t="shared" si="2"/>
        <v>46946.665999999997</v>
      </c>
      <c r="AB42" s="2213">
        <f t="shared" si="2"/>
        <v>839.72799999999984</v>
      </c>
      <c r="AC42" s="2211">
        <f t="shared" si="2"/>
        <v>25093.614999999998</v>
      </c>
      <c r="AD42" s="1989"/>
    </row>
    <row r="43" spans="1:30" ht="12" customHeight="1">
      <c r="A43" s="496"/>
      <c r="B43" s="755" t="s">
        <v>989</v>
      </c>
      <c r="C43" s="8"/>
      <c r="D43" s="38"/>
      <c r="E43" s="38"/>
      <c r="F43" s="38"/>
      <c r="G43" s="38"/>
      <c r="H43" s="38"/>
      <c r="I43" s="38"/>
      <c r="J43" s="1489"/>
      <c r="K43" s="38"/>
      <c r="L43" s="1490" t="str">
        <f>IF(OR(ABS(L42&gt;500),(L42&lt;-500),COUNTIF(L9:L41,"&gt;500")&gt;0,COUNTIF(L9:L41,"&lt;-500")&gt;0),"Kommentera vad köp av v-het från utlandet avser","")</f>
        <v/>
      </c>
      <c r="M43" s="1803" t="str">
        <f>IF(OR(ABS(M42&gt;100),(M42&lt;-100),COUNTIF(M9:M41,"&gt;100")&gt;0,COUNTIF(M9:M41,"&lt;-100")&gt;0),"Rätta differenserna i kolumn M","")</f>
        <v/>
      </c>
      <c r="N43" s="2193"/>
      <c r="O43" s="212"/>
      <c r="P43" s="212"/>
      <c r="Q43" s="212"/>
      <c r="R43" s="212"/>
      <c r="S43" s="212"/>
      <c r="T43" s="213"/>
      <c r="V43" s="213"/>
      <c r="W43" s="2194"/>
      <c r="X43" s="2195" t="str">
        <f>IF(OR(ABS(X42&gt;100),(X42&lt;-100),COUNTIF(X9:X41,"&gt;100")&gt;0,COUNTIF(X9:X41,"&lt;-100")&gt;0),"Rätta differenserna i kolumn X","")</f>
        <v/>
      </c>
      <c r="Y43" s="2196">
        <f>SUM('Verks int o kostn'!I27+'Verks int o kostn'!I29)</f>
        <v>16113.123</v>
      </c>
      <c r="Z43" s="2197">
        <f>'Verks int o kostn'!I28</f>
        <v>474.90899999999999</v>
      </c>
      <c r="AA43" s="2197">
        <f>SUM('Verks int o kostn'!D17,'Verks int o kostn'!D18)</f>
        <v>46950.777000000002</v>
      </c>
      <c r="AB43" s="2197">
        <f>'Verks int o kostn'!D23</f>
        <v>839.73599999999999</v>
      </c>
      <c r="AC43" s="2198">
        <f>SUM('Verks int o kostn'!D14,'Verks int o kostn'!D19,'Verks int o kostn'!D20,'Verks int o kostn'!D21,'Verks int o kostn'!D22,'Verks int o kostn'!D24,'Verks int o kostn'!D25)</f>
        <v>25123.695</v>
      </c>
      <c r="AD43" s="1989"/>
    </row>
    <row r="44" spans="1:30" ht="12.75" customHeight="1" thickBot="1">
      <c r="A44" s="490"/>
      <c r="B44" s="924" t="s">
        <v>126</v>
      </c>
      <c r="C44" s="210"/>
      <c r="D44" s="113"/>
      <c r="E44" s="113"/>
      <c r="F44" s="113"/>
      <c r="G44" s="113"/>
      <c r="H44" s="113"/>
      <c r="I44" s="113"/>
      <c r="J44" s="441"/>
      <c r="K44" s="113"/>
      <c r="L44" s="442"/>
      <c r="M44" s="1170" t="str">
        <f>IF(OR(COUNTIF(M29:M31,"&gt;10")&gt;0,COUNTIF(M29:M31,"&lt;-10")&gt;0),"Rätta differensen mellan Driften och Motparten på rad 510, 513 och/eller rad 520","")</f>
        <v/>
      </c>
      <c r="N44" s="443"/>
      <c r="O44" s="211"/>
      <c r="P44" s="113"/>
      <c r="Q44" s="113"/>
      <c r="R44" s="113"/>
      <c r="S44" s="113"/>
      <c r="T44" s="114"/>
      <c r="U44" s="446" t="str">
        <f>IFERROR(IF('Verks int o kostn'!I41&gt;U31,"Kontrollera beloppet cell U31 mot rad 630 i verks kostn",""),0)</f>
        <v/>
      </c>
      <c r="V44" s="114"/>
      <c r="W44" s="211"/>
      <c r="X44" s="444"/>
      <c r="Y44" s="336">
        <f>Y42-Y43</f>
        <v>2.0000000002255547E-2</v>
      </c>
      <c r="Z44" s="337">
        <f>Z42-Z43</f>
        <v>-7.0000000000050022E-3</v>
      </c>
      <c r="AA44" s="338">
        <f>AA42-AA43</f>
        <v>-4.1110000000044238</v>
      </c>
      <c r="AB44" s="338">
        <f>AB42-AB43</f>
        <v>-8.0000000001518856E-3</v>
      </c>
      <c r="AC44" s="339">
        <f>AC42-AC43</f>
        <v>-30.080000000001746</v>
      </c>
      <c r="AD44" s="1989"/>
    </row>
    <row r="45" spans="1:30" ht="12.75" customHeight="1">
      <c r="A45" s="1989"/>
      <c r="B45" s="1989"/>
      <c r="C45" s="1989"/>
      <c r="D45" s="1989"/>
      <c r="E45" s="1989"/>
      <c r="F45" s="1989"/>
      <c r="G45" s="1989"/>
      <c r="H45" s="1989"/>
      <c r="I45" s="1989"/>
      <c r="J45" s="1989"/>
      <c r="K45" s="1989"/>
      <c r="L45" s="1989"/>
      <c r="M45" s="1989"/>
      <c r="N45" s="1989"/>
      <c r="O45" s="1989"/>
      <c r="P45" s="1989"/>
      <c r="Q45" s="1989"/>
      <c r="R45" s="1989"/>
      <c r="S45" s="1989"/>
      <c r="T45" s="1989"/>
      <c r="U45" s="1989"/>
      <c r="V45" s="1989"/>
      <c r="W45" s="1989"/>
      <c r="X45" s="1989"/>
      <c r="Y45" s="1989"/>
      <c r="Z45" s="1989"/>
      <c r="AA45" s="1989"/>
      <c r="AB45" s="1989"/>
      <c r="AC45" s="1989"/>
      <c r="AD45" s="1989"/>
    </row>
    <row r="46" spans="1:30" ht="12.75" customHeight="1">
      <c r="A46" s="1989"/>
      <c r="B46" s="1989"/>
      <c r="C46" s="1989"/>
      <c r="D46" s="1989"/>
      <c r="E46" s="1989"/>
      <c r="F46" s="1989"/>
      <c r="G46" s="1989"/>
      <c r="H46" s="1989"/>
      <c r="I46" s="1989"/>
      <c r="J46" s="1989"/>
      <c r="K46" s="1989"/>
      <c r="L46" s="1989"/>
      <c r="M46" s="1989"/>
      <c r="N46" s="1989"/>
      <c r="O46" s="1989"/>
      <c r="P46" s="1989"/>
      <c r="Q46" s="1989"/>
      <c r="R46" s="1989"/>
      <c r="S46" s="1989"/>
      <c r="T46" s="1989"/>
      <c r="U46" s="1989"/>
      <c r="V46" s="1989"/>
      <c r="W46" s="1989"/>
      <c r="X46" s="1989"/>
      <c r="Y46" s="1989"/>
      <c r="Z46" s="1989"/>
      <c r="AA46" s="1989"/>
      <c r="AB46" s="1989"/>
      <c r="AC46" s="1989"/>
      <c r="AD46" s="1989"/>
    </row>
    <row r="47" spans="1:30" ht="12.75" customHeight="1">
      <c r="A47" s="1989"/>
      <c r="B47" s="1989"/>
      <c r="C47" s="1989"/>
      <c r="D47" s="1989"/>
      <c r="E47" s="1989"/>
      <c r="F47" s="1989"/>
      <c r="G47" s="1989"/>
      <c r="H47" s="1989"/>
      <c r="I47" s="1989"/>
      <c r="J47" s="1989"/>
      <c r="K47" s="1989"/>
      <c r="L47" s="1989"/>
      <c r="M47" s="1989"/>
      <c r="N47" s="1989"/>
      <c r="O47" s="1989"/>
      <c r="P47" s="1989"/>
      <c r="Q47" s="1989"/>
      <c r="R47" s="1989"/>
      <c r="S47" s="1989"/>
      <c r="T47" s="1989"/>
      <c r="U47" s="1989"/>
      <c r="V47" s="1989"/>
      <c r="W47" s="1989"/>
      <c r="X47" s="1989"/>
      <c r="Y47" s="1989"/>
      <c r="Z47" s="1989"/>
      <c r="AA47" s="1989"/>
      <c r="AB47" s="1989"/>
      <c r="AC47" s="1989"/>
      <c r="AD47" s="1989"/>
    </row>
    <row r="48" spans="1:30" ht="9.75" customHeight="1">
      <c r="A48" s="1989"/>
      <c r="B48" s="1989"/>
      <c r="C48" s="1989"/>
      <c r="D48" s="1989"/>
      <c r="E48" s="1989"/>
      <c r="F48" s="1989"/>
      <c r="G48" s="1989"/>
      <c r="H48" s="1989"/>
      <c r="I48" s="1989"/>
      <c r="J48" s="1989"/>
      <c r="K48" s="1989"/>
      <c r="L48" s="1989"/>
      <c r="M48" s="1989"/>
      <c r="N48" s="1989"/>
      <c r="O48" s="1989"/>
      <c r="P48" s="1989"/>
      <c r="Q48" s="1989"/>
      <c r="R48" s="1989"/>
      <c r="S48" s="1989"/>
      <c r="T48" s="1989"/>
      <c r="U48" s="1989"/>
      <c r="V48" s="1989"/>
      <c r="W48" s="1989"/>
      <c r="X48" s="1989"/>
      <c r="Y48" s="1989"/>
      <c r="Z48" s="1989"/>
      <c r="AA48" s="1989"/>
      <c r="AB48" s="1989"/>
      <c r="AC48" s="1989"/>
      <c r="AD48" s="1989"/>
    </row>
    <row r="49" spans="1:30" ht="10.5" customHeight="1">
      <c r="A49" s="1989"/>
      <c r="B49" s="1989"/>
      <c r="C49" s="1989"/>
      <c r="D49" s="1989"/>
      <c r="E49" s="1989"/>
      <c r="F49" s="1989"/>
      <c r="G49" s="1989"/>
      <c r="H49" s="1989"/>
      <c r="I49" s="1989"/>
      <c r="J49" s="1989"/>
      <c r="K49" s="1989"/>
      <c r="L49" s="1989"/>
      <c r="M49" s="1989"/>
      <c r="N49" s="1989"/>
      <c r="O49" s="1989"/>
      <c r="P49" s="1989"/>
      <c r="Q49" s="1989"/>
      <c r="R49" s="1989"/>
      <c r="S49" s="1989"/>
      <c r="T49" s="1989"/>
      <c r="U49" s="1989"/>
      <c r="V49" s="1989"/>
      <c r="W49" s="1989"/>
      <c r="X49" s="1989"/>
      <c r="Y49" s="1989"/>
      <c r="Z49" s="1989"/>
      <c r="AA49" s="1989"/>
      <c r="AB49" s="1989"/>
      <c r="AC49" s="1989"/>
      <c r="AD49" s="1989"/>
    </row>
    <row r="50" spans="1:30" ht="9.75" customHeight="1">
      <c r="A50" s="1989"/>
      <c r="B50" s="1989"/>
      <c r="C50" s="1989"/>
      <c r="D50" s="1989"/>
      <c r="E50" s="1989"/>
      <c r="F50" s="1989"/>
      <c r="G50" s="1989"/>
      <c r="H50" s="1989"/>
      <c r="I50" s="1989"/>
      <c r="J50" s="1989"/>
      <c r="K50" s="1989"/>
      <c r="L50" s="1989"/>
      <c r="M50" s="1989"/>
      <c r="N50" s="1989"/>
      <c r="O50" s="1989"/>
      <c r="P50" s="1989"/>
      <c r="Q50" s="1989"/>
      <c r="R50" s="1989"/>
      <c r="S50" s="1989"/>
      <c r="T50" s="1989"/>
      <c r="U50" s="1989"/>
      <c r="V50" s="1989"/>
      <c r="W50" s="1989"/>
      <c r="X50" s="1989"/>
      <c r="Y50" s="1989"/>
      <c r="Z50" s="1989"/>
      <c r="AA50" s="1989"/>
      <c r="AB50" s="1989"/>
      <c r="AC50" s="1989"/>
      <c r="AD50" s="1989"/>
    </row>
    <row r="51" spans="1:30" ht="12.75">
      <c r="A51" s="1989"/>
      <c r="B51" s="1989"/>
      <c r="C51" s="1989"/>
      <c r="D51" s="1989"/>
      <c r="E51" s="1989"/>
      <c r="F51" s="1989"/>
      <c r="G51" s="1989"/>
      <c r="H51" s="1989"/>
      <c r="I51" s="1989"/>
      <c r="J51" s="1989"/>
      <c r="K51" s="1989"/>
      <c r="L51" s="1989"/>
      <c r="M51" s="1989"/>
      <c r="N51" s="1989"/>
      <c r="O51" s="1989"/>
      <c r="P51" s="1989"/>
      <c r="Q51" s="1989"/>
      <c r="R51" s="1989"/>
      <c r="S51" s="1989"/>
      <c r="T51" s="1989"/>
      <c r="U51" s="1989"/>
      <c r="V51" s="1989"/>
      <c r="W51" s="1989"/>
      <c r="X51" s="1989"/>
      <c r="Y51" s="1989"/>
      <c r="Z51" s="1989"/>
      <c r="AA51" s="1989"/>
      <c r="AB51" s="1989"/>
      <c r="AC51" s="1989"/>
      <c r="AD51" s="1989"/>
    </row>
    <row r="52" spans="1:30" ht="12.75">
      <c r="A52" s="1989"/>
      <c r="B52" s="1989"/>
      <c r="C52" s="1989"/>
      <c r="D52" s="1989"/>
      <c r="E52" s="1989"/>
      <c r="F52" s="1989"/>
      <c r="G52" s="1989"/>
      <c r="H52" s="1989"/>
      <c r="I52" s="1989"/>
      <c r="J52" s="1989"/>
      <c r="K52" s="1989"/>
      <c r="L52" s="1989"/>
      <c r="M52" s="1989"/>
      <c r="N52" s="1989"/>
      <c r="O52" s="1989"/>
      <c r="P52" s="1989"/>
      <c r="Q52" s="1989"/>
      <c r="R52" s="1989"/>
      <c r="S52" s="1989"/>
      <c r="T52" s="1989"/>
      <c r="U52" s="1989"/>
      <c r="V52" s="1989"/>
      <c r="W52" s="1989"/>
      <c r="X52" s="1989"/>
      <c r="Y52" s="1989"/>
      <c r="Z52" s="1989"/>
      <c r="AA52" s="1989"/>
      <c r="AB52" s="1989"/>
      <c r="AC52" s="1989"/>
      <c r="AD52" s="1989"/>
    </row>
    <row r="53" spans="1:30" ht="12" customHeight="1">
      <c r="A53" s="1989"/>
      <c r="B53" s="1989"/>
      <c r="C53" s="1989"/>
      <c r="D53" s="1989"/>
      <c r="E53" s="1989"/>
      <c r="F53" s="1989"/>
      <c r="G53" s="1989"/>
      <c r="H53" s="1989"/>
      <c r="I53" s="1989"/>
      <c r="J53" s="1989"/>
      <c r="K53" s="1989"/>
      <c r="L53" s="1989"/>
      <c r="M53" s="1989"/>
      <c r="N53" s="1989"/>
      <c r="O53" s="1989"/>
      <c r="P53" s="1989"/>
      <c r="Q53" s="1989"/>
      <c r="R53" s="1989"/>
      <c r="S53" s="1989"/>
      <c r="T53" s="1989"/>
      <c r="U53" s="1989"/>
      <c r="V53" s="1989"/>
      <c r="W53" s="1989"/>
      <c r="X53" s="1989"/>
      <c r="Y53" s="1989"/>
      <c r="Z53" s="1989"/>
      <c r="AA53" s="1989"/>
      <c r="AB53" s="1989"/>
      <c r="AC53" s="1989"/>
      <c r="AD53" s="1989"/>
    </row>
    <row r="54" spans="1:30" ht="12.75">
      <c r="A54" s="1989"/>
      <c r="B54" s="1989"/>
      <c r="C54" s="1989"/>
      <c r="D54" s="1989"/>
      <c r="E54" s="1989"/>
      <c r="F54" s="1989"/>
      <c r="G54" s="1989"/>
      <c r="H54" s="1989"/>
      <c r="I54" s="1989"/>
      <c r="J54" s="1989"/>
      <c r="K54" s="1989"/>
      <c r="L54" s="1989"/>
      <c r="M54" s="1989"/>
      <c r="N54" s="1989"/>
      <c r="O54" s="1989"/>
      <c r="P54" s="1989"/>
      <c r="Q54" s="1989"/>
      <c r="R54" s="1989"/>
      <c r="S54" s="1989"/>
      <c r="T54" s="1989"/>
      <c r="U54" s="1989"/>
      <c r="V54" s="1989"/>
      <c r="W54" s="1989"/>
      <c r="X54" s="1989"/>
      <c r="Y54" s="1989"/>
      <c r="Z54" s="1989"/>
      <c r="AA54" s="1989"/>
      <c r="AB54" s="1989"/>
      <c r="AC54" s="1989"/>
      <c r="AD54" s="1989"/>
    </row>
    <row r="55" spans="1:30" ht="12.75">
      <c r="A55" s="1989"/>
      <c r="B55" s="1989"/>
      <c r="C55" s="1989"/>
      <c r="D55" s="1989"/>
      <c r="E55" s="1989"/>
      <c r="F55" s="1989"/>
      <c r="G55" s="1989"/>
      <c r="H55" s="1989"/>
      <c r="I55" s="1989"/>
      <c r="J55" s="1989"/>
      <c r="K55" s="1989"/>
      <c r="L55" s="1989"/>
      <c r="M55" s="1989"/>
      <c r="N55" s="1989"/>
      <c r="O55" s="1989"/>
      <c r="P55" s="1989"/>
      <c r="Q55" s="1989"/>
      <c r="R55" s="1989"/>
      <c r="S55" s="1989"/>
      <c r="T55" s="1989"/>
      <c r="U55" s="1989"/>
      <c r="V55" s="1989"/>
      <c r="W55" s="1989"/>
      <c r="X55" s="1989"/>
      <c r="Y55" s="1989"/>
      <c r="Z55" s="1989"/>
      <c r="AA55" s="1989"/>
      <c r="AB55" s="1989"/>
      <c r="AC55" s="1989"/>
      <c r="AD55" s="1989"/>
    </row>
    <row r="56" spans="1:30"/>
    <row r="57" spans="1:30"/>
    <row r="58" spans="1:30"/>
  </sheetData>
  <customSheetViews>
    <customSheetView guid="{97D6DB71-3F4C-4C5F-8C5B-51E3EBF78932}" showPageBreaks="1" showGridLines="0" hiddenRows="1" hiddenColumns="1" topLeftCell="A4">
      <pane xSplit="2" topLeftCell="X1" activePane="topRight" state="frozen"/>
      <selection pane="topRight" activeCell="J2" sqref="J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1"/>
      <headerFooter>
        <oddHeader>&amp;L&amp;8Statistiska Centralbyrån
Offentlig ekonomi&amp;R&amp;P</oddHeader>
      </headerFooter>
    </customSheetView>
    <customSheetView guid="{99FBDEB7-DD08-4F57-81F4-3C180403E153}" showGridLines="0" hiddenRows="1" hiddenColumns="1">
      <pane xSplit="2" topLeftCell="C1" activePane="topRight" state="frozen"/>
      <selection pane="topRight" activeCell="J2" sqref="J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2"/>
      <headerFooter>
        <oddHeader>&amp;L&amp;8Statistiska Centralbyrån
Offentlig ekonomi&amp;R&amp;P</oddHeader>
      </headerFooter>
    </customSheetView>
    <customSheetView guid="{27C9E95B-0E2B-454F-B637-1CECC9579A10}" showGridLines="0" hiddenRows="1" hiddenColumns="1" showRuler="0">
      <pane xSplit="2" topLeftCell="J1" activePane="topRight" state="frozen"/>
      <selection pane="topRight" activeCell="AD22" sqref="AD2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3"/>
      <headerFooter alignWithMargins="0">
        <oddHeader>&amp;L&amp;8Statistiska Centralbyrån
Offentlig ekonomi&amp;R&amp;P</oddHeader>
      </headerFooter>
    </customSheetView>
  </customSheetViews>
  <phoneticPr fontId="90" type="noConversion"/>
  <conditionalFormatting sqref="D9:L41 O9:W41 Y9:AC41">
    <cfRule type="cellIs" dxfId="84" priority="9" stopIfTrue="1" operator="lessThan">
      <formula>-500</formula>
    </cfRule>
  </conditionalFormatting>
  <conditionalFormatting sqref="D34:L34 O34:W34 Y34:AC34 D36:L36 O36:W36 Y36:AC36">
    <cfRule type="cellIs" dxfId="83" priority="40" stopIfTrue="1" operator="lessThan">
      <formula>-500</formula>
    </cfRule>
    <cfRule type="cellIs" dxfId="82" priority="41" stopIfTrue="1" operator="greaterThan">
      <formula>D33</formula>
    </cfRule>
  </conditionalFormatting>
  <conditionalFormatting sqref="J9:J41">
    <cfRule type="cellIs" dxfId="81" priority="8" stopIfTrue="1" operator="greaterThan">
      <formula>1</formula>
    </cfRule>
  </conditionalFormatting>
  <conditionalFormatting sqref="M9:M28 X9:X42 M32:M42">
    <cfRule type="cellIs" dxfId="80" priority="27" stopIfTrue="1" operator="notBetween">
      <formula>-500</formula>
      <formula>500</formula>
    </cfRule>
  </conditionalFormatting>
  <conditionalFormatting sqref="M29:M31">
    <cfRule type="cellIs" dxfId="79" priority="11" stopIfTrue="1" operator="notBetween">
      <formula>-10</formula>
      <formula>10</formula>
    </cfRule>
  </conditionalFormatting>
  <conditionalFormatting sqref="U33">
    <cfRule type="cellIs" dxfId="78" priority="7" stopIfTrue="1" operator="greaterThan">
      <formula>1</formula>
    </cfRule>
  </conditionalFormatting>
  <conditionalFormatting sqref="U35">
    <cfRule type="cellIs" dxfId="77" priority="6" stopIfTrue="1" operator="greaterThan">
      <formula>1</formula>
    </cfRule>
  </conditionalFormatting>
  <dataValidations count="1">
    <dataValidation type="decimal" operator="lessThan" allowBlank="1" showInputMessage="1" showErrorMessage="1" error="Beloppet ska vara i 1000 tal kr" sqref="Y9:AC41 O9:W41 D9:L41" xr:uid="{00000000-0002-0000-0700-000000000000}">
      <formula1>99999999</formula1>
    </dataValidation>
  </dataValidations>
  <pageMargins left="0.70866141732283472" right="0.70866141732283472" top="0.54" bottom="0.17" header="0.19685039370078741" footer="0.15748031496062992"/>
  <pageSetup paperSize="9" scale="65" orientation="landscape" r:id="rId4"/>
  <headerFooter>
    <oddHeader>&amp;L&amp;8Statistiska Centralbyrån
Offentlig ekonomi&amp;R&amp;P</oddHeader>
  </headerFooter>
  <colBreaks count="2" manualBreakCount="2">
    <brk id="13" max="1048575" man="1"/>
    <brk id="24" max="1048575" man="1"/>
  </colBreaks>
  <legacy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tabColor rgb="FFFFFF00"/>
  </sheetPr>
  <dimension ref="A1:IV113"/>
  <sheetViews>
    <sheetView showGridLines="0" zoomScaleNormal="100" workbookViewId="0">
      <pane xSplit="2" ySplit="7" topLeftCell="C82" activePane="bottomRight" state="frozen"/>
      <selection activeCell="F36" sqref="F36"/>
      <selection pane="topRight" activeCell="F36" sqref="F36"/>
      <selection pane="bottomLeft" activeCell="F36" sqref="F36"/>
      <selection pane="bottomRight"/>
    </sheetView>
  </sheetViews>
  <sheetFormatPr defaultColWidth="0" defaultRowHeight="12.75"/>
  <cols>
    <col min="1" max="1" width="4" style="219" customWidth="1"/>
    <col min="2" max="2" width="27.42578125" style="173" customWidth="1"/>
    <col min="3" max="5" width="10.42578125" style="173" customWidth="1"/>
    <col min="6" max="6" width="9.5703125" style="173" customWidth="1"/>
    <col min="7" max="7" width="8.42578125" style="173" customWidth="1"/>
    <col min="8" max="8" width="8.42578125" style="220" hidden="1" customWidth="1"/>
    <col min="9" max="9" width="25.5703125" style="173" customWidth="1"/>
    <col min="10" max="10" width="7" style="173" customWidth="1"/>
    <col min="11" max="11" width="1.42578125" style="173" customWidth="1"/>
    <col min="12" max="12" width="0.5703125" style="173" customWidth="1"/>
    <col min="13" max="15" width="8.85546875" customWidth="1"/>
    <col min="16" max="16" width="2.5703125" style="221" customWidth="1"/>
    <col min="17" max="17" width="59.7109375" style="4" customWidth="1"/>
    <col min="18" max="24" width="8.42578125" customWidth="1"/>
    <col min="25" max="26" width="9.42578125" customWidth="1"/>
  </cols>
  <sheetData>
    <row r="1" spans="1:256" ht="21.75">
      <c r="A1" s="65" t="str">
        <f>"Specificering pedagogisk verksamhet "&amp;År&amp;", miljoner kr"</f>
        <v>Specificering pedagogisk verksamhet 2025, miljoner kr</v>
      </c>
      <c r="B1" s="66"/>
      <c r="C1" s="66"/>
      <c r="D1" s="66"/>
      <c r="E1" s="150"/>
      <c r="F1" s="150"/>
      <c r="G1" s="150"/>
      <c r="H1" s="214"/>
      <c r="I1" s="435" t="s">
        <v>446</v>
      </c>
      <c r="J1" s="432" t="str">
        <f>Information!A2</f>
        <v>RIKSTOTAL</v>
      </c>
      <c r="K1" s="150"/>
      <c r="L1" s="150"/>
      <c r="M1" s="1112"/>
      <c r="N1" s="150"/>
      <c r="O1" s="65"/>
      <c r="P1" s="125"/>
      <c r="Q1" s="150"/>
      <c r="R1" s="1989"/>
      <c r="S1" s="1989"/>
      <c r="T1" s="1989"/>
      <c r="U1" s="1989"/>
      <c r="V1" s="1989"/>
      <c r="W1" s="1989"/>
      <c r="X1" s="1989"/>
      <c r="Y1" s="1989"/>
      <c r="Z1" s="1989"/>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c r="DQ1" s="150"/>
      <c r="DR1" s="150"/>
      <c r="DS1" s="150"/>
      <c r="DT1" s="150"/>
      <c r="DU1" s="150"/>
      <c r="DV1" s="150"/>
      <c r="DW1" s="150"/>
      <c r="DX1" s="150"/>
      <c r="DY1" s="150"/>
      <c r="DZ1" s="150"/>
      <c r="EA1" s="150"/>
      <c r="EB1" s="150"/>
      <c r="EC1" s="150"/>
      <c r="ED1" s="150"/>
      <c r="EE1" s="150"/>
      <c r="EF1" s="150"/>
      <c r="EG1" s="150"/>
      <c r="EH1" s="150"/>
      <c r="EI1" s="150"/>
      <c r="EJ1" s="150"/>
      <c r="EK1" s="150"/>
      <c r="EL1" s="150"/>
      <c r="EM1" s="150"/>
      <c r="EN1" s="150"/>
      <c r="EO1" s="150"/>
      <c r="EP1" s="150"/>
      <c r="EQ1" s="150"/>
      <c r="ER1" s="150"/>
      <c r="ES1" s="150"/>
      <c r="ET1" s="150"/>
      <c r="EU1" s="150"/>
      <c r="EV1" s="150"/>
      <c r="EW1" s="150"/>
      <c r="EX1" s="150"/>
      <c r="EY1" s="150"/>
      <c r="EZ1" s="150"/>
      <c r="FA1" s="150"/>
      <c r="FB1" s="150"/>
      <c r="FC1" s="150"/>
      <c r="FD1" s="150"/>
      <c r="FE1" s="150"/>
      <c r="FF1" s="150"/>
      <c r="FG1" s="150"/>
      <c r="FH1" s="150"/>
      <c r="FI1" s="150"/>
      <c r="FJ1" s="150"/>
      <c r="FK1" s="150"/>
      <c r="FL1" s="150"/>
      <c r="FM1" s="150"/>
      <c r="FN1" s="150"/>
      <c r="FO1" s="150"/>
      <c r="FP1" s="150"/>
      <c r="FQ1" s="150"/>
      <c r="FR1" s="150"/>
      <c r="FS1" s="150"/>
      <c r="FT1" s="150"/>
      <c r="FU1" s="150"/>
      <c r="FV1" s="150"/>
      <c r="FW1" s="150"/>
      <c r="FX1" s="150"/>
      <c r="FY1" s="150"/>
      <c r="FZ1" s="150"/>
      <c r="GA1" s="150"/>
      <c r="GB1" s="150"/>
      <c r="GC1" s="150"/>
      <c r="GD1" s="150"/>
      <c r="GE1" s="150"/>
      <c r="GF1" s="150"/>
      <c r="GG1" s="150"/>
      <c r="GH1" s="150"/>
      <c r="GI1" s="150"/>
      <c r="GJ1" s="150"/>
      <c r="GK1" s="150"/>
      <c r="GL1" s="150"/>
      <c r="GM1" s="150"/>
      <c r="GN1" s="150"/>
      <c r="GO1" s="150"/>
      <c r="GP1" s="150"/>
      <c r="GQ1" s="150"/>
      <c r="GR1" s="150"/>
      <c r="GS1" s="150"/>
      <c r="GT1" s="150"/>
      <c r="GU1" s="150"/>
      <c r="GV1" s="150"/>
      <c r="GW1" s="150"/>
      <c r="GX1" s="150"/>
      <c r="GY1" s="150"/>
      <c r="GZ1" s="150"/>
      <c r="HA1" s="150"/>
      <c r="HB1" s="150"/>
      <c r="HC1" s="150"/>
      <c r="HD1" s="150"/>
      <c r="HE1" s="150"/>
      <c r="HF1" s="150"/>
      <c r="HG1" s="150"/>
      <c r="HH1" s="150"/>
      <c r="HI1" s="150"/>
      <c r="HJ1" s="150"/>
      <c r="HK1" s="150"/>
      <c r="HL1" s="150"/>
      <c r="HM1" s="150"/>
      <c r="HN1" s="150"/>
      <c r="HO1" s="150"/>
      <c r="HP1" s="150"/>
      <c r="HQ1" s="150"/>
      <c r="HR1" s="150"/>
      <c r="HS1" s="150"/>
      <c r="HT1" s="150"/>
      <c r="HU1" s="150"/>
      <c r="HV1" s="150"/>
      <c r="HW1" s="150"/>
      <c r="HX1" s="150"/>
      <c r="HY1" s="150"/>
      <c r="HZ1" s="150"/>
      <c r="IA1" s="150"/>
      <c r="IB1" s="150"/>
      <c r="IC1" s="150"/>
      <c r="ID1" s="150"/>
      <c r="IE1" s="150"/>
      <c r="IF1" s="150"/>
      <c r="IG1" s="150"/>
      <c r="IH1" s="150"/>
      <c r="II1" s="150"/>
      <c r="IJ1" s="150"/>
      <c r="IK1" s="150"/>
      <c r="IL1" s="150"/>
      <c r="IM1" s="150"/>
      <c r="IN1" s="150"/>
      <c r="IO1" s="150"/>
      <c r="IP1" s="150"/>
      <c r="IQ1" s="150"/>
      <c r="IR1" s="150"/>
      <c r="IS1" s="150"/>
      <c r="IT1" s="150"/>
      <c r="IU1" s="150"/>
      <c r="IV1" s="150"/>
    </row>
    <row r="2" spans="1:256" ht="17.25" customHeight="1">
      <c r="A2" s="1989"/>
      <c r="B2" s="1989"/>
      <c r="C2" s="1989"/>
      <c r="D2" s="1989"/>
      <c r="E2" s="1989"/>
      <c r="F2" s="1989"/>
      <c r="G2" s="1989"/>
      <c r="H2" s="1989"/>
      <c r="I2" s="1989"/>
      <c r="J2" s="1989"/>
      <c r="K2" s="1989"/>
      <c r="L2" s="1989"/>
      <c r="M2" s="1989"/>
      <c r="N2" s="1989"/>
      <c r="O2" s="1989"/>
      <c r="P2" s="1989"/>
      <c r="Q2" s="1989"/>
      <c r="R2" s="1989"/>
      <c r="S2" s="1989"/>
      <c r="T2" s="1989"/>
      <c r="U2" s="1989"/>
      <c r="V2" s="1989"/>
      <c r="W2" s="1989"/>
      <c r="X2" s="1989"/>
      <c r="Y2" s="1989"/>
      <c r="Z2" s="1989"/>
    </row>
    <row r="3" spans="1:256" ht="17.25" customHeight="1" thickBot="1">
      <c r="A3" s="1989"/>
      <c r="B3" s="1989"/>
      <c r="C3" s="1989"/>
      <c r="D3" s="1989"/>
      <c r="E3" s="1989"/>
      <c r="F3" s="1989"/>
      <c r="G3" s="1989"/>
      <c r="H3" s="1989"/>
      <c r="I3" s="1989"/>
      <c r="J3" s="1989"/>
      <c r="K3" s="1989"/>
      <c r="L3" s="1989"/>
      <c r="M3" s="1989"/>
      <c r="N3" s="1989"/>
      <c r="O3" s="1989"/>
      <c r="P3" s="1989"/>
      <c r="Q3" s="1989"/>
      <c r="R3" s="1989"/>
      <c r="S3" s="1989"/>
      <c r="T3" s="1989"/>
      <c r="U3" s="1989"/>
      <c r="V3" s="1989"/>
      <c r="W3" s="1989"/>
      <c r="X3" s="1989"/>
      <c r="Y3" s="1989"/>
      <c r="Z3" s="1989"/>
    </row>
    <row r="4" spans="1:256" ht="11.25" customHeight="1">
      <c r="A4" s="1167" t="s">
        <v>604</v>
      </c>
      <c r="B4" s="1166" t="s">
        <v>445</v>
      </c>
      <c r="C4" s="925" t="s">
        <v>139</v>
      </c>
      <c r="D4" s="1161"/>
      <c r="E4" s="560" t="s">
        <v>139</v>
      </c>
      <c r="F4" s="1161"/>
      <c r="G4" s="1160"/>
      <c r="H4" s="215" t="s">
        <v>564</v>
      </c>
      <c r="I4" s="2500" t="s">
        <v>995</v>
      </c>
      <c r="J4" s="2501"/>
      <c r="K4" s="2501"/>
      <c r="L4" s="2501"/>
      <c r="M4" s="2505" t="s">
        <v>888</v>
      </c>
      <c r="N4" s="2506"/>
      <c r="O4" s="2245"/>
      <c r="P4" s="1989"/>
      <c r="Q4" s="2492" t="s">
        <v>58</v>
      </c>
      <c r="R4" s="1989"/>
      <c r="S4" s="1989"/>
      <c r="T4" s="1989"/>
      <c r="U4" s="1989"/>
      <c r="V4" s="1989"/>
      <c r="W4" s="1989"/>
      <c r="X4" s="1989"/>
      <c r="Y4" s="1989"/>
      <c r="Z4" s="1989"/>
    </row>
    <row r="5" spans="1:256" ht="12.6" customHeight="1">
      <c r="A5" s="1168" t="s">
        <v>606</v>
      </c>
      <c r="B5" s="713"/>
      <c r="C5" s="926" t="s">
        <v>42</v>
      </c>
      <c r="D5" s="2494" t="s">
        <v>774</v>
      </c>
      <c r="E5" s="675" t="s">
        <v>146</v>
      </c>
      <c r="F5" s="2494" t="s">
        <v>1055</v>
      </c>
      <c r="G5" s="2497" t="s">
        <v>1249</v>
      </c>
      <c r="H5" s="132"/>
      <c r="I5" s="2502"/>
      <c r="J5" s="2503"/>
      <c r="K5" s="2503"/>
      <c r="L5" s="2504"/>
      <c r="M5" s="2507"/>
      <c r="N5" s="2508"/>
      <c r="O5" s="2246"/>
      <c r="P5" s="1989"/>
      <c r="Q5" s="2493"/>
      <c r="R5" s="1989"/>
      <c r="S5" s="1989"/>
      <c r="T5" s="1989"/>
      <c r="U5" s="1989"/>
      <c r="V5" s="1989"/>
      <c r="W5" s="1989"/>
      <c r="X5" s="1989"/>
      <c r="Y5" s="1989"/>
      <c r="Z5" s="1989"/>
    </row>
    <row r="6" spans="1:256" ht="36.6" customHeight="1">
      <c r="A6" s="927"/>
      <c r="B6" s="713"/>
      <c r="C6" s="926"/>
      <c r="D6" s="2495"/>
      <c r="E6" s="471"/>
      <c r="F6" s="2495"/>
      <c r="G6" s="2498"/>
      <c r="H6" s="132"/>
      <c r="I6" s="1232"/>
      <c r="J6" s="1243"/>
      <c r="K6" s="1243"/>
      <c r="L6" s="2223"/>
      <c r="M6" s="2509"/>
      <c r="N6" s="2510"/>
      <c r="O6" s="2246" t="s">
        <v>494</v>
      </c>
      <c r="P6" s="1989"/>
      <c r="Q6" s="2493"/>
      <c r="R6" s="1989"/>
      <c r="S6" s="1989"/>
      <c r="T6" s="1989"/>
      <c r="U6" s="1989"/>
      <c r="V6" s="1989"/>
      <c r="W6" s="1989"/>
      <c r="X6" s="1989"/>
      <c r="Y6" s="1989"/>
      <c r="Z6" s="1989"/>
      <c r="IV6" s="2491"/>
    </row>
    <row r="7" spans="1:256" ht="65.099999999999994" customHeight="1" thickBot="1">
      <c r="A7" s="918"/>
      <c r="B7" s="713"/>
      <c r="C7" s="920"/>
      <c r="D7" s="2496"/>
      <c r="E7" s="471"/>
      <c r="F7" s="2496"/>
      <c r="G7" s="2499"/>
      <c r="H7" s="132"/>
      <c r="I7" s="1244"/>
      <c r="J7" s="713"/>
      <c r="K7" s="1245"/>
      <c r="L7" s="1241"/>
      <c r="M7" s="2225" t="str">
        <f>"År "&amp;År</f>
        <v>År 2025</v>
      </c>
      <c r="N7" s="2238" t="str">
        <f>"År "&amp;År-1</f>
        <v>År 2024</v>
      </c>
      <c r="O7" s="2247" t="str">
        <f>År-1&amp;"-"&amp; År</f>
        <v>2024-2025</v>
      </c>
      <c r="P7" s="1989"/>
      <c r="Q7" s="2493"/>
      <c r="R7" s="1989"/>
      <c r="S7" s="1989"/>
      <c r="T7" s="1989"/>
      <c r="U7" s="1989"/>
      <c r="V7" s="1989"/>
      <c r="W7" s="1989"/>
      <c r="X7" s="1989"/>
      <c r="Y7" s="1989"/>
      <c r="Z7" s="1989"/>
      <c r="IV7" s="2491"/>
    </row>
    <row r="8" spans="1:256">
      <c r="A8" s="947" t="s">
        <v>384</v>
      </c>
      <c r="B8" s="948" t="s">
        <v>526</v>
      </c>
      <c r="C8" s="109">
        <f>Drift!P47</f>
        <v>102182.92399999998</v>
      </c>
      <c r="D8" s="110">
        <f>SUM(Motpart!D13:L13)</f>
        <v>19831.470999999998</v>
      </c>
      <c r="E8" s="110">
        <f>Drift!W47</f>
        <v>21020.388999999999</v>
      </c>
      <c r="F8" s="110">
        <f>Motpart!Y13</f>
        <v>461.95400000000001</v>
      </c>
      <c r="G8" s="115">
        <f>Drift!V47</f>
        <v>8470.7109999999993</v>
      </c>
      <c r="H8" s="133"/>
      <c r="I8" s="909" t="s">
        <v>807</v>
      </c>
      <c r="J8" s="1326">
        <v>540163</v>
      </c>
      <c r="K8" s="1236"/>
      <c r="L8" s="1236"/>
      <c r="M8" s="2226">
        <f>(C8-F8-G8)*1000000/J8</f>
        <v>172633.55505652921</v>
      </c>
      <c r="N8" s="2239">
        <v>168949.245</v>
      </c>
      <c r="O8" s="2248">
        <f t="shared" ref="O8:O14" si="0">IF(OR(M8="",N8=""),"",IF(AND(M8=0,N8=0),0,IF(N8=0,1,M8/N8-1)))</f>
        <v>2.1807200479228017E-2</v>
      </c>
      <c r="P8" s="1989"/>
      <c r="Q8" s="2257" t="s">
        <v>812</v>
      </c>
      <c r="R8" s="1989"/>
      <c r="S8" s="1989"/>
      <c r="T8" s="1989"/>
      <c r="U8" s="1989"/>
      <c r="V8" s="1989"/>
      <c r="W8" s="1989"/>
      <c r="X8" s="1989"/>
      <c r="Y8" s="1989"/>
      <c r="Z8" s="1989"/>
    </row>
    <row r="9" spans="1:256" s="1094" customFormat="1">
      <c r="A9" s="949" t="s">
        <v>310</v>
      </c>
      <c r="B9" s="950" t="s">
        <v>355</v>
      </c>
      <c r="C9" s="293">
        <f>C8-G8-D8</f>
        <v>73880.741999999998</v>
      </c>
      <c r="D9" s="928"/>
      <c r="E9" s="934"/>
      <c r="F9" s="934"/>
      <c r="G9" s="940"/>
      <c r="H9" s="134">
        <v>850</v>
      </c>
      <c r="I9" s="1233"/>
      <c r="J9" s="1234"/>
      <c r="K9" s="1235"/>
      <c r="L9" s="1235"/>
      <c r="M9" s="2227">
        <f>C9*1000000/J8</f>
        <v>136774.90313109191</v>
      </c>
      <c r="N9" s="2240">
        <v>134831.054</v>
      </c>
      <c r="O9" s="2249">
        <f t="shared" si="0"/>
        <v>1.441692453944543E-2</v>
      </c>
      <c r="P9" s="1989"/>
      <c r="Q9" s="2257" t="s">
        <v>813</v>
      </c>
      <c r="R9" s="1989"/>
      <c r="S9" s="1989"/>
      <c r="T9" s="1989"/>
      <c r="U9" s="1989"/>
      <c r="V9" s="1989"/>
      <c r="W9" s="1989"/>
      <c r="X9" s="1989"/>
      <c r="Y9" s="1989"/>
      <c r="Z9" s="1989"/>
    </row>
    <row r="10" spans="1:256" s="1092" customFormat="1">
      <c r="A10" s="949" t="s">
        <v>308</v>
      </c>
      <c r="B10" s="951" t="s">
        <v>1042</v>
      </c>
      <c r="C10" s="71">
        <f>Drift!C47+Drift!D47</f>
        <v>51281.332999999999</v>
      </c>
      <c r="D10" s="928"/>
      <c r="E10" s="935"/>
      <c r="F10" s="935"/>
      <c r="G10" s="940"/>
      <c r="H10" s="134">
        <v>851</v>
      </c>
      <c r="I10" s="1233"/>
      <c r="J10" s="1234"/>
      <c r="K10" s="983"/>
      <c r="L10" s="983"/>
      <c r="M10" s="2227">
        <f>IF(C10=0,0,C10*100/C9)</f>
        <v>69.410960978166671</v>
      </c>
      <c r="N10" s="2240">
        <v>70.402000000000001</v>
      </c>
      <c r="O10" s="2249">
        <f t="shared" si="0"/>
        <v>-1.4076858922094981E-2</v>
      </c>
      <c r="P10" s="1989"/>
      <c r="Q10" s="2257" t="s">
        <v>356</v>
      </c>
      <c r="R10" s="1989"/>
      <c r="S10" s="1989"/>
      <c r="T10" s="1989"/>
      <c r="U10" s="1989"/>
      <c r="V10" s="1989"/>
      <c r="W10" s="1989"/>
      <c r="X10" s="1989"/>
      <c r="Y10" s="1989"/>
      <c r="Z10" s="1989"/>
    </row>
    <row r="11" spans="1:256" s="1092" customFormat="1">
      <c r="A11" s="949" t="s">
        <v>311</v>
      </c>
      <c r="B11" s="951" t="s">
        <v>523</v>
      </c>
      <c r="C11" s="1843">
        <v>12720.785</v>
      </c>
      <c r="D11" s="929" t="str">
        <f>IF(C8=0,"",IF(C11&lt;Drift!I47+Drift!J47+Drift!L47,"Kommentera",""))</f>
        <v/>
      </c>
      <c r="E11" s="206">
        <v>247.48400000000001</v>
      </c>
      <c r="F11" s="935"/>
      <c r="G11" s="222">
        <v>201.26400000000001</v>
      </c>
      <c r="H11" s="134"/>
      <c r="I11" s="1936" t="str">
        <f>IF(G11&gt;E11,"Därav kol. G&gt; Kol. E- korrigera!","")</f>
        <v/>
      </c>
      <c r="J11" s="1327"/>
      <c r="K11" s="979"/>
      <c r="L11" s="979"/>
      <c r="M11" s="2227">
        <f>(C11-E11)*1000000/J8</f>
        <v>23091.735272501079</v>
      </c>
      <c r="N11" s="2240">
        <v>21850.519</v>
      </c>
      <c r="O11" s="2249">
        <f t="shared" si="0"/>
        <v>5.6804887449175778E-2</v>
      </c>
      <c r="P11" s="1989"/>
      <c r="Q11" s="2257" t="s">
        <v>814</v>
      </c>
      <c r="R11" s="1989"/>
      <c r="S11" s="1989"/>
      <c r="T11" s="1989"/>
      <c r="U11" s="1989"/>
      <c r="V11" s="1989"/>
      <c r="W11" s="1989"/>
      <c r="X11" s="1989"/>
      <c r="Y11" s="1989"/>
      <c r="Z11" s="1989"/>
    </row>
    <row r="12" spans="1:256" s="1092" customFormat="1">
      <c r="A12" s="949" t="s">
        <v>447</v>
      </c>
      <c r="B12" s="951" t="s">
        <v>484</v>
      </c>
      <c r="C12" s="932"/>
      <c r="D12" s="930"/>
      <c r="E12" s="72">
        <f>Drift!R47</f>
        <v>5930.0749999999998</v>
      </c>
      <c r="F12" s="936"/>
      <c r="G12" s="845"/>
      <c r="H12" s="147" t="s">
        <v>538</v>
      </c>
      <c r="I12" s="981"/>
      <c r="J12" s="1234"/>
      <c r="K12" s="1235"/>
      <c r="L12" s="1235"/>
      <c r="M12" s="2227">
        <f>(Motpart!G13+Motpart!K13)*1000000/J8</f>
        <v>865.96638422105923</v>
      </c>
      <c r="N12" s="2240">
        <v>818.19799999999998</v>
      </c>
      <c r="O12" s="2249">
        <f t="shared" si="0"/>
        <v>5.8382426039979674E-2</v>
      </c>
      <c r="P12" s="1989"/>
      <c r="Q12" s="2257" t="s">
        <v>815</v>
      </c>
      <c r="R12" s="1989"/>
      <c r="S12" s="1989"/>
      <c r="T12" s="1989"/>
      <c r="U12" s="1989"/>
      <c r="V12" s="1989"/>
      <c r="W12" s="1989"/>
      <c r="X12" s="1989"/>
      <c r="Y12" s="1989"/>
      <c r="Z12" s="1989"/>
    </row>
    <row r="13" spans="1:256" s="1092" customFormat="1">
      <c r="A13" s="949" t="s">
        <v>448</v>
      </c>
      <c r="B13" s="951" t="s">
        <v>449</v>
      </c>
      <c r="C13" s="933"/>
      <c r="D13" s="930"/>
      <c r="E13" s="206">
        <v>614.11400000000003</v>
      </c>
      <c r="F13" s="936"/>
      <c r="G13" s="845"/>
      <c r="H13" s="148" t="s">
        <v>539</v>
      </c>
      <c r="I13" s="981"/>
      <c r="J13" s="1234"/>
      <c r="K13" s="1235"/>
      <c r="L13" s="1235"/>
      <c r="M13" s="2227">
        <f>F8*1000000/J8</f>
        <v>855.21222297713837</v>
      </c>
      <c r="N13" s="2240">
        <v>804.83</v>
      </c>
      <c r="O13" s="2249">
        <f t="shared" si="0"/>
        <v>6.2599832234308206E-2</v>
      </c>
      <c r="P13" s="1989"/>
      <c r="Q13" s="2257" t="s">
        <v>816</v>
      </c>
      <c r="R13" s="1989"/>
      <c r="S13" s="1989"/>
      <c r="T13" s="1989"/>
      <c r="U13" s="1989"/>
      <c r="V13" s="1989"/>
      <c r="W13" s="1989"/>
      <c r="X13" s="1989"/>
      <c r="Y13" s="1989"/>
      <c r="Z13" s="1989"/>
    </row>
    <row r="14" spans="1:256" s="1092" customFormat="1">
      <c r="A14" s="952" t="s">
        <v>555</v>
      </c>
      <c r="B14" s="953"/>
      <c r="C14" s="933"/>
      <c r="D14" s="931"/>
      <c r="E14" s="939"/>
      <c r="F14" s="937"/>
      <c r="G14" s="845"/>
      <c r="H14" s="147" t="s">
        <v>540</v>
      </c>
      <c r="I14" s="981"/>
      <c r="J14" s="1234"/>
      <c r="K14" s="1235"/>
      <c r="L14" s="1235"/>
      <c r="M14" s="2227">
        <f>((Motpart!D13+Motpart!E13+Motpart!F13+Motpart!J13)-((Motpart!D13+Motpart!E13+Motpart!F13+Motpart!J13)*0.06))*1000000/J8</f>
        <v>33613.824197510752</v>
      </c>
      <c r="N14" s="2240">
        <v>31985.5</v>
      </c>
      <c r="O14" s="2249">
        <f t="shared" si="0"/>
        <v>5.0908198949860095E-2</v>
      </c>
      <c r="P14" s="1989"/>
      <c r="Q14" s="2257" t="s">
        <v>817</v>
      </c>
      <c r="R14" s="1989"/>
      <c r="S14" s="1989"/>
      <c r="T14" s="1989"/>
      <c r="U14" s="1989"/>
      <c r="V14" s="1989"/>
      <c r="W14" s="1989"/>
      <c r="X14" s="1989"/>
      <c r="Y14" s="1989"/>
      <c r="Z14" s="1989"/>
    </row>
    <row r="15" spans="1:256" s="1095" customFormat="1" ht="13.5" thickBot="1">
      <c r="A15" s="952" t="s">
        <v>306</v>
      </c>
      <c r="B15" s="953"/>
      <c r="C15" s="933"/>
      <c r="D15" s="931"/>
      <c r="E15" s="931"/>
      <c r="F15" s="938"/>
      <c r="G15" s="941"/>
      <c r="H15" s="135"/>
      <c r="I15" s="1242"/>
      <c r="J15" s="1328"/>
      <c r="K15" s="980"/>
      <c r="L15" s="980"/>
      <c r="M15" s="2228">
        <f>IF(C9=0,0,(E12-E13)*100/C9)</f>
        <v>7.1953270312309527</v>
      </c>
      <c r="N15" s="2241">
        <v>6.9560000000000004</v>
      </c>
      <c r="O15" s="2250">
        <f>IF(M15="","",IF(AND(M15=0,N15=0),0,IF(N15=0,1,M15/N15-1)))</f>
        <v>3.4405841177537644E-2</v>
      </c>
      <c r="P15" s="1989"/>
      <c r="Q15" s="2257" t="s">
        <v>511</v>
      </c>
      <c r="R15" s="1989"/>
      <c r="S15" s="1989"/>
      <c r="T15" s="1989"/>
      <c r="U15" s="1989"/>
      <c r="V15" s="1989"/>
      <c r="W15" s="1989"/>
      <c r="X15" s="1989"/>
      <c r="Y15" s="1989"/>
      <c r="Z15" s="1989"/>
    </row>
    <row r="16" spans="1:256">
      <c r="A16" s="954" t="s">
        <v>645</v>
      </c>
      <c r="B16" s="955" t="s">
        <v>527</v>
      </c>
      <c r="C16" s="69">
        <f>Drift!P50</f>
        <v>26722.713</v>
      </c>
      <c r="D16" s="70">
        <f>SUM(Motpart!D15:L15)</f>
        <v>3098.0349999999999</v>
      </c>
      <c r="E16" s="73">
        <f>Drift!W50</f>
        <v>7711.5229999999992</v>
      </c>
      <c r="F16" s="70">
        <f>Motpart!Y15</f>
        <v>177.51400000000001</v>
      </c>
      <c r="G16" s="116">
        <f>Drift!V50</f>
        <v>2733.5549999999998</v>
      </c>
      <c r="H16" s="132"/>
      <c r="I16" s="909" t="s">
        <v>808</v>
      </c>
      <c r="J16" s="1326">
        <v>856248</v>
      </c>
      <c r="K16" s="1241"/>
      <c r="L16" s="1236"/>
      <c r="M16" s="2229">
        <f>(C16-G16-F16)*1000000/J16</f>
        <v>27809.284226065345</v>
      </c>
      <c r="N16" s="2239">
        <v>26911.465</v>
      </c>
      <c r="O16" s="2251">
        <f t="shared" ref="O16:O42" si="1">IF(OR(M16="",N16=""),"",IF(AND(M16=0,N16=0),0,IF(N16=0,1,M16/N16-1)))</f>
        <v>3.3361960267318969E-2</v>
      </c>
      <c r="P16" s="1989"/>
      <c r="Q16" s="2259" t="s">
        <v>854</v>
      </c>
      <c r="R16" s="1989"/>
      <c r="S16" s="1989"/>
      <c r="T16" s="1989"/>
      <c r="U16" s="1989"/>
      <c r="V16" s="1989"/>
      <c r="W16" s="1989"/>
      <c r="X16" s="1989"/>
      <c r="Y16" s="1989"/>
      <c r="Z16" s="1989"/>
    </row>
    <row r="17" spans="1:256">
      <c r="A17" s="949" t="s">
        <v>367</v>
      </c>
      <c r="B17" s="956" t="s">
        <v>355</v>
      </c>
      <c r="C17" s="293">
        <f>C16-G16-D16</f>
        <v>20891.123</v>
      </c>
      <c r="D17" s="942"/>
      <c r="E17" s="943"/>
      <c r="F17" s="943"/>
      <c r="G17" s="940"/>
      <c r="H17" s="136" t="s">
        <v>267</v>
      </c>
      <c r="I17" s="1233"/>
      <c r="J17" s="1234"/>
      <c r="K17" s="1235"/>
      <c r="L17" s="1235"/>
      <c r="M17" s="2227">
        <f>C17*1000000/J16</f>
        <v>24398.44881389504</v>
      </c>
      <c r="N17" s="2240">
        <v>23643.598999999998</v>
      </c>
      <c r="O17" s="2251">
        <f t="shared" si="1"/>
        <v>3.1926180692501305E-2</v>
      </c>
      <c r="P17" s="1989"/>
      <c r="Q17" s="2257" t="s">
        <v>855</v>
      </c>
      <c r="R17" s="1989"/>
      <c r="S17" s="1989"/>
      <c r="T17" s="1989"/>
      <c r="U17" s="1989"/>
      <c r="V17" s="1989"/>
      <c r="W17" s="1989"/>
      <c r="X17" s="1989"/>
      <c r="Y17" s="1989"/>
      <c r="Z17" s="1989"/>
    </row>
    <row r="18" spans="1:256">
      <c r="A18" s="949" t="s">
        <v>368</v>
      </c>
      <c r="B18" s="1796" t="s">
        <v>1043</v>
      </c>
      <c r="C18" s="74">
        <f>Drift!C50+Drift!D50</f>
        <v>14361.798999999999</v>
      </c>
      <c r="D18" s="942"/>
      <c r="E18" s="935"/>
      <c r="F18" s="935"/>
      <c r="G18" s="940"/>
      <c r="H18" s="134" t="s">
        <v>565</v>
      </c>
      <c r="I18" s="1233"/>
      <c r="J18" s="1234"/>
      <c r="K18" s="983"/>
      <c r="L18" s="983"/>
      <c r="M18" s="2227">
        <f>IF(C18=0,0,(C18*100/C17))</f>
        <v>68.74594056049547</v>
      </c>
      <c r="N18" s="2240">
        <v>69.417000000000002</v>
      </c>
      <c r="O18" s="2251">
        <f t="shared" si="1"/>
        <v>-9.667076357441684E-3</v>
      </c>
      <c r="P18" s="1989"/>
      <c r="Q18" s="2257" t="s">
        <v>362</v>
      </c>
      <c r="R18" s="1989"/>
      <c r="S18" s="1989"/>
      <c r="T18" s="1989"/>
      <c r="U18" s="1989"/>
      <c r="V18" s="1989"/>
      <c r="W18" s="1989"/>
      <c r="X18" s="1989"/>
      <c r="Y18" s="1989"/>
      <c r="Z18" s="1989"/>
    </row>
    <row r="19" spans="1:256" ht="13.5" customHeight="1">
      <c r="A19" s="949" t="s">
        <v>369</v>
      </c>
      <c r="B19" s="951" t="s">
        <v>523</v>
      </c>
      <c r="C19" s="1843">
        <v>3882.3240000000001</v>
      </c>
      <c r="D19" s="942" t="str">
        <f>IF(C16=0,"",IF(C19&lt;Drift!I50+Drift!J50+Drift!L50,"Kommentera",""))</f>
        <v/>
      </c>
      <c r="E19" s="206">
        <v>93.929000000000002</v>
      </c>
      <c r="F19" s="937"/>
      <c r="G19" s="222">
        <v>62.78</v>
      </c>
      <c r="H19" s="132"/>
      <c r="I19" s="1937" t="str">
        <f>IF(G19&gt;E19,"Därav kol. G&gt; Kol. E-korrigera!","")</f>
        <v/>
      </c>
      <c r="J19" s="1327"/>
      <c r="K19" s="979"/>
      <c r="L19" s="979"/>
      <c r="M19" s="2230">
        <f>(C19-E19)*1000000/J16</f>
        <v>4424.4132541039507</v>
      </c>
      <c r="N19" s="2239">
        <v>4114</v>
      </c>
      <c r="O19" s="2251">
        <f t="shared" si="1"/>
        <v>7.5452905713162544E-2</v>
      </c>
      <c r="P19" s="1989"/>
      <c r="Q19" s="2257" t="s">
        <v>856</v>
      </c>
      <c r="R19" s="1989"/>
      <c r="S19" s="1989"/>
      <c r="T19" s="1989"/>
      <c r="U19" s="1989"/>
      <c r="V19" s="1989"/>
      <c r="W19" s="1989"/>
      <c r="X19" s="1989"/>
      <c r="Y19" s="1989"/>
      <c r="Z19" s="1989"/>
    </row>
    <row r="20" spans="1:256">
      <c r="A20" s="949" t="s">
        <v>541</v>
      </c>
      <c r="B20" s="951" t="s">
        <v>484</v>
      </c>
      <c r="C20" s="932"/>
      <c r="D20" s="930"/>
      <c r="E20" s="74">
        <f>Drift!R50</f>
        <v>3975.2</v>
      </c>
      <c r="F20" s="936"/>
      <c r="G20" s="845"/>
      <c r="H20" s="346" t="s">
        <v>566</v>
      </c>
      <c r="I20" s="981"/>
      <c r="J20" s="1234"/>
      <c r="K20" s="1235"/>
      <c r="L20" s="1235"/>
      <c r="M20" s="2227">
        <f>IF(D16=0,0,(Motpart!G15+Motpart!K15)*1000000/J16)</f>
        <v>205.21741364651362</v>
      </c>
      <c r="N20" s="2240">
        <v>200.22900000000001</v>
      </c>
      <c r="O20" s="2251">
        <f t="shared" si="1"/>
        <v>2.4913542226718377E-2</v>
      </c>
      <c r="P20" s="1989"/>
      <c r="Q20" s="2257" t="s">
        <v>857</v>
      </c>
      <c r="R20" s="1989"/>
      <c r="S20" s="1989"/>
      <c r="T20" s="1989"/>
      <c r="U20" s="1989"/>
      <c r="V20" s="1989"/>
      <c r="W20" s="1989"/>
      <c r="X20" s="1989"/>
      <c r="Y20" s="1989"/>
      <c r="Z20" s="1989"/>
    </row>
    <row r="21" spans="1:256">
      <c r="A21" s="949" t="s">
        <v>542</v>
      </c>
      <c r="B21" s="951" t="s">
        <v>449</v>
      </c>
      <c r="C21" s="933"/>
      <c r="D21" s="930"/>
      <c r="E21" s="206">
        <v>182.53299999999999</v>
      </c>
      <c r="F21" s="936"/>
      <c r="G21" s="845"/>
      <c r="H21" s="346" t="s">
        <v>567</v>
      </c>
      <c r="I21" s="981"/>
      <c r="J21" s="1234"/>
      <c r="K21" s="1235"/>
      <c r="L21" s="1235"/>
      <c r="M21" s="2227">
        <f>IF(F16=0,0,(F16*1000000/J16))</f>
        <v>207.31610467995253</v>
      </c>
      <c r="N21" s="2240">
        <v>198.661</v>
      </c>
      <c r="O21" s="2251">
        <f t="shared" si="1"/>
        <v>4.3567205842880652E-2</v>
      </c>
      <c r="P21" s="1989"/>
      <c r="Q21" s="2257" t="s">
        <v>858</v>
      </c>
      <c r="R21" s="1989"/>
      <c r="S21" s="1989"/>
      <c r="T21" s="1989"/>
      <c r="U21" s="1989"/>
      <c r="V21" s="1989"/>
      <c r="W21" s="1989"/>
      <c r="X21" s="1989"/>
      <c r="Y21" s="1989"/>
      <c r="Z21" s="1989"/>
      <c r="IV21" s="216"/>
    </row>
    <row r="22" spans="1:256">
      <c r="A22" s="952" t="s">
        <v>554</v>
      </c>
      <c r="B22" s="957"/>
      <c r="C22" s="933"/>
      <c r="D22" s="931"/>
      <c r="E22" s="939"/>
      <c r="F22" s="937"/>
      <c r="G22" s="845"/>
      <c r="H22" s="346" t="s">
        <v>568</v>
      </c>
      <c r="I22" s="981"/>
      <c r="J22" s="1234"/>
      <c r="K22" s="1235"/>
      <c r="L22" s="1235"/>
      <c r="M22" s="2227">
        <f>IF(D16=0,0,((Motpart!D15+Motpart!E15+Motpart!F15+Motpart!I15+Motpart!J15)-((Motpart!D15+Motpart!E15+Motpart!F15+Motpart!J15)*0.06))*1000000/J16)</f>
        <v>3212.5791359512664</v>
      </c>
      <c r="N22" s="2240">
        <v>3073.5540000000001</v>
      </c>
      <c r="O22" s="2251">
        <f t="shared" si="1"/>
        <v>4.5232696725441057E-2</v>
      </c>
      <c r="P22" s="1989"/>
      <c r="Q22" s="2257" t="s">
        <v>859</v>
      </c>
      <c r="R22" s="1989"/>
      <c r="S22" s="1989"/>
      <c r="T22" s="1989"/>
      <c r="U22" s="1989"/>
      <c r="V22" s="1989"/>
      <c r="W22" s="1989"/>
      <c r="X22" s="1989"/>
      <c r="Y22" s="1989"/>
      <c r="Z22" s="1989"/>
      <c r="IV22" s="216"/>
    </row>
    <row r="23" spans="1:256" ht="13.5" thickBot="1">
      <c r="A23" s="952" t="s">
        <v>543</v>
      </c>
      <c r="B23" s="957"/>
      <c r="C23" s="933"/>
      <c r="D23" s="931"/>
      <c r="E23" s="931"/>
      <c r="F23" s="931"/>
      <c r="G23" s="941"/>
      <c r="H23" s="347"/>
      <c r="I23" s="557"/>
      <c r="J23" s="1328"/>
      <c r="K23" s="980"/>
      <c r="L23" s="980"/>
      <c r="M23" s="2231">
        <f>IF(E20=0,0,(E20-E21)*100/C17)</f>
        <v>18.154442918171512</v>
      </c>
      <c r="N23" s="2241">
        <v>17.231000000000002</v>
      </c>
      <c r="O23" s="2252">
        <f>IF(OR(M23="",N23=""),"",IF(AND(M23=0,N23=0),0,IF(N23=0,1,M23/N23-1)))</f>
        <v>5.3591951608816135E-2</v>
      </c>
      <c r="P23" s="1989"/>
      <c r="Q23" s="2260" t="s">
        <v>512</v>
      </c>
      <c r="R23" s="1989"/>
      <c r="S23" s="1989"/>
      <c r="T23" s="1989"/>
      <c r="U23" s="1989"/>
      <c r="V23" s="1989"/>
      <c r="W23" s="1989"/>
      <c r="X23" s="1989"/>
      <c r="Y23" s="1989"/>
      <c r="Z23" s="1989"/>
      <c r="IV23" s="216"/>
    </row>
    <row r="24" spans="1:256">
      <c r="A24" s="954" t="s">
        <v>373</v>
      </c>
      <c r="B24" s="958" t="s">
        <v>528</v>
      </c>
      <c r="C24" s="69">
        <f>Drift!P53</f>
        <v>10635.877999999997</v>
      </c>
      <c r="D24" s="70">
        <f>SUM(Motpart!D17:L17)</f>
        <v>1424.5780000000002</v>
      </c>
      <c r="E24" s="70">
        <f>Drift!W53</f>
        <v>1705.2549999999999</v>
      </c>
      <c r="F24" s="70">
        <f>Motpart!Y17</f>
        <v>62.915999999999997</v>
      </c>
      <c r="G24" s="116">
        <f>Drift!V53</f>
        <v>1101.0889999999999</v>
      </c>
      <c r="H24" s="147"/>
      <c r="I24" s="909" t="s">
        <v>809</v>
      </c>
      <c r="J24" s="1326">
        <v>117565</v>
      </c>
      <c r="K24" s="1238"/>
      <c r="L24" s="1236"/>
      <c r="M24" s="2229">
        <f>(C24-G24-F24)*1000000/J24</f>
        <v>80567.116063454247</v>
      </c>
      <c r="N24" s="2239">
        <v>77880.747000000003</v>
      </c>
      <c r="O24" s="2253">
        <f t="shared" si="1"/>
        <v>3.4493365394328457E-2</v>
      </c>
      <c r="P24" s="1989"/>
      <c r="Q24" s="2257" t="s">
        <v>848</v>
      </c>
      <c r="R24" s="1989"/>
      <c r="S24" s="1989"/>
      <c r="T24" s="1989"/>
      <c r="U24" s="1989"/>
      <c r="V24" s="1989"/>
      <c r="W24" s="1989"/>
      <c r="X24" s="1989"/>
      <c r="Y24" s="1989"/>
      <c r="Z24" s="1989"/>
    </row>
    <row r="25" spans="1:256">
      <c r="A25" s="949" t="s">
        <v>370</v>
      </c>
      <c r="B25" s="959" t="s">
        <v>355</v>
      </c>
      <c r="C25" s="293">
        <f>C24-G24-D24</f>
        <v>8110.2109999999966</v>
      </c>
      <c r="D25" s="942"/>
      <c r="E25" s="943"/>
      <c r="F25" s="943"/>
      <c r="G25" s="940"/>
      <c r="H25" s="346" t="s">
        <v>569</v>
      </c>
      <c r="I25" s="981"/>
      <c r="J25" s="1234"/>
      <c r="K25" s="1235"/>
      <c r="L25" s="1235"/>
      <c r="M25" s="2227">
        <f>C25*1000000/J24</f>
        <v>68984.910475056313</v>
      </c>
      <c r="N25" s="2136">
        <v>67210.62</v>
      </c>
      <c r="O25" s="2251">
        <f t="shared" si="1"/>
        <v>2.6398960090776136E-2</v>
      </c>
      <c r="P25" s="1989"/>
      <c r="Q25" s="2257" t="s">
        <v>849</v>
      </c>
      <c r="R25" s="1989"/>
      <c r="S25" s="1989"/>
      <c r="T25" s="1989"/>
      <c r="U25" s="1989"/>
      <c r="V25" s="1989"/>
      <c r="W25" s="1989"/>
      <c r="X25" s="1989"/>
      <c r="Y25" s="1989"/>
      <c r="Z25" s="1989"/>
    </row>
    <row r="26" spans="1:256">
      <c r="A26" s="949" t="s">
        <v>371</v>
      </c>
      <c r="B26" s="1797" t="s">
        <v>1043</v>
      </c>
      <c r="C26" s="74">
        <f>Drift!C53+Drift!D53</f>
        <v>4952.6669999999995</v>
      </c>
      <c r="D26" s="942"/>
      <c r="E26" s="935"/>
      <c r="F26" s="935"/>
      <c r="G26" s="940"/>
      <c r="H26" s="147" t="s">
        <v>373</v>
      </c>
      <c r="I26" s="981"/>
      <c r="J26" s="1234"/>
      <c r="K26" s="983"/>
      <c r="L26" s="983"/>
      <c r="M26" s="2228">
        <f>IF(C26=0,0,C26*100/C25)</f>
        <v>61.067054852210397</v>
      </c>
      <c r="N26" s="2240">
        <v>62.295999999999999</v>
      </c>
      <c r="O26" s="2251">
        <f t="shared" si="1"/>
        <v>-1.9727512966957739E-2</v>
      </c>
      <c r="P26" s="1989"/>
      <c r="Q26" s="2257" t="s">
        <v>363</v>
      </c>
      <c r="R26" s="1989"/>
      <c r="S26" s="1989"/>
      <c r="T26" s="1989"/>
      <c r="U26" s="1989"/>
      <c r="V26" s="1989"/>
      <c r="W26" s="1989"/>
      <c r="X26" s="1989"/>
      <c r="Y26" s="1989"/>
      <c r="Z26" s="1989"/>
    </row>
    <row r="27" spans="1:256">
      <c r="A27" s="952" t="s">
        <v>372</v>
      </c>
      <c r="B27" s="951" t="s">
        <v>523</v>
      </c>
      <c r="C27" s="1843">
        <v>1992.617</v>
      </c>
      <c r="D27" s="942" t="str">
        <f>IF(C24=0,"",IF(C27&lt;Drift!I53+Drift!J53+Drift!L53,"Kommentera",""))</f>
        <v/>
      </c>
      <c r="E27" s="206">
        <v>61.350999999999999</v>
      </c>
      <c r="F27" s="937"/>
      <c r="G27" s="222">
        <v>43.058999999999997</v>
      </c>
      <c r="H27" s="346"/>
      <c r="I27" s="1938" t="str">
        <f>IF(G27&gt;E27,"Därav kol. G&gt; Kol. E- korrigera!","")</f>
        <v/>
      </c>
      <c r="J27" s="1063"/>
      <c r="K27" s="979"/>
      <c r="L27" s="979"/>
      <c r="M27" s="2227">
        <f>(C27-E27)*1000000/J24</f>
        <v>16427.218985242205</v>
      </c>
      <c r="N27" s="2240">
        <v>15538.942999999999</v>
      </c>
      <c r="O27" s="2251">
        <f t="shared" si="1"/>
        <v>5.7164505027285761E-2</v>
      </c>
      <c r="P27" s="1989"/>
      <c r="Q27" s="2257" t="s">
        <v>850</v>
      </c>
      <c r="R27" s="1989"/>
      <c r="S27" s="1989"/>
      <c r="T27" s="1989"/>
      <c r="U27" s="1989"/>
      <c r="V27" s="1989"/>
      <c r="W27" s="1989"/>
      <c r="X27" s="1989"/>
      <c r="Y27" s="1989"/>
      <c r="Z27" s="1989"/>
    </row>
    <row r="28" spans="1:256">
      <c r="A28" s="952" t="s">
        <v>544</v>
      </c>
      <c r="B28" s="960"/>
      <c r="C28" s="942"/>
      <c r="D28" s="942"/>
      <c r="E28" s="942"/>
      <c r="F28" s="937"/>
      <c r="G28" s="845"/>
      <c r="H28" s="147" t="s">
        <v>570</v>
      </c>
      <c r="I28" s="981"/>
      <c r="J28" s="1234"/>
      <c r="K28" s="1235"/>
      <c r="L28" s="1235"/>
      <c r="M28" s="2228">
        <f>(Motpart!G17+Motpart!K17)*1000000/J24</f>
        <v>527.3508272019734</v>
      </c>
      <c r="N28" s="2240">
        <v>508.851</v>
      </c>
      <c r="O28" s="2251">
        <f t="shared" si="1"/>
        <v>3.635607909186267E-2</v>
      </c>
      <c r="P28" s="1989"/>
      <c r="Q28" s="2257" t="s">
        <v>851</v>
      </c>
      <c r="R28" s="1989"/>
      <c r="S28" s="1989"/>
      <c r="T28" s="1989"/>
      <c r="U28" s="1989"/>
      <c r="V28" s="1989"/>
      <c r="W28" s="1989"/>
      <c r="X28" s="1989"/>
      <c r="Y28" s="1989"/>
      <c r="Z28" s="1989"/>
    </row>
    <row r="29" spans="1:256">
      <c r="A29" s="952" t="s">
        <v>545</v>
      </c>
      <c r="B29" s="961"/>
      <c r="C29" s="942"/>
      <c r="D29" s="942"/>
      <c r="E29" s="942"/>
      <c r="F29" s="937"/>
      <c r="G29" s="845"/>
      <c r="H29" s="345" t="s">
        <v>571</v>
      </c>
      <c r="I29" s="981"/>
      <c r="J29" s="1234"/>
      <c r="K29" s="1235"/>
      <c r="L29" s="1235"/>
      <c r="M29" s="2232">
        <f>F24*1000000/J24</f>
        <v>535.15927359333136</v>
      </c>
      <c r="N29" s="2240">
        <v>491.44900000000001</v>
      </c>
      <c r="O29" s="2251">
        <f t="shared" si="1"/>
        <v>8.8941626889730951E-2</v>
      </c>
      <c r="P29" s="1989"/>
      <c r="Q29" s="2257" t="s">
        <v>852</v>
      </c>
      <c r="R29" s="1989"/>
      <c r="S29" s="1989"/>
      <c r="T29" s="1989"/>
      <c r="U29" s="1989"/>
      <c r="V29" s="1989"/>
      <c r="W29" s="1989"/>
      <c r="X29" s="1989"/>
      <c r="Y29" s="1989"/>
      <c r="Z29" s="1989"/>
    </row>
    <row r="30" spans="1:256" ht="13.5" thickBot="1">
      <c r="A30" s="952" t="s">
        <v>553</v>
      </c>
      <c r="B30" s="962"/>
      <c r="C30" s="942"/>
      <c r="D30" s="942"/>
      <c r="E30" s="942"/>
      <c r="F30" s="937"/>
      <c r="G30" s="1109"/>
      <c r="H30" s="348" t="s">
        <v>572</v>
      </c>
      <c r="I30" s="557"/>
      <c r="J30" s="1239"/>
      <c r="K30" s="1240"/>
      <c r="L30" s="1240"/>
      <c r="M30" s="2233">
        <f>(Motpart!D17+Motpart!E17+Motpart!F17+Motpart!I17+Motpart!J17-(Motpart!D17+Motpart!E17+Motpart!F17+Motpart!J17)*0.06)*1000000/J24</f>
        <v>10897.35499510909</v>
      </c>
      <c r="N30" s="2136">
        <v>10015.620999999999</v>
      </c>
      <c r="O30" s="2254">
        <f t="shared" si="1"/>
        <v>8.8035878664846745E-2</v>
      </c>
      <c r="P30" s="1989"/>
      <c r="Q30" s="2260" t="s">
        <v>853</v>
      </c>
      <c r="R30" s="1989"/>
      <c r="S30" s="1989"/>
      <c r="T30" s="1989"/>
      <c r="U30" s="1989"/>
      <c r="V30" s="1989"/>
      <c r="W30" s="1989"/>
      <c r="X30" s="1989"/>
      <c r="Y30" s="1989"/>
      <c r="Z30" s="1989"/>
    </row>
    <row r="31" spans="1:256">
      <c r="A31" s="954" t="s">
        <v>385</v>
      </c>
      <c r="B31" s="963" t="s">
        <v>529</v>
      </c>
      <c r="C31" s="69">
        <f>Drift!P54</f>
        <v>178256.93800000005</v>
      </c>
      <c r="D31" s="70">
        <f>SUM(Motpart!D18:L18)</f>
        <v>24794.425999999999</v>
      </c>
      <c r="E31" s="70">
        <f>Drift!W54</f>
        <v>32217.058999999997</v>
      </c>
      <c r="F31" s="70">
        <f>Motpart!Y18</f>
        <v>1661.0050000000001</v>
      </c>
      <c r="G31" s="116">
        <f>Drift!V54</f>
        <v>15257.191999999999</v>
      </c>
      <c r="H31" s="349"/>
      <c r="I31" s="909" t="s">
        <v>810</v>
      </c>
      <c r="J31" s="1326">
        <v>1120061</v>
      </c>
      <c r="K31" s="1236"/>
      <c r="L31" s="1236"/>
      <c r="M31" s="2234">
        <f>SUM(M32:M34,M36:M38)</f>
        <v>119125.91099949018</v>
      </c>
      <c r="N31" s="2242">
        <v>117107.56600000001</v>
      </c>
      <c r="O31" s="2251">
        <f t="shared" si="1"/>
        <v>1.7234966692845299E-2</v>
      </c>
      <c r="P31" s="1989"/>
      <c r="Q31" s="2257" t="s">
        <v>836</v>
      </c>
      <c r="R31" s="1989"/>
      <c r="S31" s="1989"/>
      <c r="T31" s="1989"/>
      <c r="U31" s="1989"/>
      <c r="V31" s="1989"/>
      <c r="W31" s="1989"/>
      <c r="X31" s="1989"/>
      <c r="Y31" s="1989"/>
      <c r="Z31" s="1989"/>
    </row>
    <row r="32" spans="1:256">
      <c r="A32" s="949" t="s">
        <v>374</v>
      </c>
      <c r="B32" s="964" t="s">
        <v>493</v>
      </c>
      <c r="C32" s="223">
        <v>78165.308999999994</v>
      </c>
      <c r="D32" s="942"/>
      <c r="E32" s="206">
        <v>4738.0630000000001</v>
      </c>
      <c r="F32" s="943"/>
      <c r="G32" s="222">
        <v>4562.8540000000003</v>
      </c>
      <c r="H32" s="134" t="s">
        <v>573</v>
      </c>
      <c r="I32" s="1937"/>
      <c r="J32" s="1724"/>
      <c r="K32" s="1724"/>
      <c r="L32" s="1724"/>
      <c r="M32" s="2227">
        <f>(C32-E32)*1000000/J31</f>
        <v>65556.4705850842</v>
      </c>
      <c r="N32" s="2243">
        <v>64823.731</v>
      </c>
      <c r="O32" s="2251">
        <f t="shared" si="1"/>
        <v>1.1303570062701329E-2</v>
      </c>
      <c r="P32" s="1989"/>
      <c r="Q32" s="2257" t="s">
        <v>837</v>
      </c>
      <c r="R32" s="1989"/>
      <c r="S32" s="1989"/>
      <c r="T32" s="1989"/>
      <c r="U32" s="1989"/>
      <c r="V32" s="1989"/>
      <c r="W32" s="1989"/>
      <c r="X32" s="1989"/>
      <c r="Y32" s="1989"/>
      <c r="Z32" s="1989"/>
    </row>
    <row r="33" spans="1:26">
      <c r="A33" s="949" t="s">
        <v>375</v>
      </c>
      <c r="B33" s="964" t="s">
        <v>800</v>
      </c>
      <c r="C33" s="223">
        <v>5902.7430000000004</v>
      </c>
      <c r="D33" s="942"/>
      <c r="E33" s="206">
        <v>144.65100000000001</v>
      </c>
      <c r="F33" s="935"/>
      <c r="G33" s="222">
        <v>90.275999999999996</v>
      </c>
      <c r="H33" s="134" t="s">
        <v>574</v>
      </c>
      <c r="I33" s="1937"/>
      <c r="J33" s="1234"/>
      <c r="K33" s="983"/>
      <c r="L33" s="983"/>
      <c r="M33" s="2227">
        <f>(C33-E33)*1000000/J31</f>
        <v>5140.8735774212309</v>
      </c>
      <c r="N33" s="2240">
        <v>4915.3059999999996</v>
      </c>
      <c r="O33" s="2251">
        <f t="shared" si="1"/>
        <v>4.5890851438594282E-2</v>
      </c>
      <c r="P33" s="1989"/>
      <c r="Q33" s="2257" t="s">
        <v>838</v>
      </c>
      <c r="R33" s="1989"/>
      <c r="S33" s="1989"/>
      <c r="T33" s="1989"/>
      <c r="U33" s="1989"/>
      <c r="V33" s="1989"/>
      <c r="W33" s="1989"/>
      <c r="X33" s="1989"/>
      <c r="Y33" s="1989"/>
      <c r="Z33" s="1989"/>
    </row>
    <row r="34" spans="1:26">
      <c r="A34" s="949" t="s">
        <v>376</v>
      </c>
      <c r="B34" s="964" t="s">
        <v>510</v>
      </c>
      <c r="C34" s="223">
        <v>8233.8150000000005</v>
      </c>
      <c r="D34" s="942"/>
      <c r="E34" s="206">
        <v>754.36400000000003</v>
      </c>
      <c r="F34" s="935"/>
      <c r="G34" s="222">
        <v>594.24300000000005</v>
      </c>
      <c r="H34" s="134"/>
      <c r="I34" s="1937"/>
      <c r="J34" s="1063"/>
      <c r="K34" s="979"/>
      <c r="L34" s="979"/>
      <c r="M34" s="2227">
        <f>(C34-E34)*1000000/J31</f>
        <v>6677.7175528832813</v>
      </c>
      <c r="N34" s="2136">
        <v>6524.5510000000004</v>
      </c>
      <c r="O34" s="2251">
        <f t="shared" si="1"/>
        <v>2.3475416604649357E-2</v>
      </c>
      <c r="P34" s="1989"/>
      <c r="Q34" s="2257" t="s">
        <v>839</v>
      </c>
      <c r="R34" s="1989"/>
      <c r="S34" s="1989"/>
      <c r="T34" s="1989"/>
      <c r="U34" s="1989"/>
      <c r="V34" s="1989"/>
      <c r="W34" s="1989"/>
      <c r="X34" s="1989"/>
      <c r="Y34" s="1989"/>
      <c r="Z34" s="1989"/>
    </row>
    <row r="35" spans="1:26">
      <c r="A35" s="949" t="s">
        <v>377</v>
      </c>
      <c r="B35" s="964" t="s">
        <v>491</v>
      </c>
      <c r="C35" s="223">
        <v>4287.518</v>
      </c>
      <c r="D35" s="942" t="str">
        <f>IF(C31=0,"",IF(OR(C35=0,C35=""),"Kommentera",""))</f>
        <v/>
      </c>
      <c r="E35" s="206">
        <v>27.061</v>
      </c>
      <c r="F35" s="935"/>
      <c r="G35" s="222">
        <v>12.885999999999999</v>
      </c>
      <c r="H35" s="134" t="s">
        <v>575</v>
      </c>
      <c r="I35" s="1936"/>
      <c r="J35" s="1234"/>
      <c r="K35" s="1235"/>
      <c r="L35" s="1235"/>
      <c r="M35" s="2227">
        <f>(C35-E35)*1000000/J31</f>
        <v>3803.7722945446726</v>
      </c>
      <c r="N35" s="2243">
        <v>3776.7489999999998</v>
      </c>
      <c r="O35" s="2251">
        <f t="shared" si="1"/>
        <v>7.155173548645255E-3</v>
      </c>
      <c r="P35" s="1989"/>
      <c r="Q35" s="2257" t="s">
        <v>840</v>
      </c>
      <c r="R35" s="1989"/>
      <c r="S35" s="1989"/>
      <c r="T35" s="1989"/>
      <c r="U35" s="1989"/>
      <c r="V35" s="1989"/>
      <c r="W35" s="1989"/>
      <c r="X35" s="1989"/>
      <c r="Y35" s="1989"/>
      <c r="Z35" s="1989"/>
    </row>
    <row r="36" spans="1:26" ht="15" customHeight="1">
      <c r="A36" s="949" t="s">
        <v>378</v>
      </c>
      <c r="B36" s="965" t="s">
        <v>724</v>
      </c>
      <c r="C36" s="223">
        <v>5024.982</v>
      </c>
      <c r="D36" s="942"/>
      <c r="E36" s="206">
        <v>188.06700000000001</v>
      </c>
      <c r="F36" s="934"/>
      <c r="G36" s="222">
        <v>142.721</v>
      </c>
      <c r="H36" s="134" t="s">
        <v>576</v>
      </c>
      <c r="I36" s="1730"/>
      <c r="J36" s="1234"/>
      <c r="K36" s="1235"/>
      <c r="L36" s="1235"/>
      <c r="M36" s="2227">
        <f>(C36-E36)*1000000/J31</f>
        <v>4318.4389064524166</v>
      </c>
      <c r="N36" s="2243">
        <v>4140.3540000000003</v>
      </c>
      <c r="O36" s="2251">
        <f t="shared" si="1"/>
        <v>4.3012000049371668E-2</v>
      </c>
      <c r="P36" s="1989"/>
      <c r="Q36" s="2257" t="s">
        <v>841</v>
      </c>
      <c r="R36" s="1989"/>
      <c r="S36" s="1989"/>
      <c r="T36" s="1989"/>
      <c r="U36" s="1989"/>
      <c r="V36" s="1989"/>
      <c r="W36" s="1989"/>
      <c r="X36" s="1989"/>
      <c r="Y36" s="1989"/>
      <c r="Z36" s="1989"/>
    </row>
    <row r="37" spans="1:26" s="173" customFormat="1">
      <c r="A37" s="949" t="s">
        <v>233</v>
      </c>
      <c r="B37" s="966" t="s">
        <v>524</v>
      </c>
      <c r="C37" s="223">
        <v>24813.545999999998</v>
      </c>
      <c r="D37" s="942" t="str">
        <f>IF(C31=0,"",IF(C37&lt;Drift!I54+Drift!J54+Drift!L54,"Kommentera",""))</f>
        <v/>
      </c>
      <c r="E37" s="206">
        <v>806.96100000000001</v>
      </c>
      <c r="F37" s="865"/>
      <c r="G37" s="222">
        <v>739.61</v>
      </c>
      <c r="H37" s="148" t="s">
        <v>577</v>
      </c>
      <c r="I37" s="1730"/>
      <c r="J37" s="1234"/>
      <c r="K37" s="1235"/>
      <c r="L37" s="1235"/>
      <c r="M37" s="2227">
        <f>(C37-E37)*1000000/J31</f>
        <v>21433.283544378388</v>
      </c>
      <c r="N37" s="2240">
        <v>20412.392</v>
      </c>
      <c r="O37" s="2251">
        <f t="shared" si="1"/>
        <v>5.0013322514009584E-2</v>
      </c>
      <c r="P37" s="1989"/>
      <c r="Q37" s="2257" t="s">
        <v>842</v>
      </c>
      <c r="R37" s="1989"/>
      <c r="S37" s="1989"/>
      <c r="T37" s="1989"/>
      <c r="U37" s="1989"/>
      <c r="V37" s="1989"/>
      <c r="W37" s="1989"/>
      <c r="X37" s="1989"/>
      <c r="Y37" s="1989"/>
      <c r="Z37" s="1989"/>
    </row>
    <row r="38" spans="1:26" s="173" customFormat="1" ht="12.75" customHeight="1">
      <c r="A38" s="949" t="s">
        <v>379</v>
      </c>
      <c r="B38" s="964" t="s">
        <v>444</v>
      </c>
      <c r="C38" s="223">
        <v>21235.704000000002</v>
      </c>
      <c r="D38" s="942"/>
      <c r="E38" s="206">
        <v>22537.407999999999</v>
      </c>
      <c r="F38" s="865"/>
      <c r="G38" s="222">
        <v>9114.6010000000006</v>
      </c>
      <c r="H38" s="134"/>
      <c r="I38" s="2481" t="str">
        <f>IF(SUM(E38-G38+100)&lt;Motpart!AA18,"I Motparten är statsbidragen "&amp;""&amp;(Motpart!AA18)&amp;" tkr. Alla bidrag från staten o statliga myndigheter, inklusive de från Migrationsverket, ska ingå under Övrigt som extern intäkt. De externa intäkterna på Övrigt-raden är dock bara "&amp;""&amp;(ROUND(E38-G38,0))&amp;" tkr. ","")</f>
        <v/>
      </c>
      <c r="J38" s="1727"/>
      <c r="K38" s="1727"/>
      <c r="L38" s="1727"/>
      <c r="M38" s="2227">
        <f>((C38+C39-G38)*1000000/J31)</f>
        <v>15999.126833270688</v>
      </c>
      <c r="N38" s="2243">
        <v>16291.232</v>
      </c>
      <c r="O38" s="2251">
        <f t="shared" si="1"/>
        <v>-1.7930207287534361E-2</v>
      </c>
      <c r="P38" s="1989"/>
      <c r="Q38" s="2257" t="s">
        <v>843</v>
      </c>
      <c r="R38" s="1989"/>
      <c r="S38" s="1989"/>
      <c r="T38" s="1989"/>
      <c r="U38" s="1989"/>
      <c r="V38" s="1989"/>
      <c r="W38" s="1989"/>
      <c r="X38" s="1989"/>
      <c r="Y38" s="1989"/>
      <c r="Z38" s="1989"/>
    </row>
    <row r="39" spans="1:26" s="173" customFormat="1">
      <c r="A39" s="949" t="s">
        <v>380</v>
      </c>
      <c r="B39" s="967" t="s">
        <v>492</v>
      </c>
      <c r="C39" s="223">
        <v>5798.8950000000004</v>
      </c>
      <c r="D39" s="1878"/>
      <c r="E39" s="867"/>
      <c r="F39" s="867"/>
      <c r="G39" s="944"/>
      <c r="H39" s="147"/>
      <c r="I39" s="2482"/>
      <c r="J39" s="1728"/>
      <c r="K39" s="1728"/>
      <c r="L39" s="1728"/>
      <c r="M39" s="2228">
        <f>(M31*J31/1000000+D31-F31-(Motpart!D18+Motpart!E18+Motpart!F18+Motpart!J18)*0.06)*1000000/J31+M35</f>
        <v>142369.64465328224</v>
      </c>
      <c r="N39" s="2243">
        <v>139832.283</v>
      </c>
      <c r="O39" s="2251">
        <f t="shared" si="1"/>
        <v>1.8145750028855989E-2</v>
      </c>
      <c r="P39" s="1989"/>
      <c r="Q39" s="2257" t="s">
        <v>844</v>
      </c>
      <c r="R39" s="1989"/>
      <c r="S39" s="1989"/>
      <c r="T39" s="1989"/>
      <c r="U39" s="1989"/>
      <c r="V39" s="1989"/>
      <c r="W39" s="1989"/>
      <c r="X39" s="1989"/>
      <c r="Y39" s="1989"/>
      <c r="Z39" s="1989"/>
    </row>
    <row r="40" spans="1:26">
      <c r="A40" s="968" t="s">
        <v>546</v>
      </c>
      <c r="B40" s="969" t="s">
        <v>126</v>
      </c>
      <c r="C40" s="1106">
        <f>(C31-SUM(C32:C39)-D31)*-1</f>
        <v>-6.5483618527650833E-11</v>
      </c>
      <c r="D40" s="931"/>
      <c r="E40" s="1107">
        <f>(E31-SUM(E32:E38)-F31-(Motpart!D18+Motpart!E18+Motpart!F18)*0.06)*-1</f>
        <v>-5.6000000017775164E-4</v>
      </c>
      <c r="F40" s="931"/>
      <c r="G40" s="1108">
        <f>(G31-SUM(G32:G38))*-1</f>
        <v>-9.9999999656574801E-4</v>
      </c>
      <c r="H40" s="136"/>
      <c r="I40" s="2482"/>
      <c r="J40" s="1728"/>
      <c r="K40" s="1728"/>
      <c r="L40" s="1728"/>
      <c r="M40" s="2227">
        <f>(Motpart!G18+Motpart!K18)*1000000/J31</f>
        <v>1486.226196608935</v>
      </c>
      <c r="N40" s="2243">
        <v>1482.46</v>
      </c>
      <c r="O40" s="2251">
        <f t="shared" si="1"/>
        <v>2.5405047076716425E-3</v>
      </c>
      <c r="P40" s="1989"/>
      <c r="Q40" s="2257" t="s">
        <v>845</v>
      </c>
      <c r="R40" s="1989"/>
      <c r="S40" s="1989"/>
      <c r="T40" s="1989"/>
      <c r="U40" s="1989"/>
      <c r="V40" s="1989"/>
      <c r="W40" s="1989"/>
      <c r="X40" s="1989"/>
      <c r="Y40" s="1989"/>
      <c r="Z40" s="1989"/>
    </row>
    <row r="41" spans="1:26">
      <c r="A41" s="968" t="s">
        <v>547</v>
      </c>
      <c r="B41" s="969"/>
      <c r="C41" s="933"/>
      <c r="D41" s="931"/>
      <c r="E41" s="931"/>
      <c r="F41" s="931"/>
      <c r="G41" s="941"/>
      <c r="H41" s="136"/>
      <c r="I41" s="2482"/>
      <c r="J41" s="1728"/>
      <c r="K41" s="1728"/>
      <c r="L41" s="1728"/>
      <c r="M41" s="2228">
        <f>F31*1000000/J31</f>
        <v>1482.9594102464062</v>
      </c>
      <c r="N41" s="2243">
        <v>1472.4639999999999</v>
      </c>
      <c r="O41" s="2251">
        <f t="shared" si="1"/>
        <v>7.127787332258162E-3</v>
      </c>
      <c r="P41" s="1989"/>
      <c r="Q41" s="2257" t="s">
        <v>846</v>
      </c>
      <c r="R41" s="1989"/>
      <c r="S41" s="1989"/>
      <c r="T41" s="1989"/>
      <c r="U41" s="1989"/>
      <c r="V41" s="1989"/>
      <c r="W41" s="1989"/>
      <c r="X41" s="1989"/>
      <c r="Y41" s="1989"/>
      <c r="Z41" s="1989"/>
    </row>
    <row r="42" spans="1:26">
      <c r="A42" s="949" t="s">
        <v>548</v>
      </c>
      <c r="B42" s="967"/>
      <c r="C42" s="933"/>
      <c r="D42" s="931"/>
      <c r="E42" s="931"/>
      <c r="F42" s="931"/>
      <c r="G42" s="941"/>
      <c r="H42" s="136"/>
      <c r="I42" s="2482"/>
      <c r="J42" s="1729"/>
      <c r="K42" s="1729"/>
      <c r="L42" s="1729"/>
      <c r="M42" s="2232">
        <f>((Motpart!D18+Motpart!E18+Motpart!F18+Motpart!J18-(Motpart!D18+Motpart!E18+Motpart!F18+Motpart!J18)*0.06))*1000000/J31</f>
        <v>19015.47822841792</v>
      </c>
      <c r="N42" s="2243">
        <v>18531.166000000001</v>
      </c>
      <c r="O42" s="2251">
        <f t="shared" si="1"/>
        <v>2.6135011062871971E-2</v>
      </c>
      <c r="P42" s="1989"/>
      <c r="Q42" s="2257" t="s">
        <v>847</v>
      </c>
      <c r="R42" s="1989"/>
      <c r="S42" s="1989"/>
      <c r="T42" s="1989"/>
      <c r="U42" s="1989"/>
      <c r="V42" s="1989"/>
      <c r="W42" s="1989"/>
      <c r="X42" s="1989"/>
      <c r="Y42" s="1989"/>
      <c r="Z42" s="1989"/>
    </row>
    <row r="43" spans="1:26" ht="13.5" thickBot="1">
      <c r="A43" s="970"/>
      <c r="B43" s="971"/>
      <c r="C43" s="1613" t="str">
        <f>IF(ABS(C40)&lt;100,"",IF(C31=0,"C31",IF(ABS(C40/C31)&gt;0.01,"C40")))</f>
        <v/>
      </c>
      <c r="D43" s="1614"/>
      <c r="E43" s="1611" t="str">
        <f>IF(ABS(E40)&lt;100,"",IF(E31=0,"E31",IF(ABS(E40/E31)&gt;0.01,"E40")))</f>
        <v/>
      </c>
      <c r="F43" s="1614"/>
      <c r="G43" s="1615" t="str">
        <f>IF(ABS(G40)&lt;100,"",IF(G31=0,"G31",IF(ABS(G40/G31)&gt;0.01,"G40")))</f>
        <v/>
      </c>
      <c r="H43" s="135"/>
      <c r="I43" s="982"/>
      <c r="J43" s="1328"/>
      <c r="K43" s="980"/>
      <c r="L43" s="980"/>
      <c r="M43" s="2233"/>
      <c r="N43" s="2241"/>
      <c r="O43" s="2255"/>
      <c r="P43" s="1989"/>
      <c r="Q43" s="2260" t="s">
        <v>495</v>
      </c>
      <c r="R43" s="1989"/>
      <c r="S43" s="1989"/>
      <c r="T43" s="1989"/>
      <c r="U43" s="1989"/>
      <c r="V43" s="1989"/>
      <c r="W43" s="1989"/>
      <c r="X43" s="1989"/>
      <c r="Y43" s="1989"/>
      <c r="Z43" s="1989"/>
    </row>
    <row r="44" spans="1:26">
      <c r="A44" s="954" t="s">
        <v>386</v>
      </c>
      <c r="B44" s="2265" t="s">
        <v>1177</v>
      </c>
      <c r="C44" s="69">
        <f>Drift!P55</f>
        <v>11174.62</v>
      </c>
      <c r="D44" s="70">
        <f>SUM(Motpart!D19:L19)</f>
        <v>758.72899999999993</v>
      </c>
      <c r="E44" s="70">
        <f>Drift!W55</f>
        <v>1566.444</v>
      </c>
      <c r="F44" s="70">
        <f>Motpart!Y19</f>
        <v>310.75799999999998</v>
      </c>
      <c r="G44" s="116">
        <f>Drift!V55</f>
        <v>1011.6420000000001</v>
      </c>
      <c r="H44" s="138"/>
      <c r="I44" s="1237" t="s">
        <v>810</v>
      </c>
      <c r="J44" s="1326">
        <v>1120061</v>
      </c>
      <c r="K44" s="1238"/>
      <c r="L44" s="1236"/>
      <c r="M44" s="2228">
        <f>SUM(M45:M47,M49:M51)</f>
        <v>7566.033457106354</v>
      </c>
      <c r="N44" s="2136">
        <v>6890.2330000000002</v>
      </c>
      <c r="O44" s="2251">
        <f t="shared" ref="O44:O80" si="2">IF(OR(M44="",N44=""),"",IF(AND(M44=0,N44=0),0,IF(N44=0,1,M44/N44-1)))</f>
        <v>9.8080929499242409E-2</v>
      </c>
      <c r="P44" s="1989"/>
      <c r="Q44" s="2257" t="s">
        <v>836</v>
      </c>
      <c r="R44" s="1989"/>
      <c r="S44" s="1989"/>
      <c r="T44" s="1989"/>
      <c r="U44" s="1989"/>
      <c r="V44" s="1989"/>
      <c r="W44" s="1989"/>
      <c r="X44" s="1989"/>
      <c r="Y44" s="1989"/>
      <c r="Z44" s="1989"/>
    </row>
    <row r="45" spans="1:26">
      <c r="A45" s="949" t="s">
        <v>381</v>
      </c>
      <c r="B45" s="964" t="s">
        <v>493</v>
      </c>
      <c r="C45" s="223">
        <v>4832.8239999999996</v>
      </c>
      <c r="D45" s="942"/>
      <c r="E45" s="206">
        <v>271.36599999999999</v>
      </c>
      <c r="F45" s="935"/>
      <c r="G45" s="222">
        <v>265.38099999999997</v>
      </c>
      <c r="H45" s="132" t="s">
        <v>578</v>
      </c>
      <c r="I45" s="1233"/>
      <c r="J45" s="1234"/>
      <c r="K45" s="1235"/>
      <c r="L45" s="1235"/>
      <c r="M45" s="2232">
        <f>(C45-E45)*1000000/J44</f>
        <v>4072.5085508735683</v>
      </c>
      <c r="N45" s="2243">
        <v>3798.0880000000002</v>
      </c>
      <c r="O45" s="2251">
        <f t="shared" si="2"/>
        <v>7.2252288749909965E-2</v>
      </c>
      <c r="P45" s="1989"/>
      <c r="Q45" s="2257" t="s">
        <v>873</v>
      </c>
      <c r="R45" s="1989"/>
      <c r="S45" s="1989"/>
      <c r="T45" s="1989"/>
      <c r="U45" s="1989"/>
      <c r="V45" s="1989"/>
      <c r="W45" s="1989"/>
      <c r="X45" s="1989"/>
      <c r="Y45" s="1989"/>
      <c r="Z45" s="1989"/>
    </row>
    <row r="46" spans="1:26">
      <c r="A46" s="949" t="s">
        <v>387</v>
      </c>
      <c r="B46" s="964" t="s">
        <v>800</v>
      </c>
      <c r="C46" s="223">
        <v>165.708</v>
      </c>
      <c r="D46" s="942"/>
      <c r="E46" s="206">
        <v>2.9820000000000002</v>
      </c>
      <c r="F46" s="935"/>
      <c r="G46" s="222">
        <v>1.7729999999999999</v>
      </c>
      <c r="H46" s="136" t="s">
        <v>579</v>
      </c>
      <c r="I46" s="1233"/>
      <c r="J46" s="1234"/>
      <c r="K46" s="983"/>
      <c r="L46" s="983"/>
      <c r="M46" s="2232">
        <f>(C46-E46)*1000000/J44</f>
        <v>145.28315868510734</v>
      </c>
      <c r="N46" s="2240">
        <v>127.58799999999999</v>
      </c>
      <c r="O46" s="2251">
        <f t="shared" si="2"/>
        <v>0.13868983513423938</v>
      </c>
      <c r="P46" s="1989"/>
      <c r="Q46" s="2257" t="s">
        <v>874</v>
      </c>
      <c r="R46" s="1989"/>
      <c r="S46" s="1989"/>
      <c r="T46" s="1989"/>
      <c r="U46" s="1989"/>
      <c r="V46" s="1989"/>
      <c r="W46" s="1989"/>
      <c r="X46" s="1989"/>
      <c r="Y46" s="1989"/>
      <c r="Z46" s="1989"/>
    </row>
    <row r="47" spans="1:26">
      <c r="A47" s="949" t="s">
        <v>388</v>
      </c>
      <c r="B47" s="964" t="s">
        <v>510</v>
      </c>
      <c r="C47" s="223">
        <v>165.874</v>
      </c>
      <c r="D47" s="942"/>
      <c r="E47" s="206">
        <v>9.7050000000000001</v>
      </c>
      <c r="F47" s="934"/>
      <c r="G47" s="222">
        <v>6.9489999999999998</v>
      </c>
      <c r="H47" s="136"/>
      <c r="I47" s="1233"/>
      <c r="J47" s="1327"/>
      <c r="K47" s="979"/>
      <c r="L47" s="979"/>
      <c r="M47" s="2232">
        <f>(C47-E47)*1000000/J44</f>
        <v>139.4290132412431</v>
      </c>
      <c r="N47" s="2240">
        <v>129.48099999999999</v>
      </c>
      <c r="O47" s="2251">
        <f t="shared" si="2"/>
        <v>7.6829907409141862E-2</v>
      </c>
      <c r="P47" s="1989"/>
      <c r="Q47" s="2257" t="s">
        <v>875</v>
      </c>
      <c r="R47" s="1989"/>
      <c r="S47" s="1989"/>
      <c r="T47" s="1989"/>
      <c r="U47" s="1989"/>
      <c r="V47" s="1989"/>
      <c r="W47" s="1989"/>
      <c r="X47" s="1989"/>
      <c r="Y47" s="1989"/>
      <c r="Z47" s="1989"/>
    </row>
    <row r="48" spans="1:26">
      <c r="A48" s="949" t="s">
        <v>382</v>
      </c>
      <c r="B48" s="964" t="s">
        <v>491</v>
      </c>
      <c r="C48" s="223">
        <v>919.67499999999995</v>
      </c>
      <c r="D48" s="942" t="str">
        <f>IF(C44=0,"",IF(OR(C48=0,C48=""),"Kommentera",""))</f>
        <v/>
      </c>
      <c r="E48" s="206">
        <v>4.6840000000000002</v>
      </c>
      <c r="F48" s="865"/>
      <c r="G48" s="222">
        <v>1.4159999999999999</v>
      </c>
      <c r="H48" s="134" t="s">
        <v>580</v>
      </c>
      <c r="I48" s="1233"/>
      <c r="J48" s="1234"/>
      <c r="K48" s="1235"/>
      <c r="L48" s="1235"/>
      <c r="M48" s="2232">
        <f>(C48-E48)*1000000/J44</f>
        <v>816.91175748463695</v>
      </c>
      <c r="N48" s="2136">
        <v>757.69500000000005</v>
      </c>
      <c r="O48" s="2251">
        <f t="shared" si="2"/>
        <v>7.8153818468693625E-2</v>
      </c>
      <c r="P48" s="1989"/>
      <c r="Q48" s="2257" t="s">
        <v>876</v>
      </c>
      <c r="R48" s="1989"/>
      <c r="S48" s="1989"/>
      <c r="T48" s="1989"/>
      <c r="U48" s="1989"/>
      <c r="V48" s="1989"/>
      <c r="W48" s="1989"/>
      <c r="X48" s="1989"/>
      <c r="Y48" s="1989"/>
      <c r="Z48" s="1989"/>
    </row>
    <row r="49" spans="1:26">
      <c r="A49" s="949" t="s">
        <v>389</v>
      </c>
      <c r="B49" s="965" t="s">
        <v>724</v>
      </c>
      <c r="C49" s="223">
        <v>164.626</v>
      </c>
      <c r="D49" s="942"/>
      <c r="E49" s="206">
        <v>6.3419999999999996</v>
      </c>
      <c r="F49" s="928"/>
      <c r="G49" s="222">
        <v>5.8390000000000004</v>
      </c>
      <c r="H49" s="136" t="s">
        <v>581</v>
      </c>
      <c r="I49" s="1233"/>
      <c r="J49" s="1234"/>
      <c r="K49" s="1235"/>
      <c r="L49" s="1235"/>
      <c r="M49" s="2232">
        <f>(C49-E49)*1000000/J44</f>
        <v>141.31730325401921</v>
      </c>
      <c r="N49" s="2243">
        <v>120.87</v>
      </c>
      <c r="O49" s="2251">
        <f t="shared" si="2"/>
        <v>0.16916772775725319</v>
      </c>
      <c r="P49" s="1989"/>
      <c r="Q49" s="2257" t="s">
        <v>877</v>
      </c>
      <c r="R49" s="1989"/>
      <c r="S49" s="1989"/>
      <c r="T49" s="1989"/>
      <c r="U49" s="1989"/>
      <c r="V49" s="1989"/>
      <c r="W49" s="1989"/>
      <c r="X49" s="1989"/>
      <c r="Y49" s="1989"/>
      <c r="Z49" s="1989"/>
    </row>
    <row r="50" spans="1:26">
      <c r="A50" s="949" t="s">
        <v>390</v>
      </c>
      <c r="B50" s="966" t="s">
        <v>524</v>
      </c>
      <c r="C50" s="223">
        <v>1040.1030000000001</v>
      </c>
      <c r="D50" s="942" t="str">
        <f>IF(C44=0,"",IF(C50&lt;Drift!I55+Drift!J55+Drift!L55,"Kommentera",""))</f>
        <v/>
      </c>
      <c r="E50" s="206">
        <v>28.288</v>
      </c>
      <c r="F50" s="934"/>
      <c r="G50" s="222">
        <v>27.169</v>
      </c>
      <c r="H50" s="134" t="s">
        <v>582</v>
      </c>
      <c r="I50" s="1233"/>
      <c r="J50" s="1234"/>
      <c r="K50" s="1235"/>
      <c r="L50" s="1235"/>
      <c r="M50" s="2232">
        <f>(C50-E50)*1000000/J44</f>
        <v>903.35704930356474</v>
      </c>
      <c r="N50" s="2243">
        <v>771.43600000000004</v>
      </c>
      <c r="O50" s="2251">
        <f t="shared" si="2"/>
        <v>0.17100712088049397</v>
      </c>
      <c r="P50" s="1989"/>
      <c r="Q50" s="2257" t="s">
        <v>878</v>
      </c>
      <c r="R50" s="1989"/>
      <c r="S50" s="1989"/>
      <c r="T50" s="1989"/>
      <c r="U50" s="1989"/>
      <c r="V50" s="1989"/>
      <c r="W50" s="1989"/>
      <c r="X50" s="1989"/>
      <c r="Y50" s="1989"/>
      <c r="Z50" s="1989"/>
    </row>
    <row r="51" spans="1:26">
      <c r="A51" s="949" t="s">
        <v>391</v>
      </c>
      <c r="B51" s="964" t="s">
        <v>444</v>
      </c>
      <c r="C51" s="223">
        <v>2747.6390000000001</v>
      </c>
      <c r="D51" s="1165"/>
      <c r="E51" s="206">
        <v>906.36300000000006</v>
      </c>
      <c r="F51" s="934"/>
      <c r="G51" s="222">
        <v>703.11400000000003</v>
      </c>
      <c r="H51" s="132" t="s">
        <v>583</v>
      </c>
      <c r="I51" s="2485" t="str">
        <f>IF(SUM(E51-G51+100)&lt;Motpart!AA19,"I Motparten är statsbidragen "&amp;""&amp;(Motpart!AA19)&amp;" tkr. Alla bidrag från staten o statliga myndigheter, inklusive de från Migrationsverket, ska ingå under Övrigt som extern intäkt. De externa intäkterna på Övrigt-raden är dock bara "&amp;""&amp;(ROUND(E51-G51,0))&amp;" tkr. ","")</f>
        <v/>
      </c>
      <c r="J51" s="1731"/>
      <c r="K51" s="1731"/>
      <c r="L51" s="1731"/>
      <c r="M51" s="2232">
        <f>(C51+C52-G51)*1000000/J44</f>
        <v>2164.1383817488513</v>
      </c>
      <c r="N51" s="2243">
        <v>1942.77</v>
      </c>
      <c r="O51" s="2251">
        <f t="shared" si="2"/>
        <v>0.11394471900886427</v>
      </c>
      <c r="P51" s="1989"/>
      <c r="Q51" s="2257" t="s">
        <v>879</v>
      </c>
      <c r="R51" s="1989"/>
      <c r="S51" s="1989"/>
      <c r="T51" s="1989"/>
      <c r="U51" s="1989"/>
      <c r="V51" s="1989"/>
      <c r="W51" s="1989"/>
      <c r="X51" s="1989"/>
      <c r="Y51" s="1989"/>
      <c r="Z51" s="1989"/>
    </row>
    <row r="52" spans="1:26">
      <c r="A52" s="949" t="s">
        <v>392</v>
      </c>
      <c r="B52" s="967" t="s">
        <v>454</v>
      </c>
      <c r="C52" s="223">
        <v>379.44200000000001</v>
      </c>
      <c r="D52" s="1879" t="str">
        <f>IF(OR(C52 &gt; SUM(Drift!N55+Drift!O55+100), C52 &lt; SUM(Drift!N55+Drift!O55-100)),"Fördelad gemensam verksamhet skiljer sig mot Driftfliken.","")</f>
        <v/>
      </c>
      <c r="E52" s="942"/>
      <c r="F52" s="942"/>
      <c r="G52" s="944"/>
      <c r="H52" s="136"/>
      <c r="I52" s="2484"/>
      <c r="J52" s="1731"/>
      <c r="K52" s="1731"/>
      <c r="L52" s="1731"/>
      <c r="M52" s="2227">
        <f>((M44*J44/1000000+D44-F44-(Motpart!D19+Motpart!E19+Motpart!F19+Motpart!J19)*0.06))*1000000/J44+M48</f>
        <v>8759.7235864832364</v>
      </c>
      <c r="N52" s="2243">
        <v>8003.7690000000002</v>
      </c>
      <c r="O52" s="2251">
        <f t="shared" si="2"/>
        <v>9.4449825636301554E-2</v>
      </c>
      <c r="P52" s="1989"/>
      <c r="Q52" s="2257" t="s">
        <v>880</v>
      </c>
      <c r="R52" s="1989"/>
      <c r="S52" s="1989"/>
      <c r="T52" s="1989"/>
      <c r="U52" s="1989"/>
      <c r="V52" s="1989"/>
      <c r="W52" s="1989"/>
      <c r="X52" s="1989"/>
      <c r="Y52" s="1989"/>
      <c r="Z52" s="1989"/>
    </row>
    <row r="53" spans="1:26">
      <c r="A53" s="970" t="s">
        <v>549</v>
      </c>
      <c r="B53" s="967" t="s">
        <v>126</v>
      </c>
      <c r="C53" s="1106">
        <f>(C44-SUM(C45:C52)-D44)*-1</f>
        <v>-1.2505552149377763E-12</v>
      </c>
      <c r="D53" s="942"/>
      <c r="E53" s="1107">
        <f>(E44-SUM(E45:E51)-F44-(Motpart!D19+Motpart!E19+Motpart!F19)*0.06)*-1</f>
        <v>2.4000000003709943E-4</v>
      </c>
      <c r="F53" s="942"/>
      <c r="G53" s="1108">
        <f>(G44-SUM(G45:G51))*-1</f>
        <v>-9.9999999997635314E-4</v>
      </c>
      <c r="H53" s="136"/>
      <c r="I53" s="2484"/>
      <c r="J53" s="1731"/>
      <c r="K53" s="1731"/>
      <c r="L53" s="1731"/>
      <c r="M53" s="2228">
        <f>(Motpart!G19+Motpart!K19)*1000000/J44</f>
        <v>275.55820620484064</v>
      </c>
      <c r="N53" s="2243">
        <v>284.88600000000002</v>
      </c>
      <c r="O53" s="2251">
        <f t="shared" si="2"/>
        <v>-3.2742197914812921E-2</v>
      </c>
      <c r="P53" s="1989"/>
      <c r="Q53" s="2257" t="s">
        <v>881</v>
      </c>
      <c r="R53" s="1989"/>
      <c r="S53" s="1989"/>
      <c r="T53" s="1989"/>
      <c r="U53" s="1989"/>
      <c r="V53" s="1989"/>
      <c r="W53" s="1989"/>
      <c r="X53" s="1989"/>
      <c r="Y53" s="1989"/>
      <c r="Z53" s="1989"/>
    </row>
    <row r="54" spans="1:26">
      <c r="A54" s="970" t="s">
        <v>550</v>
      </c>
      <c r="B54" s="967"/>
      <c r="C54" s="942"/>
      <c r="D54" s="942"/>
      <c r="E54" s="942"/>
      <c r="F54" s="942"/>
      <c r="G54" s="944"/>
      <c r="H54" s="134"/>
      <c r="I54" s="2484"/>
      <c r="J54" s="1731"/>
      <c r="K54" s="1731"/>
      <c r="L54" s="1731"/>
      <c r="M54" s="2232">
        <f>F44*1000000/J44</f>
        <v>277.44738902613341</v>
      </c>
      <c r="N54" s="2243">
        <v>292.82499999999999</v>
      </c>
      <c r="O54" s="2251">
        <f t="shared" si="2"/>
        <v>-5.2514679326787661E-2</v>
      </c>
      <c r="P54" s="1989"/>
      <c r="Q54" s="2257" t="s">
        <v>882</v>
      </c>
      <c r="R54" s="1989"/>
      <c r="S54" s="1989"/>
      <c r="T54" s="1989"/>
      <c r="U54" s="1989"/>
      <c r="V54" s="1989"/>
      <c r="W54" s="1989"/>
      <c r="X54" s="1989"/>
      <c r="Y54" s="1989"/>
      <c r="Z54" s="1989"/>
    </row>
    <row r="55" spans="1:26">
      <c r="A55" s="970" t="s">
        <v>551</v>
      </c>
      <c r="B55" s="972"/>
      <c r="C55" s="942"/>
      <c r="D55" s="942"/>
      <c r="E55" s="942"/>
      <c r="F55" s="942"/>
      <c r="G55" s="944"/>
      <c r="H55" s="132"/>
      <c r="I55" s="2484"/>
      <c r="J55" s="1731"/>
      <c r="K55" s="1731"/>
      <c r="L55" s="1731"/>
      <c r="M55" s="2232">
        <f>Motpart!H19*1000000/J44</f>
        <v>3.3149980224291355</v>
      </c>
      <c r="N55" s="2240">
        <v>1.6819999999999999</v>
      </c>
      <c r="O55" s="2251">
        <f t="shared" si="2"/>
        <v>0.97086683854288691</v>
      </c>
      <c r="P55" s="1989"/>
      <c r="Q55" s="2257" t="s">
        <v>1058</v>
      </c>
      <c r="R55" s="1989"/>
      <c r="S55" s="1989"/>
      <c r="T55" s="1989"/>
      <c r="U55" s="1989"/>
      <c r="V55" s="1989"/>
      <c r="W55" s="1989"/>
      <c r="X55" s="1989"/>
      <c r="Y55" s="1989"/>
      <c r="Z55" s="1989"/>
    </row>
    <row r="56" spans="1:26">
      <c r="A56" s="952" t="s">
        <v>552</v>
      </c>
      <c r="B56" s="967"/>
      <c r="C56" s="931"/>
      <c r="D56" s="931"/>
      <c r="E56" s="931"/>
      <c r="F56" s="931"/>
      <c r="G56" s="941"/>
      <c r="H56" s="1110"/>
      <c r="I56" s="1111"/>
      <c r="J56" s="1327"/>
      <c r="K56" s="983"/>
      <c r="L56" s="983"/>
      <c r="M56" s="2232">
        <f>(Motpart!D19+Motpart!E19+Motpart!F19+Motpart!J19-(Motpart!D19+Motpart!E19+Motpart!F19+Motpart!J19)*0.06)*1000000/J44</f>
        <v>363.05858341643892</v>
      </c>
      <c r="N56" s="2243">
        <v>352.178</v>
      </c>
      <c r="O56" s="2251">
        <f t="shared" si="2"/>
        <v>3.0895125239052135E-2</v>
      </c>
      <c r="P56" s="1989"/>
      <c r="Q56" s="2257" t="s">
        <v>883</v>
      </c>
      <c r="R56" s="1989"/>
      <c r="S56" s="1989"/>
      <c r="T56" s="1989"/>
      <c r="U56" s="1989"/>
      <c r="V56" s="1989"/>
      <c r="W56" s="1989"/>
      <c r="X56" s="1989"/>
      <c r="Y56" s="1989"/>
      <c r="Z56" s="1989"/>
    </row>
    <row r="57" spans="1:26" ht="13.5" thickBot="1">
      <c r="A57" s="970"/>
      <c r="B57" s="973"/>
      <c r="C57" s="1611" t="str">
        <f>IF(ABS(C53)&lt;100,"",IF(C44=0,"C44",IF(ABS(C53/C44)&gt;0.01,"C53")))</f>
        <v/>
      </c>
      <c r="D57" s="1611"/>
      <c r="E57" s="1611" t="str">
        <f>IF(ABS(E53)&lt;100,"",IF(E44=0,"E44",IF(ABS(E53/E44)&gt;0.01,"E53")))</f>
        <v/>
      </c>
      <c r="F57" s="1611"/>
      <c r="G57" s="1612" t="str">
        <f>IF(ABS(G53)&lt;100,"",IF(G44=0,"G44",IF(ABS(G53/G44)&gt;0.01,"G53")))</f>
        <v/>
      </c>
      <c r="H57" s="149"/>
      <c r="I57" s="984"/>
      <c r="J57" s="1328"/>
      <c r="K57" s="980"/>
      <c r="L57" s="980"/>
      <c r="M57" s="2233"/>
      <c r="N57" s="2241"/>
      <c r="O57" s="2254"/>
      <c r="P57" s="1989"/>
      <c r="Q57" s="2260" t="s">
        <v>1181</v>
      </c>
      <c r="R57" s="1989"/>
      <c r="S57" s="1989"/>
      <c r="T57" s="1989"/>
      <c r="U57" s="1989"/>
      <c r="V57" s="1989"/>
      <c r="W57" s="1989"/>
      <c r="X57" s="1989"/>
      <c r="Y57" s="1989"/>
      <c r="Z57" s="1989"/>
    </row>
    <row r="58" spans="1:26">
      <c r="A58" s="954" t="s">
        <v>393</v>
      </c>
      <c r="B58" s="963" t="s">
        <v>530</v>
      </c>
      <c r="C58" s="69">
        <f>Drift!P56</f>
        <v>68463.902000000002</v>
      </c>
      <c r="D58" s="70">
        <f>SUM(Motpart!D20:L20)</f>
        <v>27743.891999999996</v>
      </c>
      <c r="E58" s="70">
        <f>Drift!W56</f>
        <v>15989.45</v>
      </c>
      <c r="F58" s="70">
        <f>Motpart!Y20</f>
        <v>8843.3539999999994</v>
      </c>
      <c r="G58" s="116">
        <f>Drift!V56</f>
        <v>3762.6489999999999</v>
      </c>
      <c r="H58" s="132"/>
      <c r="I58" s="1237" t="s">
        <v>811</v>
      </c>
      <c r="J58" s="1326">
        <v>378694</v>
      </c>
      <c r="K58" s="1236"/>
      <c r="L58" s="1236"/>
      <c r="M58" s="2234">
        <f>SUM(M59:M61,M63:M65)</f>
        <v>92297.596476310689</v>
      </c>
      <c r="N58" s="2242">
        <v>92207.751000000004</v>
      </c>
      <c r="O58" s="2251">
        <f t="shared" si="2"/>
        <v>9.743809531879144E-4</v>
      </c>
      <c r="P58" s="1989"/>
      <c r="Q58" s="2257" t="s">
        <v>818</v>
      </c>
      <c r="R58" s="1989"/>
      <c r="S58" s="1989"/>
      <c r="T58" s="1989"/>
      <c r="U58" s="1989"/>
      <c r="V58" s="1989"/>
      <c r="W58" s="1989"/>
      <c r="X58" s="1989"/>
      <c r="Y58" s="1989"/>
      <c r="Z58" s="1989"/>
    </row>
    <row r="59" spans="1:26">
      <c r="A59" s="949" t="s">
        <v>394</v>
      </c>
      <c r="B59" s="964" t="s">
        <v>493</v>
      </c>
      <c r="C59" s="223">
        <v>19090.191999999999</v>
      </c>
      <c r="D59" s="942"/>
      <c r="E59" s="206">
        <v>1434.8720000000001</v>
      </c>
      <c r="F59" s="934"/>
      <c r="G59" s="222">
        <v>1286.884</v>
      </c>
      <c r="H59" s="136" t="s">
        <v>584</v>
      </c>
      <c r="I59" s="1233"/>
      <c r="J59" s="1234"/>
      <c r="K59" s="1235"/>
      <c r="L59" s="1235"/>
      <c r="M59" s="2232">
        <f>(C59-E59)*1000000/J58</f>
        <v>46621.599497219388</v>
      </c>
      <c r="N59" s="2136">
        <v>47465.275000000001</v>
      </c>
      <c r="O59" s="2251">
        <f t="shared" si="2"/>
        <v>-1.7774583688404122E-2</v>
      </c>
      <c r="P59" s="1989"/>
      <c r="Q59" s="2257" t="s">
        <v>819</v>
      </c>
      <c r="R59" s="1989"/>
      <c r="S59" s="1989"/>
      <c r="T59" s="1989"/>
      <c r="U59" s="1989"/>
      <c r="V59" s="1989"/>
      <c r="W59" s="1989"/>
      <c r="X59" s="1989"/>
      <c r="Y59" s="1989"/>
      <c r="Z59" s="1989"/>
    </row>
    <row r="60" spans="1:26">
      <c r="A60" s="949" t="s">
        <v>395</v>
      </c>
      <c r="B60" s="964" t="s">
        <v>800</v>
      </c>
      <c r="C60" s="223">
        <v>2713.6860000000001</v>
      </c>
      <c r="D60" s="942"/>
      <c r="E60" s="206">
        <v>172.47800000000001</v>
      </c>
      <c r="F60" s="934"/>
      <c r="G60" s="222">
        <v>24.603000000000002</v>
      </c>
      <c r="H60" s="136" t="s">
        <v>585</v>
      </c>
      <c r="I60" s="1233"/>
      <c r="J60" s="1234"/>
      <c r="K60" s="983"/>
      <c r="L60" s="983"/>
      <c r="M60" s="2232">
        <f>(C60-E60)*1000000/J58</f>
        <v>6710.452238482786</v>
      </c>
      <c r="N60" s="2243">
        <v>6396.5119999999997</v>
      </c>
      <c r="O60" s="2251">
        <f t="shared" si="2"/>
        <v>4.9079910814329164E-2</v>
      </c>
      <c r="P60" s="1989"/>
      <c r="Q60" s="2257" t="s">
        <v>820</v>
      </c>
      <c r="R60" s="1989"/>
      <c r="S60" s="1989"/>
      <c r="T60" s="1989"/>
      <c r="U60" s="1989"/>
      <c r="V60" s="1989"/>
      <c r="W60" s="1989"/>
      <c r="X60" s="1989"/>
      <c r="Y60" s="1989"/>
      <c r="Z60" s="1989"/>
    </row>
    <row r="61" spans="1:26">
      <c r="A61" s="949" t="s">
        <v>396</v>
      </c>
      <c r="B61" s="964" t="s">
        <v>510</v>
      </c>
      <c r="C61" s="223">
        <v>1806.3679999999999</v>
      </c>
      <c r="D61" s="942"/>
      <c r="E61" s="206">
        <v>217.101</v>
      </c>
      <c r="F61" s="934"/>
      <c r="G61" s="222">
        <v>97.647000000000006</v>
      </c>
      <c r="H61" s="134"/>
      <c r="I61" s="1233"/>
      <c r="J61" s="1063"/>
      <c r="K61" s="979"/>
      <c r="L61" s="979"/>
      <c r="M61" s="2232">
        <f>(C61-E61)*1000000/J58</f>
        <v>4196.704991365059</v>
      </c>
      <c r="N61" s="2243">
        <v>4092.009</v>
      </c>
      <c r="O61" s="2251">
        <f t="shared" si="2"/>
        <v>2.5585474363585048E-2</v>
      </c>
      <c r="P61" s="1989"/>
      <c r="Q61" s="2257" t="s">
        <v>821</v>
      </c>
      <c r="R61" s="1989"/>
      <c r="S61" s="1989"/>
      <c r="T61" s="1989"/>
      <c r="U61" s="1989"/>
      <c r="V61" s="1989"/>
      <c r="W61" s="1989"/>
      <c r="X61" s="1989"/>
      <c r="Y61" s="1989"/>
      <c r="Z61" s="1989"/>
    </row>
    <row r="62" spans="1:26">
      <c r="A62" s="949" t="s">
        <v>248</v>
      </c>
      <c r="B62" s="964" t="s">
        <v>491</v>
      </c>
      <c r="C62" s="223">
        <v>1531.75</v>
      </c>
      <c r="D62" s="942" t="str">
        <f>IF(C58=0,"",IF(OR(C62=0,C62=""),"Kommentera",""))</f>
        <v/>
      </c>
      <c r="E62" s="206">
        <v>39.436999999999998</v>
      </c>
      <c r="F62" s="934"/>
      <c r="G62" s="222">
        <v>3.3090000000000002</v>
      </c>
      <c r="H62" s="132" t="s">
        <v>586</v>
      </c>
      <c r="I62" s="1233"/>
      <c r="J62" s="1234"/>
      <c r="K62" s="1235"/>
      <c r="L62" s="1235"/>
      <c r="M62" s="2232">
        <f>(C62-E62)*1000000/J58</f>
        <v>3940.6829788694831</v>
      </c>
      <c r="N62" s="2243">
        <v>3901.7629999999999</v>
      </c>
      <c r="O62" s="2251">
        <f t="shared" si="2"/>
        <v>9.9749725622706453E-3</v>
      </c>
      <c r="P62" s="1989"/>
      <c r="Q62" s="2257" t="s">
        <v>822</v>
      </c>
      <c r="R62" s="1989"/>
      <c r="S62" s="1989"/>
      <c r="T62" s="1989"/>
      <c r="U62" s="1989"/>
      <c r="V62" s="1989"/>
      <c r="W62" s="1989"/>
      <c r="X62" s="1989"/>
      <c r="Y62" s="1989"/>
      <c r="Z62" s="1989"/>
    </row>
    <row r="63" spans="1:26">
      <c r="A63" s="949" t="s">
        <v>397</v>
      </c>
      <c r="B63" s="965" t="s">
        <v>724</v>
      </c>
      <c r="C63" s="223">
        <v>1021.595</v>
      </c>
      <c r="D63" s="942"/>
      <c r="E63" s="206">
        <v>30.672999999999998</v>
      </c>
      <c r="F63" s="934"/>
      <c r="G63" s="222">
        <v>24.978999999999999</v>
      </c>
      <c r="H63" s="136" t="s">
        <v>587</v>
      </c>
      <c r="I63" s="1233"/>
      <c r="J63" s="1234"/>
      <c r="K63" s="1235"/>
      <c r="L63" s="1235"/>
      <c r="M63" s="2232">
        <f>(C63-E63)*1000000/J58</f>
        <v>2616.6825986152407</v>
      </c>
      <c r="N63" s="2243">
        <v>2654.0889999999999</v>
      </c>
      <c r="O63" s="2251">
        <f t="shared" si="2"/>
        <v>-1.4093876047396758E-2</v>
      </c>
      <c r="P63" s="1989"/>
      <c r="Q63" s="2257" t="s">
        <v>823</v>
      </c>
      <c r="R63" s="1989"/>
      <c r="S63" s="1989"/>
      <c r="T63" s="1989"/>
      <c r="U63" s="1989"/>
      <c r="V63" s="1989"/>
      <c r="W63" s="1989"/>
      <c r="X63" s="1989"/>
      <c r="Y63" s="1989"/>
      <c r="Z63" s="1989"/>
    </row>
    <row r="64" spans="1:26">
      <c r="A64" s="949" t="s">
        <v>398</v>
      </c>
      <c r="B64" s="966" t="s">
        <v>524</v>
      </c>
      <c r="C64" s="223">
        <v>6687.2889999999998</v>
      </c>
      <c r="D64" s="942" t="str">
        <f>IF(C58=0,"",IF(C64&lt;Drift!I56+Drift!J56+Drift!L56,"Kommentera",""))</f>
        <v/>
      </c>
      <c r="E64" s="206">
        <v>151.47999999999999</v>
      </c>
      <c r="F64" s="934"/>
      <c r="G64" s="222">
        <v>96.113</v>
      </c>
      <c r="H64" s="136" t="s">
        <v>588</v>
      </c>
      <c r="I64" s="1233"/>
      <c r="J64" s="1234"/>
      <c r="K64" s="1235"/>
      <c r="L64" s="1235"/>
      <c r="M64" s="2232">
        <f>(C64-E64)*1000000/J58</f>
        <v>17258.813184259587</v>
      </c>
      <c r="N64" s="2243">
        <v>16829.975999999999</v>
      </c>
      <c r="O64" s="2251">
        <f t="shared" si="2"/>
        <v>2.5480558276469889E-2</v>
      </c>
      <c r="P64" s="1989"/>
      <c r="Q64" s="2257" t="s">
        <v>824</v>
      </c>
      <c r="R64" s="1989"/>
      <c r="S64" s="1989"/>
      <c r="T64" s="1989"/>
      <c r="U64" s="1989"/>
      <c r="V64" s="1989"/>
      <c r="W64" s="1989"/>
      <c r="X64" s="1989"/>
      <c r="Y64" s="1989"/>
      <c r="Z64" s="1989"/>
    </row>
    <row r="65" spans="1:26">
      <c r="A65" s="949" t="s">
        <v>399</v>
      </c>
      <c r="B65" s="974" t="s">
        <v>444</v>
      </c>
      <c r="C65" s="223">
        <v>6457.0609999999997</v>
      </c>
      <c r="D65" s="942"/>
      <c r="E65" s="206">
        <v>4193.7139999999999</v>
      </c>
      <c r="F65" s="934"/>
      <c r="G65" s="222">
        <v>2229.1129999999998</v>
      </c>
      <c r="H65" s="136" t="s">
        <v>589</v>
      </c>
      <c r="I65" s="2486" t="str">
        <f>IF(SUM(E65-G65+100)&lt;Motpart!AA20,"I Motparten är statsbidragen "&amp;""&amp;(Motpart!AA20)&amp;" tkr. Alla bidrag från staten o statliga myndigheter, inklusive de från Migrationsverket, ska ingå under Övrigt som extern intäkt. De externa intäkterna på Övrigt-raden är dock bara "&amp;""&amp;(ROUND(E65-G65,0))&amp;" tkr. ","")</f>
        <v/>
      </c>
      <c r="J65" s="1732"/>
      <c r="K65" s="1732"/>
      <c r="L65" s="1732"/>
      <c r="M65" s="2232">
        <f>(C65+C66-G65)*1000000/J58</f>
        <v>14893.343966368624</v>
      </c>
      <c r="N65" s="2243">
        <v>14769.89</v>
      </c>
      <c r="O65" s="2251">
        <f t="shared" si="2"/>
        <v>8.358489221559795E-3</v>
      </c>
      <c r="P65" s="1989"/>
      <c r="Q65" s="2257" t="s">
        <v>825</v>
      </c>
      <c r="R65" s="1989"/>
      <c r="S65" s="1989"/>
      <c r="T65" s="1989"/>
      <c r="U65" s="1989"/>
      <c r="V65" s="1989"/>
      <c r="W65" s="1989"/>
      <c r="X65" s="1989"/>
      <c r="Y65" s="1989"/>
      <c r="Z65" s="1989"/>
    </row>
    <row r="66" spans="1:26">
      <c r="A66" s="949" t="s">
        <v>400</v>
      </c>
      <c r="B66" s="975" t="s">
        <v>454</v>
      </c>
      <c r="C66" s="223">
        <v>1412.0719999999999</v>
      </c>
      <c r="D66" s="1878" t="str">
        <f>IF(OR(C66 &gt; SUM(Drift!N56+Drift!O56+100), C66 &lt; SUM(Drift!N56+Drift!O56-100)),"Fördelad gemensam verksamhet skiljer sig mot Driftfliken.","")</f>
        <v/>
      </c>
      <c r="E66" s="942"/>
      <c r="F66" s="942"/>
      <c r="G66" s="944"/>
      <c r="H66" s="136"/>
      <c r="I66" s="2487"/>
      <c r="J66" s="1732"/>
      <c r="K66" s="1732"/>
      <c r="L66" s="1732"/>
      <c r="M66" s="2232">
        <f>(M58*J58/1000000+D58-F58-(Motpart!D20+Motpart!E20+Motpart!F20+Motpart!J20)*0.06)*1000000/J58+M62</f>
        <v>143754.74034444697</v>
      </c>
      <c r="N66" s="2243">
        <v>141896.97500000001</v>
      </c>
      <c r="O66" s="2251">
        <f t="shared" si="2"/>
        <v>1.3092353409556168E-2</v>
      </c>
      <c r="P66" s="1989"/>
      <c r="Q66" s="2257" t="s">
        <v>826</v>
      </c>
      <c r="R66" s="1989"/>
      <c r="S66" s="1989"/>
      <c r="T66" s="1989"/>
      <c r="U66" s="1989"/>
      <c r="V66" s="1989"/>
      <c r="W66" s="1989"/>
      <c r="X66" s="1989"/>
      <c r="Y66" s="1989"/>
      <c r="Z66" s="1989"/>
    </row>
    <row r="67" spans="1:26">
      <c r="A67" s="949" t="s">
        <v>556</v>
      </c>
      <c r="B67" s="967" t="s">
        <v>126</v>
      </c>
      <c r="C67" s="1106">
        <f>(C58-SUM(C59:C66)-D58)*-1</f>
        <v>2.9999999933352228E-3</v>
      </c>
      <c r="D67" s="930"/>
      <c r="E67" s="1107">
        <f>(E58-SUM(E59:E65)-F58-(Motpart!D20+Motpart!E20+Motpart!F20)*0.06)*-1</f>
        <v>-1.6400000002931847E-3</v>
      </c>
      <c r="F67" s="930"/>
      <c r="G67" s="1108">
        <f>(G58-SUM(G59:G65))*-1</f>
        <v>-9.9999999974897946E-4</v>
      </c>
      <c r="H67" s="136"/>
      <c r="I67" s="2487"/>
      <c r="J67" s="1732"/>
      <c r="K67" s="1732"/>
      <c r="L67" s="1732"/>
      <c r="M67" s="2232">
        <f>(Motpart!G20+Motpart!K20)*1000000/J58</f>
        <v>31579.285650155536</v>
      </c>
      <c r="N67" s="2243">
        <v>30236.671999999999</v>
      </c>
      <c r="O67" s="2251">
        <f t="shared" si="2"/>
        <v>4.4403486275061521E-2</v>
      </c>
      <c r="P67" s="1989"/>
      <c r="Q67" s="2257" t="s">
        <v>1057</v>
      </c>
      <c r="R67" s="1989"/>
      <c r="S67" s="1989"/>
      <c r="T67" s="1989"/>
      <c r="U67" s="1989"/>
      <c r="V67" s="1989"/>
      <c r="W67" s="1989"/>
      <c r="X67" s="1989"/>
      <c r="Y67" s="1989"/>
      <c r="Z67" s="1989"/>
    </row>
    <row r="68" spans="1:26">
      <c r="A68" s="968" t="s">
        <v>557</v>
      </c>
      <c r="B68" s="967"/>
      <c r="C68" s="942"/>
      <c r="D68" s="931"/>
      <c r="E68" s="942"/>
      <c r="F68" s="942"/>
      <c r="G68" s="944"/>
      <c r="H68" s="134"/>
      <c r="I68" s="2487"/>
      <c r="J68" s="1732"/>
      <c r="K68" s="1732"/>
      <c r="L68" s="1732"/>
      <c r="M68" s="2232">
        <f>F58*1000000/J58</f>
        <v>23352.242179701818</v>
      </c>
      <c r="N68" s="2243">
        <v>22896.850999999999</v>
      </c>
      <c r="O68" s="2251">
        <f t="shared" si="2"/>
        <v>1.9888812645102227E-2</v>
      </c>
      <c r="P68" s="1989"/>
      <c r="Q68" s="2257" t="s">
        <v>1056</v>
      </c>
      <c r="R68" s="1989"/>
      <c r="S68" s="1989"/>
      <c r="T68" s="1989"/>
      <c r="U68" s="1989"/>
      <c r="V68" s="1989"/>
      <c r="W68" s="1989"/>
      <c r="X68" s="1989"/>
      <c r="Y68" s="1989"/>
      <c r="Z68" s="1989"/>
    </row>
    <row r="69" spans="1:26">
      <c r="A69" s="968" t="s">
        <v>558</v>
      </c>
      <c r="B69" s="972"/>
      <c r="C69" s="942"/>
      <c r="D69" s="931"/>
      <c r="E69" s="942"/>
      <c r="F69" s="942"/>
      <c r="G69" s="944"/>
      <c r="H69" s="132"/>
      <c r="I69" s="2487"/>
      <c r="J69" s="1732"/>
      <c r="K69" s="1732"/>
      <c r="L69" s="1732"/>
      <c r="M69" s="2232">
        <f>Motpart!H20*1000000/J58</f>
        <v>1352.6092306717296</v>
      </c>
      <c r="N69" s="2243">
        <v>1372.829</v>
      </c>
      <c r="O69" s="2251">
        <f t="shared" si="2"/>
        <v>-1.472854181276062E-2</v>
      </c>
      <c r="P69" s="1989"/>
      <c r="Q69" s="2257" t="s">
        <v>1059</v>
      </c>
      <c r="R69" s="1989"/>
      <c r="S69" s="1989"/>
      <c r="T69" s="1989"/>
      <c r="U69" s="1989"/>
      <c r="V69" s="1989"/>
      <c r="W69" s="1989"/>
      <c r="X69" s="1989"/>
      <c r="Y69" s="1989"/>
      <c r="Z69" s="1989"/>
    </row>
    <row r="70" spans="1:26">
      <c r="A70" s="968" t="s">
        <v>559</v>
      </c>
      <c r="B70" s="967"/>
      <c r="C70" s="931"/>
      <c r="D70" s="931"/>
      <c r="E70" s="931"/>
      <c r="F70" s="931"/>
      <c r="G70" s="941"/>
      <c r="H70" s="1110"/>
      <c r="I70" s="1111"/>
      <c r="J70" s="1327"/>
      <c r="K70" s="983"/>
      <c r="L70" s="983"/>
      <c r="M70" s="2232">
        <f>((Motpart!D20+Motpart!E20+Motpart!F20+Motpart!J20)-(Motpart!D20+Motpart!E20+Motpart!F20+Motpart!J20)*0.06)*1000000/J58</f>
        <v>37495.488811547053</v>
      </c>
      <c r="N70" s="2243">
        <v>36607.275000000001</v>
      </c>
      <c r="O70" s="2251">
        <f t="shared" si="2"/>
        <v>2.4263314096639288E-2</v>
      </c>
      <c r="P70" s="1989"/>
      <c r="Q70" s="2257" t="s">
        <v>827</v>
      </c>
      <c r="R70" s="1989"/>
      <c r="S70" s="1989"/>
      <c r="T70" s="1989"/>
      <c r="U70" s="1989"/>
      <c r="V70" s="1989"/>
      <c r="W70" s="1989"/>
      <c r="X70" s="1989"/>
      <c r="Y70" s="1989"/>
      <c r="Z70" s="1989"/>
    </row>
    <row r="71" spans="1:26" ht="13.5" thickBot="1">
      <c r="A71" s="976"/>
      <c r="B71" s="977"/>
      <c r="C71" s="1607" t="str">
        <f>IF(ABS(C67)&lt;100,"",IF(C58=0,"C58",IF(ABS(C67/C58)&gt;0.01,"C67")))</f>
        <v/>
      </c>
      <c r="D71" s="1608"/>
      <c r="E71" s="1608" t="str">
        <f>IF(ABS(E67)&lt;100,"",IF(E58=0,"E58",IF(ABS(E67/E58)&gt;0.01,"E67")))</f>
        <v/>
      </c>
      <c r="F71" s="1610"/>
      <c r="G71" s="1609" t="str">
        <f>IF(ABS(G67)&lt;100,"",IF(G58=0,"G58",IF(ABS(G67/G58)&gt;0.01,"G67")))</f>
        <v/>
      </c>
      <c r="H71" s="135"/>
      <c r="I71" s="982"/>
      <c r="J71" s="1328"/>
      <c r="K71" s="980"/>
      <c r="L71" s="980"/>
      <c r="M71" s="2233"/>
      <c r="N71" s="2241"/>
      <c r="O71" s="2252"/>
      <c r="P71" s="1989"/>
      <c r="Q71" s="2260" t="s">
        <v>496</v>
      </c>
      <c r="R71" s="1989"/>
      <c r="S71" s="1989"/>
      <c r="T71" s="1989"/>
      <c r="U71" s="1989"/>
      <c r="V71" s="1989"/>
      <c r="W71" s="1989"/>
      <c r="X71" s="1989"/>
      <c r="Y71" s="1989"/>
      <c r="Z71" s="1989"/>
    </row>
    <row r="72" spans="1:26">
      <c r="A72" s="954" t="s">
        <v>401</v>
      </c>
      <c r="B72" s="2270" t="s">
        <v>1178</v>
      </c>
      <c r="C72" s="69">
        <f>Drift!P57</f>
        <v>5492.6990000000014</v>
      </c>
      <c r="D72" s="70">
        <f>SUM(Motpart!D21:L21)</f>
        <v>1486.3979999999999</v>
      </c>
      <c r="E72" s="70">
        <f>Drift!W57</f>
        <v>1325.7159999999999</v>
      </c>
      <c r="F72" s="70">
        <f>Motpart!Y21</f>
        <v>857.38</v>
      </c>
      <c r="G72" s="116">
        <f>Drift!V57</f>
        <v>312.85300000000001</v>
      </c>
      <c r="H72" s="132"/>
      <c r="I72" s="1247" t="s">
        <v>811</v>
      </c>
      <c r="J72" s="1326">
        <v>378694</v>
      </c>
      <c r="K72" s="1238"/>
      <c r="L72" s="1236"/>
      <c r="M72" s="2234">
        <f>SUM(M73:M75,M77:M79)</f>
        <v>8599.7507222189961</v>
      </c>
      <c r="N72" s="2242">
        <v>8270.4509999999991</v>
      </c>
      <c r="O72" s="2253">
        <f t="shared" si="2"/>
        <v>3.9816416567729718E-2</v>
      </c>
      <c r="P72" s="1989"/>
      <c r="Q72" s="2257" t="s">
        <v>818</v>
      </c>
      <c r="R72" s="1989"/>
      <c r="S72" s="1989"/>
      <c r="T72" s="1989"/>
      <c r="U72" s="1989"/>
      <c r="V72" s="1989"/>
      <c r="W72" s="1989"/>
      <c r="X72" s="1989"/>
      <c r="Y72" s="1989"/>
      <c r="Z72" s="1989"/>
    </row>
    <row r="73" spans="1:26">
      <c r="A73" s="949" t="s">
        <v>402</v>
      </c>
      <c r="B73" s="964" t="s">
        <v>493</v>
      </c>
      <c r="C73" s="223">
        <v>1763.6510000000001</v>
      </c>
      <c r="D73" s="942"/>
      <c r="E73" s="206">
        <v>127.63500000000001</v>
      </c>
      <c r="F73" s="934"/>
      <c r="G73" s="222">
        <v>125.26900000000001</v>
      </c>
      <c r="H73" s="148" t="s">
        <v>590</v>
      </c>
      <c r="I73" s="713"/>
      <c r="J73" s="1234"/>
      <c r="K73" s="1235"/>
      <c r="L73" s="1235"/>
      <c r="M73" s="2232">
        <f>(C73-E73)*1000000/J72</f>
        <v>4320.1529467063119</v>
      </c>
      <c r="N73" s="2136">
        <v>4202.92</v>
      </c>
      <c r="O73" s="2251">
        <f t="shared" si="2"/>
        <v>2.789321393372024E-2</v>
      </c>
      <c r="P73" s="1989"/>
      <c r="Q73" s="2257" t="s">
        <v>819</v>
      </c>
      <c r="R73" s="1989"/>
      <c r="S73" s="1989"/>
      <c r="T73" s="1989"/>
      <c r="U73" s="1989"/>
      <c r="V73" s="1989"/>
      <c r="W73" s="1989"/>
      <c r="X73" s="1989"/>
      <c r="Y73" s="1989"/>
      <c r="Z73" s="1989"/>
    </row>
    <row r="74" spans="1:26">
      <c r="A74" s="949" t="s">
        <v>403</v>
      </c>
      <c r="B74" s="964" t="s">
        <v>800</v>
      </c>
      <c r="C74" s="223">
        <v>101.54300000000001</v>
      </c>
      <c r="D74" s="942"/>
      <c r="E74" s="206">
        <v>4.7249999999999996</v>
      </c>
      <c r="F74" s="934"/>
      <c r="G74" s="222">
        <v>1.0920000000000001</v>
      </c>
      <c r="H74" s="147" t="s">
        <v>591</v>
      </c>
      <c r="I74" s="713"/>
      <c r="J74" s="1234"/>
      <c r="K74" s="983"/>
      <c r="L74" s="983"/>
      <c r="M74" s="2232">
        <f>(C74-E74)*1000000/J72</f>
        <v>255.66288348904396</v>
      </c>
      <c r="N74" s="2243">
        <v>293.459</v>
      </c>
      <c r="O74" s="2251">
        <f t="shared" si="2"/>
        <v>-0.12879522015326172</v>
      </c>
      <c r="P74" s="1989"/>
      <c r="Q74" s="2257" t="s">
        <v>820</v>
      </c>
      <c r="R74" s="1989"/>
      <c r="S74" s="1989"/>
      <c r="T74" s="1989"/>
      <c r="U74" s="1989"/>
      <c r="V74" s="1989"/>
      <c r="W74" s="1989"/>
      <c r="X74" s="1989"/>
      <c r="Y74" s="1989"/>
      <c r="Z74" s="1989"/>
    </row>
    <row r="75" spans="1:26">
      <c r="A75" s="949" t="s">
        <v>404</v>
      </c>
      <c r="B75" s="964" t="s">
        <v>510</v>
      </c>
      <c r="C75" s="223">
        <v>63.872</v>
      </c>
      <c r="D75" s="942"/>
      <c r="E75" s="206">
        <v>7.3890000000000002</v>
      </c>
      <c r="F75" s="934"/>
      <c r="G75" s="222">
        <v>3.9159999999999999</v>
      </c>
      <c r="H75" s="1246"/>
      <c r="I75" s="713"/>
      <c r="J75" s="1063"/>
      <c r="K75" s="979"/>
      <c r="L75" s="979"/>
      <c r="M75" s="2232">
        <f>(C75-E75)*1000000/J72</f>
        <v>149.15208585295781</v>
      </c>
      <c r="N75" s="2243">
        <v>139.86600000000001</v>
      </c>
      <c r="O75" s="2251">
        <f t="shared" si="2"/>
        <v>6.6392731993177634E-2</v>
      </c>
      <c r="P75" s="1989"/>
      <c r="Q75" s="2257" t="s">
        <v>821</v>
      </c>
      <c r="R75" s="1989"/>
      <c r="S75" s="1989"/>
      <c r="T75" s="1989"/>
      <c r="U75" s="1989"/>
      <c r="V75" s="1989"/>
      <c r="W75" s="1989"/>
      <c r="X75" s="1989"/>
      <c r="Y75" s="1989"/>
      <c r="Z75" s="1989"/>
    </row>
    <row r="76" spans="1:26">
      <c r="A76" s="949" t="s">
        <v>405</v>
      </c>
      <c r="B76" s="964" t="s">
        <v>491</v>
      </c>
      <c r="C76" s="223">
        <v>426.529</v>
      </c>
      <c r="D76" s="942" t="str">
        <f>IF(C72=0,"",IF(OR(C76=0,C76=""),"Kommentera",""))</f>
        <v/>
      </c>
      <c r="E76" s="206">
        <v>5.0129999999999999</v>
      </c>
      <c r="F76" s="934"/>
      <c r="G76" s="222">
        <v>0.35099999999999998</v>
      </c>
      <c r="H76" s="1246" t="s">
        <v>592</v>
      </c>
      <c r="I76" s="713"/>
      <c r="J76" s="1234"/>
      <c r="K76" s="1235"/>
      <c r="L76" s="1235"/>
      <c r="M76" s="2232">
        <f>(C76-E76)*1000000/J72</f>
        <v>1113.0781052776119</v>
      </c>
      <c r="N76" s="2243">
        <v>1064.3019999999999</v>
      </c>
      <c r="O76" s="2251">
        <f t="shared" si="2"/>
        <v>4.5829196297302977E-2</v>
      </c>
      <c r="P76" s="1989"/>
      <c r="Q76" s="2257" t="s">
        <v>822</v>
      </c>
      <c r="R76" s="1989"/>
      <c r="S76" s="1989"/>
      <c r="T76" s="1989"/>
      <c r="U76" s="1989"/>
      <c r="V76" s="1989"/>
      <c r="W76" s="1989"/>
      <c r="X76" s="1989"/>
      <c r="Y76" s="1989"/>
      <c r="Z76" s="1989"/>
    </row>
    <row r="77" spans="1:26">
      <c r="A77" s="949" t="s">
        <v>406</v>
      </c>
      <c r="B77" s="965" t="s">
        <v>724</v>
      </c>
      <c r="C77" s="223">
        <v>75.308000000000007</v>
      </c>
      <c r="D77" s="942"/>
      <c r="E77" s="206">
        <v>2.34</v>
      </c>
      <c r="F77" s="934"/>
      <c r="G77" s="222">
        <v>1.905</v>
      </c>
      <c r="H77" s="1246" t="s">
        <v>593</v>
      </c>
      <c r="I77" s="713"/>
      <c r="J77" s="1234"/>
      <c r="K77" s="1235"/>
      <c r="L77" s="1235"/>
      <c r="M77" s="2232">
        <f>(C77-E77)*1000000/J72</f>
        <v>192.68327462278251</v>
      </c>
      <c r="N77" s="2243">
        <v>185.34</v>
      </c>
      <c r="O77" s="2251">
        <f t="shared" si="2"/>
        <v>3.9620560174719488E-2</v>
      </c>
      <c r="P77" s="1989"/>
      <c r="Q77" s="2257" t="s">
        <v>823</v>
      </c>
      <c r="R77" s="1989"/>
      <c r="S77" s="1989"/>
      <c r="T77" s="1989"/>
      <c r="U77" s="1989"/>
      <c r="V77" s="1989"/>
      <c r="W77" s="1989"/>
      <c r="X77" s="1989"/>
      <c r="Y77" s="1989"/>
      <c r="Z77" s="1989"/>
    </row>
    <row r="78" spans="1:26">
      <c r="A78" s="949" t="s">
        <v>407</v>
      </c>
      <c r="B78" s="966" t="s">
        <v>524</v>
      </c>
      <c r="C78" s="223">
        <v>431.30599999999998</v>
      </c>
      <c r="D78" s="942" t="str">
        <f>IF(C72=0,"",IF(C78&lt;Drift!I57+Drift!J57+Drift!L57,"Kommentera",""))</f>
        <v/>
      </c>
      <c r="E78" s="206">
        <v>4.8520000000000003</v>
      </c>
      <c r="F78" s="934"/>
      <c r="G78" s="222">
        <v>4.1630000000000003</v>
      </c>
      <c r="H78" s="1246" t="s">
        <v>594</v>
      </c>
      <c r="I78" s="713"/>
      <c r="J78" s="1234"/>
      <c r="K78" s="1235"/>
      <c r="L78" s="1235"/>
      <c r="M78" s="2232">
        <f>(C78-E78)*1000000/J72</f>
        <v>1126.117657000111</v>
      </c>
      <c r="N78" s="2240">
        <v>1012.994</v>
      </c>
      <c r="O78" s="2251">
        <f t="shared" si="2"/>
        <v>0.11167258345075193</v>
      </c>
      <c r="P78" s="1989"/>
      <c r="Q78" s="2257" t="s">
        <v>824</v>
      </c>
      <c r="R78" s="1989"/>
      <c r="S78" s="1989"/>
      <c r="T78" s="1989"/>
      <c r="U78" s="1989"/>
      <c r="V78" s="1989"/>
      <c r="W78" s="1989"/>
      <c r="X78" s="1989"/>
      <c r="Y78" s="1989"/>
      <c r="Z78" s="1989"/>
    </row>
    <row r="79" spans="1:26">
      <c r="A79" s="949" t="s">
        <v>408</v>
      </c>
      <c r="B79" s="964" t="s">
        <v>444</v>
      </c>
      <c r="C79" s="223">
        <v>1007.857</v>
      </c>
      <c r="D79" s="942"/>
      <c r="E79" s="206">
        <v>295.45499999999998</v>
      </c>
      <c r="F79" s="934"/>
      <c r="G79" s="222">
        <v>176.15700000000001</v>
      </c>
      <c r="H79" s="148" t="s">
        <v>595</v>
      </c>
      <c r="I79" s="2481" t="str">
        <f>IF(SUM(E79-G79+100)&lt;Motpart!AA21,"I Motparten är statsbidragen "&amp;""&amp;(Motpart!AA21)&amp;" tkr. Alla bidrag från staten o statliga myndigheter, inklusive de från Migrationsverket, ska ingå under Övrigt som extern intäkt. De externa intäkterna på Övrigt-raden är dock bara "&amp;""&amp;(ROUND(E79-G79,0))&amp;" tkr. ","")</f>
        <v/>
      </c>
      <c r="J79" s="1731"/>
      <c r="K79" s="1731"/>
      <c r="L79" s="1731"/>
      <c r="M79" s="2227">
        <f>(C79+C80-G79)*1000000/J72</f>
        <v>2555.9818745477878</v>
      </c>
      <c r="N79" s="2136">
        <v>2435.8719999999998</v>
      </c>
      <c r="O79" s="2251">
        <f t="shared" si="2"/>
        <v>4.9308779175501805E-2</v>
      </c>
      <c r="P79" s="1989"/>
      <c r="Q79" s="2257" t="s">
        <v>825</v>
      </c>
      <c r="R79" s="1989"/>
      <c r="S79" s="1989"/>
      <c r="T79" s="1989"/>
      <c r="U79" s="1989"/>
      <c r="V79" s="1989"/>
      <c r="W79" s="1989"/>
      <c r="X79" s="1989"/>
      <c r="Y79" s="1989"/>
      <c r="Z79" s="1989"/>
    </row>
    <row r="80" spans="1:26">
      <c r="A80" s="949" t="s">
        <v>409</v>
      </c>
      <c r="B80" s="978" t="s">
        <v>454</v>
      </c>
      <c r="C80" s="223">
        <v>136.23500000000001</v>
      </c>
      <c r="D80" s="1878" t="str">
        <f>IF(OR(C80 &gt; SUM(Drift!N57+Drift!O57+100), C80 &lt; SUM(Drift!N57+Drift!O57-100)),"Fördelad gemensam verksamhet skiljer sig mot Driftfliken.","")</f>
        <v/>
      </c>
      <c r="E80" s="942"/>
      <c r="F80" s="942"/>
      <c r="G80" s="944"/>
      <c r="H80" s="147"/>
      <c r="I80" s="2488"/>
      <c r="J80" s="1731"/>
      <c r="K80" s="1731"/>
      <c r="L80" s="1731"/>
      <c r="M80" s="2227">
        <f>((M72*J72/1000000+D72-F72-(Motpart!D21+Motpart!E21+Motpart!F21+Motpart!J21)*0.06))/J72*1000000+M76</f>
        <v>11318.588834256683</v>
      </c>
      <c r="N80" s="2243">
        <v>10708.38</v>
      </c>
      <c r="O80" s="2251">
        <f t="shared" si="2"/>
        <v>5.6984234240537335E-2</v>
      </c>
      <c r="P80" s="1989"/>
      <c r="Q80" s="2257" t="s">
        <v>826</v>
      </c>
      <c r="R80" s="1989"/>
      <c r="S80" s="1989"/>
      <c r="T80" s="1989"/>
      <c r="U80" s="1989"/>
      <c r="V80" s="1989"/>
      <c r="W80" s="1989"/>
      <c r="X80" s="1989"/>
      <c r="Y80" s="1989"/>
      <c r="Z80" s="1989"/>
    </row>
    <row r="81" spans="1:26">
      <c r="A81" s="968" t="s">
        <v>560</v>
      </c>
      <c r="B81" s="967" t="s">
        <v>126</v>
      </c>
      <c r="C81" s="1106">
        <f>(C72-SUM(C73:C80)-D72)*-1</f>
        <v>-1.1368683772161603E-12</v>
      </c>
      <c r="D81" s="930"/>
      <c r="E81" s="1107">
        <f>(E72-SUM(E73:E79)-F72-(Motpart!D21+Motpart!E21+Motpart!F21)*0.06)*-1</f>
        <v>-6.7999999990675519E-4</v>
      </c>
      <c r="F81" s="930"/>
      <c r="G81" s="1108">
        <f>(G72-SUM(G73:G79))*-1</f>
        <v>5.6843418860808015E-14</v>
      </c>
      <c r="H81" s="134"/>
      <c r="I81" s="2488"/>
      <c r="J81" s="1731"/>
      <c r="K81" s="1731"/>
      <c r="L81" s="1731"/>
      <c r="M81" s="2232">
        <f>(Motpart!G21+Motpart!K21)*1000000/J72</f>
        <v>2842.8308872070852</v>
      </c>
      <c r="N81" s="2243">
        <v>2655.5549999999998</v>
      </c>
      <c r="O81" s="2251">
        <f>IF(OR(M81="",N81=""),"",IF(AND(M81=0,N81=0),0,IF(N81=0,1,M81/N81-1)))</f>
        <v>7.0522315375537437E-2</v>
      </c>
      <c r="P81" s="1989"/>
      <c r="Q81" s="2257" t="s">
        <v>1057</v>
      </c>
      <c r="R81" s="1989"/>
      <c r="S81" s="1989"/>
      <c r="T81" s="1989"/>
      <c r="U81" s="1989"/>
      <c r="V81" s="1989"/>
      <c r="W81" s="1989"/>
      <c r="X81" s="1989"/>
      <c r="Y81" s="1989"/>
      <c r="Z81" s="1989"/>
    </row>
    <row r="82" spans="1:26">
      <c r="A82" s="968" t="s">
        <v>561</v>
      </c>
      <c r="B82" s="967"/>
      <c r="C82" s="942"/>
      <c r="D82" s="931"/>
      <c r="E82" s="942"/>
      <c r="F82" s="942"/>
      <c r="G82" s="944"/>
      <c r="H82" s="132"/>
      <c r="I82" s="2488"/>
      <c r="J82" s="1731"/>
      <c r="K82" s="1731"/>
      <c r="L82" s="1731"/>
      <c r="M82" s="2232">
        <f>F72*1000000/J72</f>
        <v>2264.0443207444532</v>
      </c>
      <c r="N82" s="2240">
        <v>2241.64</v>
      </c>
      <c r="O82" s="2251">
        <f t="shared" ref="O82:O101" si="3">IF(OR(M82="",N82=""),"",IF(AND(M82=0,N82=0),0,IF(N82=0,1,M82/N82-1)))</f>
        <v>9.9946114204123582E-3</v>
      </c>
      <c r="P82" s="1989"/>
      <c r="Q82" s="2257" t="s">
        <v>1056</v>
      </c>
      <c r="R82" s="1989"/>
      <c r="S82" s="1989"/>
      <c r="T82" s="1989"/>
      <c r="U82" s="1989"/>
      <c r="V82" s="1989"/>
      <c r="W82" s="1989"/>
      <c r="X82" s="1989"/>
      <c r="Y82" s="1989"/>
      <c r="Z82" s="1989"/>
    </row>
    <row r="83" spans="1:26">
      <c r="A83" s="968" t="s">
        <v>562</v>
      </c>
      <c r="B83" s="972"/>
      <c r="C83" s="942"/>
      <c r="D83" s="931"/>
      <c r="E83" s="942"/>
      <c r="F83" s="942"/>
      <c r="G83" s="944"/>
      <c r="H83" s="136"/>
      <c r="I83" s="2488"/>
      <c r="J83" s="1731"/>
      <c r="K83" s="1731"/>
      <c r="L83" s="1731"/>
      <c r="M83" s="2227">
        <f>Motpart!H21*1000000/J72</f>
        <v>154.84269621382964</v>
      </c>
      <c r="N83" s="2240">
        <v>147.49199999999999</v>
      </c>
      <c r="O83" s="2251">
        <f t="shared" si="3"/>
        <v>4.9837931642595201E-2</v>
      </c>
      <c r="P83" s="1989"/>
      <c r="Q83" s="2257" t="s">
        <v>1059</v>
      </c>
      <c r="R83" s="1989"/>
      <c r="S83" s="1989"/>
      <c r="T83" s="1989"/>
      <c r="U83" s="1989"/>
      <c r="V83" s="1989"/>
      <c r="W83" s="1989"/>
      <c r="X83" s="1989"/>
      <c r="Y83" s="1989"/>
      <c r="Z83" s="1989"/>
    </row>
    <row r="84" spans="1:26">
      <c r="A84" s="949" t="s">
        <v>563</v>
      </c>
      <c r="B84" s="967"/>
      <c r="C84" s="931"/>
      <c r="D84" s="931"/>
      <c r="E84" s="931"/>
      <c r="F84" s="931"/>
      <c r="G84" s="941"/>
      <c r="H84" s="1110"/>
      <c r="I84" s="1111"/>
      <c r="J84" s="1327"/>
      <c r="K84" s="983"/>
      <c r="L84" s="983"/>
      <c r="M84" s="2227">
        <f>((Motpart!D21+Motpart!E21+Motpart!F21+Motpart!J21)-(Motpart!D21+Motpart!E21+Motpart!F21+Motpart!J21)*0.06)*1000000/J72</f>
        <v>865.72715701859545</v>
      </c>
      <c r="N84" s="2243">
        <v>802.92</v>
      </c>
      <c r="O84" s="2251">
        <f t="shared" si="3"/>
        <v>7.8223430751003242E-2</v>
      </c>
      <c r="P84" s="1989"/>
      <c r="Q84" s="2257" t="s">
        <v>828</v>
      </c>
      <c r="R84" s="1989"/>
      <c r="S84" s="1989"/>
      <c r="T84" s="1989"/>
      <c r="U84" s="1989"/>
      <c r="V84" s="1989"/>
      <c r="W84" s="1989"/>
      <c r="X84" s="1989"/>
      <c r="Y84" s="1989"/>
      <c r="Z84" s="1989"/>
    </row>
    <row r="85" spans="1:26" ht="13.5" thickBot="1">
      <c r="A85" s="970"/>
      <c r="B85" s="977"/>
      <c r="C85" s="1607" t="str">
        <f>IF(ABS(C81)&lt;100,"",IF(C72=0,"C72",IF(ABS(C81/C72)&gt;0.01,"C81")))</f>
        <v/>
      </c>
      <c r="D85" s="1608"/>
      <c r="E85" s="1608" t="str">
        <f>IF(ABS(E81)&lt;100,"",IF(E72=0,"E72",IF(ABS(E81/E72)&gt;0.01,"E81")))</f>
        <v/>
      </c>
      <c r="F85" s="1608"/>
      <c r="G85" s="1609" t="str">
        <f>IF(ABS(G81)&lt;100,"",IF(G72=0,"G72",IF(ABS(G81/G72)&gt;0.01,"G81")))</f>
        <v/>
      </c>
      <c r="H85" s="135"/>
      <c r="I85" s="982"/>
      <c r="J85" s="1328"/>
      <c r="K85" s="980"/>
      <c r="L85" s="983"/>
      <c r="M85" s="2228"/>
      <c r="N85" s="2241"/>
      <c r="O85" s="2252" t="str">
        <f t="shared" si="3"/>
        <v/>
      </c>
      <c r="P85" s="1989"/>
      <c r="Q85" s="2260" t="s">
        <v>1182</v>
      </c>
      <c r="R85" s="1989"/>
      <c r="S85" s="1989"/>
      <c r="T85" s="1989"/>
      <c r="U85" s="1989"/>
      <c r="V85" s="1989"/>
      <c r="W85" s="1989"/>
      <c r="X85" s="1989"/>
      <c r="Y85" s="1989"/>
      <c r="Z85" s="1989"/>
    </row>
    <row r="86" spans="1:26" ht="12.75" customHeight="1">
      <c r="A86" s="954" t="s">
        <v>410</v>
      </c>
      <c r="B86" s="963" t="s">
        <v>532</v>
      </c>
      <c r="C86" s="146">
        <f>Drift!P60</f>
        <v>1708.3659999999998</v>
      </c>
      <c r="D86" s="70">
        <f>SUM(Motpart!D22:L22)</f>
        <v>379.30899999999997</v>
      </c>
      <c r="E86" s="145">
        <f>Drift!W60</f>
        <v>252.268</v>
      </c>
      <c r="F86" s="70">
        <f>Motpart!Y22</f>
        <v>63.86</v>
      </c>
      <c r="G86" s="117">
        <f>Drift!V60</f>
        <v>77.12</v>
      </c>
      <c r="H86" s="137"/>
      <c r="I86" s="985" t="s">
        <v>525</v>
      </c>
      <c r="J86" s="1326">
        <v>6117371</v>
      </c>
      <c r="K86" s="986"/>
      <c r="L86" s="986"/>
      <c r="M86" s="2234">
        <f>SUM(M87:M91)</f>
        <v>203.93956815762849</v>
      </c>
      <c r="N86" s="2242">
        <v>206.73500000000001</v>
      </c>
      <c r="O86" s="2253">
        <f t="shared" si="3"/>
        <v>-1.3521812186477966E-2</v>
      </c>
      <c r="P86" s="1989"/>
      <c r="Q86" s="2257" t="s">
        <v>829</v>
      </c>
      <c r="R86" s="1989"/>
      <c r="S86" s="1989"/>
      <c r="T86" s="1989"/>
      <c r="U86" s="1989"/>
      <c r="V86" s="1989"/>
      <c r="W86" s="1989"/>
      <c r="X86" s="1989"/>
      <c r="Y86" s="1989"/>
      <c r="Z86" s="1989"/>
    </row>
    <row r="87" spans="1:26" ht="12.75" customHeight="1">
      <c r="A87" s="949" t="s">
        <v>411</v>
      </c>
      <c r="B87" s="964" t="s">
        <v>493</v>
      </c>
      <c r="C87" s="223">
        <v>671.03700000000003</v>
      </c>
      <c r="D87" s="942"/>
      <c r="E87" s="206">
        <v>7.7119999999999997</v>
      </c>
      <c r="F87" s="934"/>
      <c r="G87" s="222">
        <v>4.5860000000000003</v>
      </c>
      <c r="H87" s="136"/>
      <c r="I87" s="987"/>
      <c r="J87" s="1329"/>
      <c r="K87" s="983"/>
      <c r="L87" s="983"/>
      <c r="M87" s="2232">
        <f>(C87-E87)*1000000/J86</f>
        <v>108.43301803993906</v>
      </c>
      <c r="N87" s="2240">
        <v>111.518</v>
      </c>
      <c r="O87" s="2251">
        <f t="shared" si="3"/>
        <v>-2.766353377984665E-2</v>
      </c>
      <c r="P87" s="1989"/>
      <c r="Q87" s="2257" t="s">
        <v>830</v>
      </c>
      <c r="R87" s="1989"/>
      <c r="S87" s="1989"/>
      <c r="T87" s="1989"/>
      <c r="U87" s="1989"/>
      <c r="V87" s="1989"/>
      <c r="W87" s="1989"/>
      <c r="X87" s="1989"/>
      <c r="Y87" s="1989"/>
      <c r="Z87" s="1989"/>
    </row>
    <row r="88" spans="1:26" ht="12.75" customHeight="1">
      <c r="A88" s="949" t="s">
        <v>412</v>
      </c>
      <c r="B88" s="964" t="s">
        <v>800</v>
      </c>
      <c r="C88" s="223">
        <v>36.985999999999997</v>
      </c>
      <c r="D88" s="942"/>
      <c r="E88" s="206">
        <v>0.82</v>
      </c>
      <c r="F88" s="934"/>
      <c r="G88" s="222">
        <v>0.22700000000000001</v>
      </c>
      <c r="H88" s="136"/>
      <c r="I88" s="987"/>
      <c r="J88" s="1329"/>
      <c r="K88" s="983"/>
      <c r="L88" s="983"/>
      <c r="M88" s="2232">
        <f>(C88-E88)*1000000/J86</f>
        <v>5.9120167797571863</v>
      </c>
      <c r="N88" s="2136">
        <v>5.6020000000000003</v>
      </c>
      <c r="O88" s="2251">
        <f t="shared" si="3"/>
        <v>5.5340374822774985E-2</v>
      </c>
      <c r="P88" s="1989"/>
      <c r="Q88" s="2257" t="s">
        <v>831</v>
      </c>
      <c r="R88" s="1989"/>
      <c r="S88" s="1989"/>
      <c r="T88" s="1989"/>
      <c r="U88" s="1989"/>
      <c r="V88" s="1989"/>
      <c r="W88" s="1989"/>
      <c r="X88" s="1989"/>
      <c r="Y88" s="1989"/>
      <c r="Z88" s="1989"/>
    </row>
    <row r="89" spans="1:26" ht="15.75" customHeight="1">
      <c r="A89" s="949" t="s">
        <v>413</v>
      </c>
      <c r="B89" s="974" t="s">
        <v>724</v>
      </c>
      <c r="C89" s="223">
        <v>6.39</v>
      </c>
      <c r="D89" s="942"/>
      <c r="E89" s="206">
        <v>3.3000000000000002E-2</v>
      </c>
      <c r="F89" s="934"/>
      <c r="G89" s="222">
        <v>0</v>
      </c>
      <c r="H89" s="136"/>
      <c r="I89" s="988"/>
      <c r="J89" s="1330"/>
      <c r="K89" s="989"/>
      <c r="L89" s="989"/>
      <c r="M89" s="2232">
        <f>(C89-E89)*1000000/J86</f>
        <v>1.0391718926316549</v>
      </c>
      <c r="N89" s="2243">
        <v>0.73499999999999999</v>
      </c>
      <c r="O89" s="2251">
        <f t="shared" si="3"/>
        <v>0.41383930970293181</v>
      </c>
      <c r="P89" s="1989"/>
      <c r="Q89" s="2257" t="s">
        <v>832</v>
      </c>
      <c r="R89" s="1989"/>
      <c r="S89" s="1989"/>
      <c r="T89" s="1989"/>
      <c r="U89" s="1989"/>
      <c r="V89" s="1989"/>
      <c r="W89" s="1989"/>
      <c r="X89" s="1989"/>
      <c r="Y89" s="1989"/>
      <c r="Z89" s="1989"/>
    </row>
    <row r="90" spans="1:26" ht="12.75" customHeight="1">
      <c r="A90" s="949" t="s">
        <v>414</v>
      </c>
      <c r="B90" s="966" t="s">
        <v>524</v>
      </c>
      <c r="C90" s="223">
        <v>196.36500000000001</v>
      </c>
      <c r="D90" s="942" t="str">
        <f>IF(C86=0,"",IF(C90&lt;Drift!I60+Drift!J60+Drift!L60,"Kommentera",""))</f>
        <v/>
      </c>
      <c r="E90" s="206">
        <v>2.875</v>
      </c>
      <c r="F90" s="934"/>
      <c r="G90" s="222">
        <v>2.262</v>
      </c>
      <c r="H90" s="136"/>
      <c r="I90" s="2489" t="str">
        <f>IF(SUM(E91-G91+100)&lt;Motpart!AA22,"I Motparten är statsbidragen "&amp;""&amp;(Motpart!AA22)&amp;" tkr. Alla bidrag från staten o statliga myndigheter, inklusive de från Migrationsverket, ska ingå under Övrigt som extern intäkt. De externa intäkterna på Övrigt-raden är dock bara "&amp;""&amp;(ROUND(E91-G91,0))&amp;" tkr. ","")</f>
        <v/>
      </c>
      <c r="J90" s="1725"/>
      <c r="K90" s="1725"/>
      <c r="L90" s="1725"/>
      <c r="M90" s="2232">
        <f>(C90-E90)*1000000/J86</f>
        <v>31.62960036263944</v>
      </c>
      <c r="N90" s="2240">
        <v>31.728000000000002</v>
      </c>
      <c r="O90" s="2251">
        <f t="shared" si="3"/>
        <v>-3.1013501437393565E-3</v>
      </c>
      <c r="P90" s="1989"/>
      <c r="Q90" s="2257" t="s">
        <v>833</v>
      </c>
      <c r="R90" s="1989"/>
      <c r="S90" s="1989"/>
      <c r="T90" s="1989"/>
      <c r="U90" s="1989"/>
      <c r="V90" s="1989"/>
      <c r="W90" s="1989"/>
      <c r="X90" s="1989"/>
      <c r="Y90" s="1989"/>
      <c r="Z90" s="1989"/>
    </row>
    <row r="91" spans="1:26" ht="12.75" customHeight="1">
      <c r="A91" s="949" t="s">
        <v>415</v>
      </c>
      <c r="B91" s="964" t="s">
        <v>444</v>
      </c>
      <c r="C91" s="223">
        <v>366.98599999999999</v>
      </c>
      <c r="D91" s="942"/>
      <c r="E91" s="206">
        <v>162.12799999999999</v>
      </c>
      <c r="F91" s="934"/>
      <c r="G91" s="222">
        <v>70.045000000000002</v>
      </c>
      <c r="H91" s="136"/>
      <c r="I91" s="2488"/>
      <c r="J91" s="1725"/>
      <c r="K91" s="1725"/>
      <c r="L91" s="1725"/>
      <c r="M91" s="2232">
        <f>(C91+C92-G91)*1000000/J86</f>
        <v>56.925761082661161</v>
      </c>
      <c r="N91" s="2240">
        <v>57.152000000000001</v>
      </c>
      <c r="O91" s="2251">
        <f t="shared" si="3"/>
        <v>-3.9585476857999513E-3</v>
      </c>
      <c r="P91" s="1989"/>
      <c r="Q91" s="2257" t="s">
        <v>834</v>
      </c>
      <c r="R91" s="1989"/>
      <c r="S91" s="1989"/>
      <c r="T91" s="1989"/>
      <c r="U91" s="1989"/>
      <c r="V91" s="1989"/>
      <c r="W91" s="1989"/>
      <c r="X91" s="1989"/>
      <c r="Y91" s="1989"/>
      <c r="Z91" s="1989"/>
    </row>
    <row r="92" spans="1:26" ht="12.75" customHeight="1">
      <c r="A92" s="949" t="s">
        <v>416</v>
      </c>
      <c r="B92" s="978" t="s">
        <v>492</v>
      </c>
      <c r="C92" s="223">
        <v>51.295000000000002</v>
      </c>
      <c r="D92" s="1878" t="str">
        <f>IF(OR(C92 &gt; SUM(Drift!N60+Drift!O60+100), C92 &lt; SUM(Drift!N60+Drift!O60-100)),"Fördelad gemensam verksamhet skiljer sig mot Driftfliken.","")</f>
        <v/>
      </c>
      <c r="E92" s="942"/>
      <c r="F92" s="942"/>
      <c r="G92" s="944"/>
      <c r="H92" s="136"/>
      <c r="I92" s="2488"/>
      <c r="J92" s="1725"/>
      <c r="K92" s="1725"/>
      <c r="L92" s="1725"/>
      <c r="M92" s="2235"/>
      <c r="N92" s="2136"/>
      <c r="O92" s="2251" t="str">
        <f t="shared" si="3"/>
        <v/>
      </c>
      <c r="P92" s="1989"/>
      <c r="Q92" s="2261"/>
      <c r="R92" s="1989"/>
      <c r="S92" s="1989"/>
      <c r="T92" s="1989"/>
      <c r="U92" s="1989"/>
      <c r="V92" s="1989"/>
      <c r="W92" s="1989"/>
      <c r="X92" s="1989"/>
      <c r="Y92" s="1989"/>
      <c r="Z92" s="1989"/>
    </row>
    <row r="93" spans="1:26" ht="12.75" customHeight="1">
      <c r="A93" s="949"/>
      <c r="B93" s="978" t="s">
        <v>126</v>
      </c>
      <c r="C93" s="1106">
        <f>(C86-SUM(C87:C92)-D86)*-1</f>
        <v>2.0000000004074536E-3</v>
      </c>
      <c r="D93" s="945"/>
      <c r="E93" s="1107">
        <f>(E86-SUM(E87:E91)-F86-(Motpart!D22+Motpart!E22+Motpart!F22)*0.06)*-1</f>
        <v>-4.4000000001886974E-4</v>
      </c>
      <c r="F93" s="945"/>
      <c r="G93" s="1108">
        <f>(G86-SUM(G87:G91))*-1</f>
        <v>0</v>
      </c>
      <c r="H93" s="134"/>
      <c r="I93" s="2488"/>
      <c r="J93" s="1725"/>
      <c r="K93" s="1725"/>
      <c r="L93" s="1725"/>
      <c r="M93" s="2235"/>
      <c r="N93" s="2243"/>
      <c r="O93" s="2251" t="str">
        <f t="shared" si="3"/>
        <v/>
      </c>
      <c r="P93" s="1989"/>
      <c r="Q93" s="2257" t="s">
        <v>497</v>
      </c>
      <c r="R93" s="1989"/>
      <c r="S93" s="1989"/>
      <c r="T93" s="1989"/>
      <c r="U93" s="1989"/>
      <c r="V93" s="1989"/>
      <c r="W93" s="1989"/>
      <c r="X93" s="1989"/>
      <c r="Y93" s="1989"/>
      <c r="Z93" s="1989"/>
    </row>
    <row r="94" spans="1:26" ht="16.5" customHeight="1" thickBot="1">
      <c r="A94" s="970"/>
      <c r="B94" s="971"/>
      <c r="C94" s="1607" t="str">
        <f>IF(ABS(C93)&lt;100,"",IF(C86=0,"C86",IF(ABS(C93/C86)&gt;0.01,"C93")))</f>
        <v/>
      </c>
      <c r="D94" s="1608"/>
      <c r="E94" s="1608" t="str">
        <f>IF(ABS(E93)&lt;100,"",IF(E86=0,"E86",IF(ABS(E93/E86)&gt;0.01,"E93")))</f>
        <v/>
      </c>
      <c r="F94" s="1608"/>
      <c r="G94" s="1609" t="str">
        <f>IF(ABS(G93)&lt;100,"",IF(G86=0,"G86",IF(ABS(G93/G86)&gt;0.01,"G93")))</f>
        <v/>
      </c>
      <c r="H94" s="149"/>
      <c r="I94" s="2490"/>
      <c r="J94" s="1733"/>
      <c r="K94" s="1733"/>
      <c r="L94" s="1733"/>
      <c r="M94" s="2236"/>
      <c r="N94" s="2241"/>
      <c r="O94" s="2252" t="str">
        <f t="shared" si="3"/>
        <v/>
      </c>
      <c r="P94" s="1989"/>
      <c r="Q94" s="2260"/>
      <c r="R94" s="1989"/>
      <c r="S94" s="1989"/>
      <c r="T94" s="1989"/>
      <c r="U94" s="1989"/>
      <c r="V94" s="1989"/>
      <c r="W94" s="1989"/>
      <c r="X94" s="1989"/>
      <c r="Y94" s="1989"/>
      <c r="Z94" s="1989"/>
    </row>
    <row r="95" spans="1:26" ht="12.75" customHeight="1">
      <c r="A95" s="954" t="s">
        <v>417</v>
      </c>
      <c r="B95" s="963" t="s">
        <v>533</v>
      </c>
      <c r="C95" s="69">
        <f>Drift!P61</f>
        <v>6810.7430000000013</v>
      </c>
      <c r="D95" s="946">
        <f>SUM(Motpart!D23:L23)</f>
        <v>2285.0519999999997</v>
      </c>
      <c r="E95" s="145">
        <f>Drift!W61</f>
        <v>3488.6660000000002</v>
      </c>
      <c r="F95" s="70">
        <f>Motpart!Y23</f>
        <v>476.92399999999998</v>
      </c>
      <c r="G95" s="117">
        <f>Drift!V61</f>
        <v>326.202</v>
      </c>
      <c r="H95" s="137"/>
      <c r="I95" s="985" t="s">
        <v>525</v>
      </c>
      <c r="J95" s="1326">
        <v>6117371</v>
      </c>
      <c r="K95" s="986"/>
      <c r="L95" s="986"/>
      <c r="M95" s="2234">
        <f>SUM(M96:M100)</f>
        <v>673.34742326401329</v>
      </c>
      <c r="N95" s="2136">
        <v>647.78300000000002</v>
      </c>
      <c r="O95" s="2253">
        <f t="shared" si="3"/>
        <v>3.9464486199874527E-2</v>
      </c>
      <c r="P95" s="1989"/>
      <c r="Q95" s="2257" t="s">
        <v>829</v>
      </c>
      <c r="R95" s="1989"/>
      <c r="S95" s="1989"/>
      <c r="T95" s="1989"/>
      <c r="U95" s="1989"/>
      <c r="V95" s="1989"/>
      <c r="W95" s="1989"/>
      <c r="X95" s="1989"/>
      <c r="Y95" s="1989"/>
      <c r="Z95" s="1989"/>
    </row>
    <row r="96" spans="1:26" ht="12.75" customHeight="1">
      <c r="A96" s="949" t="s">
        <v>418</v>
      </c>
      <c r="B96" s="964" t="s">
        <v>493</v>
      </c>
      <c r="C96" s="223">
        <v>2234.6390000000001</v>
      </c>
      <c r="D96" s="942"/>
      <c r="E96" s="206">
        <v>131.268</v>
      </c>
      <c r="F96" s="934"/>
      <c r="G96" s="222">
        <v>70.209000000000003</v>
      </c>
      <c r="H96" s="136"/>
      <c r="I96" s="987"/>
      <c r="J96" s="1329"/>
      <c r="K96" s="983"/>
      <c r="L96" s="983"/>
      <c r="M96" s="2232">
        <f>(C96-E96)*1000000/J95</f>
        <v>343.83577520474074</v>
      </c>
      <c r="N96" s="2243">
        <v>336.32400000000001</v>
      </c>
      <c r="O96" s="2251">
        <f t="shared" si="3"/>
        <v>2.2334936563375596E-2</v>
      </c>
      <c r="P96" s="1989"/>
      <c r="Q96" s="2257" t="s">
        <v>830</v>
      </c>
      <c r="R96" s="1989"/>
      <c r="S96" s="1989"/>
      <c r="T96" s="1989"/>
      <c r="U96" s="1989"/>
      <c r="V96" s="1989"/>
      <c r="W96" s="1989"/>
      <c r="X96" s="1989"/>
      <c r="Y96" s="1989"/>
      <c r="Z96" s="1989"/>
    </row>
    <row r="97" spans="1:26" ht="12.75" customHeight="1">
      <c r="A97" s="949" t="s">
        <v>419</v>
      </c>
      <c r="B97" s="964" t="s">
        <v>800</v>
      </c>
      <c r="C97" s="223">
        <v>176.089</v>
      </c>
      <c r="D97" s="942"/>
      <c r="E97" s="206">
        <v>25.416</v>
      </c>
      <c r="F97" s="934"/>
      <c r="G97" s="222">
        <v>8.4920000000000009</v>
      </c>
      <c r="H97" s="134"/>
      <c r="I97" s="987"/>
      <c r="J97" s="1329"/>
      <c r="K97" s="983"/>
      <c r="L97" s="983"/>
      <c r="M97" s="2232">
        <f>(C97-E97)*1000000/J95</f>
        <v>24.630351829241679</v>
      </c>
      <c r="N97" s="2240">
        <v>22.946999999999999</v>
      </c>
      <c r="O97" s="2251">
        <f t="shared" si="3"/>
        <v>7.3358252897619769E-2</v>
      </c>
      <c r="P97" s="1989"/>
      <c r="Q97" s="2257" t="s">
        <v>831</v>
      </c>
      <c r="R97" s="1989"/>
      <c r="S97" s="1989"/>
      <c r="T97" s="1989"/>
      <c r="U97" s="1989"/>
      <c r="V97" s="1989"/>
      <c r="W97" s="1989"/>
      <c r="X97" s="1989"/>
      <c r="Y97" s="1989"/>
      <c r="Z97" s="1989"/>
    </row>
    <row r="98" spans="1:26" ht="14.25" customHeight="1">
      <c r="A98" s="949" t="s">
        <v>420</v>
      </c>
      <c r="B98" s="965" t="s">
        <v>724</v>
      </c>
      <c r="C98" s="223">
        <v>12.798999999999999</v>
      </c>
      <c r="D98" s="942"/>
      <c r="E98" s="206">
        <v>3.2000000000000001E-2</v>
      </c>
      <c r="F98" s="934"/>
      <c r="G98" s="222">
        <v>0</v>
      </c>
      <c r="H98" s="132"/>
      <c r="I98" s="988"/>
      <c r="J98" s="1330"/>
      <c r="K98" s="989"/>
      <c r="L98" s="989"/>
      <c r="M98" s="2232">
        <f>(C98-E98)*1000000/J95</f>
        <v>2.0870076377581155</v>
      </c>
      <c r="N98" s="2136">
        <v>1.8049999999999999</v>
      </c>
      <c r="O98" s="2251">
        <f t="shared" si="3"/>
        <v>0.15623691842554877</v>
      </c>
      <c r="P98" s="1989"/>
      <c r="Q98" s="2257" t="s">
        <v>832</v>
      </c>
      <c r="R98" s="1989"/>
      <c r="S98" s="1989"/>
      <c r="T98" s="1989"/>
      <c r="U98" s="1989"/>
      <c r="V98" s="1989"/>
      <c r="W98" s="1989"/>
      <c r="X98" s="1989"/>
      <c r="Y98" s="1989"/>
      <c r="Z98" s="1989"/>
    </row>
    <row r="99" spans="1:26" ht="15" customHeight="1">
      <c r="A99" s="949" t="s">
        <v>421</v>
      </c>
      <c r="B99" s="966" t="s">
        <v>524</v>
      </c>
      <c r="C99" s="223">
        <v>546.56200000000001</v>
      </c>
      <c r="D99" s="1907" t="str">
        <f>IF(C95=0,"",IF(C99&lt;Drift!I61+Drift!J61+Drift!L61,"Kommentera",""))</f>
        <v/>
      </c>
      <c r="E99" s="206">
        <v>19.584</v>
      </c>
      <c r="F99" s="934"/>
      <c r="G99" s="222">
        <v>17.222999999999999</v>
      </c>
      <c r="H99" s="136"/>
      <c r="I99" s="2483" t="str">
        <f>IF(SUM(E100-G100+100)&lt;Motpart!AA23,"I Motparten är statsbidragen "&amp;""&amp;(Motpart!AA23)&amp;" tkr. Alla bidrag från staten o statliga myndigheter, inklusive de från Migrationsverket, ska ingå under Övrigt som extern intäkt. De externa intäkterna på Övrigt-raden är dock bara "&amp;""&amp;(ROUND(E100-G100,0))&amp;" tkr. ","")</f>
        <v/>
      </c>
      <c r="J99" s="1734"/>
      <c r="K99" s="1734"/>
      <c r="L99" s="1734"/>
      <c r="M99" s="2232">
        <f>(C99-E99)*1000000/J95</f>
        <v>86.144521886934768</v>
      </c>
      <c r="N99" s="2243">
        <v>84.117999999999995</v>
      </c>
      <c r="O99" s="2251">
        <f t="shared" si="3"/>
        <v>2.4091417852716068E-2</v>
      </c>
      <c r="P99" s="1989"/>
      <c r="Q99" s="2257" t="s">
        <v>833</v>
      </c>
      <c r="R99" s="1989"/>
      <c r="S99" s="1989"/>
      <c r="T99" s="1989"/>
      <c r="U99" s="1989"/>
      <c r="V99" s="1989"/>
      <c r="W99" s="1989"/>
      <c r="X99" s="1989"/>
      <c r="Y99" s="1989"/>
      <c r="Z99" s="1989"/>
    </row>
    <row r="100" spans="1:26" ht="12.75" customHeight="1">
      <c r="A100" s="949" t="s">
        <v>422</v>
      </c>
      <c r="B100" s="964" t="s">
        <v>444</v>
      </c>
      <c r="C100" s="223">
        <v>1386.9349999999999</v>
      </c>
      <c r="D100" s="942"/>
      <c r="E100" s="206">
        <v>2741.8090000000002</v>
      </c>
      <c r="F100" s="934"/>
      <c r="G100" s="222">
        <v>230.27799999999999</v>
      </c>
      <c r="H100" s="134"/>
      <c r="I100" s="2484"/>
      <c r="J100" s="1734"/>
      <c r="K100" s="1734"/>
      <c r="L100" s="1734"/>
      <c r="M100" s="2232">
        <f>(C100+C101-G100)*1000000/J95</f>
        <v>216.64976670533795</v>
      </c>
      <c r="N100" s="2240">
        <v>202.589</v>
      </c>
      <c r="O100" s="2251">
        <f t="shared" si="3"/>
        <v>6.9405380871310651E-2</v>
      </c>
      <c r="P100" s="1989"/>
      <c r="Q100" s="2257" t="s">
        <v>834</v>
      </c>
      <c r="R100" s="1989"/>
      <c r="S100" s="1989"/>
      <c r="T100" s="1989"/>
      <c r="U100" s="1989"/>
      <c r="V100" s="1989"/>
      <c r="W100" s="1989"/>
      <c r="X100" s="1989"/>
      <c r="Y100" s="1989"/>
      <c r="Z100" s="1989"/>
    </row>
    <row r="101" spans="1:26" ht="12.75" customHeight="1">
      <c r="A101" s="949" t="s">
        <v>423</v>
      </c>
      <c r="B101" s="964" t="s">
        <v>492</v>
      </c>
      <c r="C101" s="223">
        <v>168.67</v>
      </c>
      <c r="D101" s="1878" t="str">
        <f>IF(OR(C101 &gt; SUM(Drift!N61+Drift!O61+100), C101 &lt; SUM(Drift!N61+Drift!O61-100)),"Fördelad gemensam verksamhet skiljer sig mot Driftfliken.","")</f>
        <v/>
      </c>
      <c r="E101" s="942"/>
      <c r="F101" s="942"/>
      <c r="G101" s="944"/>
      <c r="H101" s="134"/>
      <c r="I101" s="2484"/>
      <c r="J101" s="1734"/>
      <c r="K101" s="1734"/>
      <c r="L101" s="1734"/>
      <c r="M101" s="2235">
        <f>(((M95*J95/1000000)+D95-F95+((M86*J86/1000000)+D86-F86)))/(J86)*1000000</f>
        <v>1224.4258195227983</v>
      </c>
      <c r="N101" s="2240">
        <v>1205.2380000000001</v>
      </c>
      <c r="O101" s="2251">
        <f t="shared" si="3"/>
        <v>1.5920357242966254E-2</v>
      </c>
      <c r="P101" s="1989"/>
      <c r="Q101" s="2257" t="s">
        <v>835</v>
      </c>
      <c r="R101" s="1989"/>
      <c r="S101" s="1989"/>
      <c r="T101" s="1989"/>
      <c r="U101" s="1989"/>
      <c r="V101" s="1989"/>
      <c r="W101" s="1989"/>
      <c r="X101" s="1989"/>
      <c r="Y101" s="1989"/>
      <c r="Z101" s="1989"/>
    </row>
    <row r="102" spans="1:26" ht="15" customHeight="1">
      <c r="A102" s="968"/>
      <c r="B102" s="1596" t="s">
        <v>126</v>
      </c>
      <c r="C102" s="1597">
        <f>(C95-SUM(C96:C101)-D95)*-1</f>
        <v>2.9999999978826963E-3</v>
      </c>
      <c r="D102" s="930"/>
      <c r="E102" s="1598">
        <f>(E95-SUM(E96:E100)-F95-(Motpart!D23+Motpart!E23+Motpart!F23)*0.06)*-1</f>
        <v>-4.1999999982067493E-4</v>
      </c>
      <c r="F102" s="930"/>
      <c r="G102" s="1599">
        <f>(G95-SUM(G96:G100))*-1</f>
        <v>0</v>
      </c>
      <c r="H102" s="1169"/>
      <c r="I102" s="2484"/>
      <c r="J102" s="1725"/>
      <c r="K102" s="1725"/>
      <c r="L102" s="1725"/>
      <c r="M102" s="2235"/>
      <c r="N102" s="2243"/>
      <c r="O102" s="2252"/>
      <c r="P102" s="1989"/>
      <c r="Q102" s="2257" t="s">
        <v>498</v>
      </c>
      <c r="R102" s="1989"/>
      <c r="S102" s="1989"/>
      <c r="T102" s="1989"/>
      <c r="U102" s="1989"/>
      <c r="V102" s="1989"/>
      <c r="W102" s="1989"/>
      <c r="X102" s="1989"/>
      <c r="Y102" s="1989"/>
      <c r="Z102" s="1989"/>
    </row>
    <row r="103" spans="1:26" ht="12.75" customHeight="1" thickBot="1">
      <c r="A103" s="1600"/>
      <c r="B103" s="1601"/>
      <c r="C103" s="1603" t="str">
        <f>IF(ABS(C102)&lt;100,"",IF(C95=0,"C95",IF(ABS(C102/C95)&gt;0.01,"C102")))</f>
        <v/>
      </c>
      <c r="D103" s="1604"/>
      <c r="E103" s="1605" t="str">
        <f>IF(ABS(E102)&lt;100,"",IF(E95=0,"E95",IF(ABS(E102/E95)&gt;0.01,"E102")))</f>
        <v/>
      </c>
      <c r="F103" s="1604"/>
      <c r="G103" s="1606" t="str">
        <f>IF(ABS(G102)&lt;100,"",IF(G95=0,"G95",IF(ABS(G102/G95)&gt;0.01,"G102")))</f>
        <v/>
      </c>
      <c r="H103" s="1602"/>
      <c r="I103" s="1726"/>
      <c r="J103" s="1726"/>
      <c r="K103" s="1726"/>
      <c r="L103" s="1726"/>
      <c r="M103" s="2237"/>
      <c r="N103" s="2244"/>
      <c r="O103" s="2256"/>
      <c r="P103" s="1989"/>
      <c r="Q103" s="2258"/>
      <c r="R103" s="1989"/>
      <c r="S103" s="1989"/>
      <c r="T103" s="1989"/>
      <c r="U103" s="1989"/>
      <c r="V103" s="1989"/>
      <c r="W103" s="1989"/>
      <c r="X103" s="1989"/>
      <c r="Y103" s="1989"/>
      <c r="Z103" s="1989"/>
    </row>
    <row r="104" spans="1:26" ht="13.5" thickTop="1">
      <c r="A104" s="2262" t="s">
        <v>1193</v>
      </c>
      <c r="B104" s="2265" t="s">
        <v>1189</v>
      </c>
      <c r="C104" s="69">
        <v>3881.261</v>
      </c>
      <c r="D104" s="946">
        <f>SUM(Motpart!D24:L24)</f>
        <v>811.23800000000006</v>
      </c>
      <c r="E104" s="145">
        <v>913.49199999999996</v>
      </c>
      <c r="F104" s="70">
        <f>Motpart!Y24</f>
        <v>79.085999999999999</v>
      </c>
      <c r="G104" s="117">
        <v>196.119</v>
      </c>
      <c r="H104" s="137"/>
      <c r="I104" s="985" t="s">
        <v>1212</v>
      </c>
      <c r="J104" s="1326">
        <v>8739284</v>
      </c>
      <c r="K104" s="986"/>
      <c r="L104" s="986"/>
      <c r="M104" s="2224">
        <f>SUM(M105:M109)</f>
        <v>325.951187763208</v>
      </c>
      <c r="N104" s="2136">
        <f>328</f>
        <v>328</v>
      </c>
      <c r="O104" s="2253">
        <f t="shared" ref="O104:O110" si="4">IF(OR(M104="",N104=""),"",IF(AND(M104=0,N104=0),0,IF(N104=0,1,M104/N104-1)))</f>
        <v>-6.2463787707073282E-3</v>
      </c>
      <c r="P104" s="1989"/>
      <c r="Q104" s="2257" t="s">
        <v>1213</v>
      </c>
      <c r="R104" s="1989"/>
      <c r="S104" s="1989"/>
      <c r="T104" s="1989"/>
      <c r="U104" s="1989"/>
      <c r="V104" s="1989"/>
      <c r="W104" s="1989"/>
      <c r="X104" s="1989"/>
      <c r="Y104" s="1989"/>
      <c r="Z104" s="1989"/>
    </row>
    <row r="105" spans="1:26">
      <c r="A105" s="2263" t="s">
        <v>1194</v>
      </c>
      <c r="B105" s="2266" t="s">
        <v>493</v>
      </c>
      <c r="C105" s="223">
        <v>1757.1579999999999</v>
      </c>
      <c r="D105" s="942"/>
      <c r="E105" s="206">
        <v>50.69</v>
      </c>
      <c r="F105" s="934"/>
      <c r="G105" s="222">
        <v>29.216000000000001</v>
      </c>
      <c r="H105" s="136"/>
      <c r="I105" s="1951"/>
      <c r="J105" s="1329"/>
      <c r="K105" s="983"/>
      <c r="L105" s="983"/>
      <c r="M105" s="2220">
        <f>(C105-E105)*1000000/J104</f>
        <v>195.26405137995283</v>
      </c>
      <c r="N105" s="2243">
        <f>199</f>
        <v>199</v>
      </c>
      <c r="O105" s="2251">
        <f t="shared" si="4"/>
        <v>-1.8773611156015946E-2</v>
      </c>
      <c r="P105" s="1989"/>
      <c r="Q105" s="2257" t="s">
        <v>1214</v>
      </c>
      <c r="R105" s="1989"/>
      <c r="S105" s="1989"/>
      <c r="T105" s="1989"/>
      <c r="U105" s="1989"/>
      <c r="V105" s="1989"/>
      <c r="W105" s="1989"/>
      <c r="X105" s="1989"/>
    </row>
    <row r="106" spans="1:26">
      <c r="A106" s="2263" t="s">
        <v>1195</v>
      </c>
      <c r="B106" s="2266" t="s">
        <v>800</v>
      </c>
      <c r="C106" s="223">
        <v>55.5</v>
      </c>
      <c r="D106" s="942"/>
      <c r="E106" s="206">
        <v>1.0960000000000001</v>
      </c>
      <c r="F106" s="934"/>
      <c r="G106" s="222">
        <v>1.2E-2</v>
      </c>
      <c r="H106" s="134"/>
      <c r="I106" s="987"/>
      <c r="J106" s="1329"/>
      <c r="K106" s="983"/>
      <c r="L106" s="983"/>
      <c r="M106" s="2220">
        <f>(C106-E106)*1000000/J104</f>
        <v>6.2252239428310148</v>
      </c>
      <c r="N106" s="2240">
        <f>6</f>
        <v>6</v>
      </c>
      <c r="O106" s="2251">
        <f t="shared" si="4"/>
        <v>3.7537323805169054E-2</v>
      </c>
      <c r="P106" s="1989"/>
      <c r="Q106" s="2257" t="s">
        <v>1215</v>
      </c>
      <c r="R106" s="1989"/>
      <c r="S106" s="1989"/>
      <c r="T106" s="1989"/>
      <c r="U106" s="1989"/>
      <c r="V106" s="1989"/>
      <c r="W106" s="1989"/>
      <c r="X106" s="1989"/>
    </row>
    <row r="107" spans="1:26">
      <c r="A107" s="2263" t="s">
        <v>1196</v>
      </c>
      <c r="B107" s="2267" t="s">
        <v>724</v>
      </c>
      <c r="C107" s="223">
        <v>7.0069999999999997</v>
      </c>
      <c r="D107" s="942"/>
      <c r="E107" s="206">
        <v>-0.26</v>
      </c>
      <c r="F107" s="934"/>
      <c r="G107" s="222">
        <v>0</v>
      </c>
      <c r="H107" s="132"/>
      <c r="I107" s="988"/>
      <c r="J107" s="1330"/>
      <c r="K107" s="989"/>
      <c r="L107" s="989"/>
      <c r="M107" s="2220">
        <f>(C107-E107)*1000000/J104</f>
        <v>0.83153265187399783</v>
      </c>
      <c r="N107" s="2136">
        <f>1</f>
        <v>1</v>
      </c>
      <c r="O107" s="2251">
        <f t="shared" si="4"/>
        <v>-0.16846734812600217</v>
      </c>
      <c r="P107" s="1989"/>
      <c r="Q107" s="2257" t="s">
        <v>1216</v>
      </c>
      <c r="R107" s="1989"/>
      <c r="S107" s="1989"/>
      <c r="T107" s="1989"/>
      <c r="U107" s="1989"/>
      <c r="V107" s="1989"/>
      <c r="W107" s="1989"/>
      <c r="X107" s="1989"/>
    </row>
    <row r="108" spans="1:26" ht="12.75" customHeight="1">
      <c r="A108" s="2263" t="s">
        <v>1197</v>
      </c>
      <c r="B108" s="2268" t="s">
        <v>524</v>
      </c>
      <c r="C108" s="223">
        <v>428.69799999999998</v>
      </c>
      <c r="D108" s="1907" t="str">
        <f>IF(C104=0,"",IF(C108&lt;Drift!I62+Drift!J62+Drift!L62,"Kommentera",""))</f>
        <v/>
      </c>
      <c r="E108" s="206">
        <v>5.4050000000000002</v>
      </c>
      <c r="F108" s="934"/>
      <c r="G108" s="222">
        <v>2.379</v>
      </c>
      <c r="H108" s="136"/>
      <c r="I108" s="2483" t="str">
        <f>IF(SUM(E109-G109+100)&lt;Motpart!AA24,"I Motparten är statsbidragen "&amp;""&amp;(Motpart!AA24)&amp;" tkr. Alla bidrag från staten o statliga myndigheter, inklusive de från Migrationsverket, ska ingå under Övrigt som extern intäkt. De externa intäkterna på Övrigt-raden är dock bara "&amp;""&amp;(ROUND(E109-G109,0))&amp;" tkr. ","")</f>
        <v/>
      </c>
      <c r="J108" s="1734"/>
      <c r="K108" s="1734"/>
      <c r="L108" s="1734"/>
      <c r="M108" s="2220">
        <f>(C108-E108)*1000000/J104</f>
        <v>48.43566131962298</v>
      </c>
      <c r="N108" s="2243">
        <f>46</f>
        <v>46</v>
      </c>
      <c r="O108" s="2251">
        <f t="shared" si="4"/>
        <v>5.2949159122238632E-2</v>
      </c>
      <c r="P108" s="1989"/>
      <c r="Q108" s="2257" t="s">
        <v>1217</v>
      </c>
      <c r="R108" s="1989"/>
      <c r="S108" s="1989"/>
      <c r="T108" s="1989"/>
      <c r="U108" s="1989"/>
      <c r="V108" s="1989"/>
      <c r="W108" s="1989"/>
      <c r="X108" s="1989"/>
    </row>
    <row r="109" spans="1:26" ht="12.75" customHeight="1">
      <c r="A109" s="2263" t="s">
        <v>1198</v>
      </c>
      <c r="B109" s="2266" t="s">
        <v>444</v>
      </c>
      <c r="C109" s="223">
        <v>702.88</v>
      </c>
      <c r="D109" s="942"/>
      <c r="E109" s="206">
        <v>743.95</v>
      </c>
      <c r="F109" s="934"/>
      <c r="G109" s="222">
        <v>164.511</v>
      </c>
      <c r="H109" s="134"/>
      <c r="I109" s="2484"/>
      <c r="J109" s="1734"/>
      <c r="K109" s="1734"/>
      <c r="L109" s="1734"/>
      <c r="M109" s="2220">
        <f>(C109+C110-G109)*1000000/J104</f>
        <v>75.194718468927206</v>
      </c>
      <c r="N109" s="2240">
        <f>76</f>
        <v>76</v>
      </c>
      <c r="O109" s="2251">
        <f t="shared" si="4"/>
        <v>-1.0595809619378893E-2</v>
      </c>
      <c r="P109" s="1989"/>
      <c r="Q109" s="2257" t="s">
        <v>1218</v>
      </c>
      <c r="R109" s="1989"/>
      <c r="S109" s="1989"/>
      <c r="T109" s="1989"/>
      <c r="U109" s="1989"/>
      <c r="V109" s="1989"/>
      <c r="W109" s="1989"/>
      <c r="X109" s="1989"/>
    </row>
    <row r="110" spans="1:26">
      <c r="A110" s="2263" t="s">
        <v>1199</v>
      </c>
      <c r="B110" s="2266" t="s">
        <v>492</v>
      </c>
      <c r="C110" s="223">
        <v>118.779</v>
      </c>
      <c r="D110" s="1878" t="str">
        <f>IF(OR(C110 &gt; SUM(Drift!N62+Drift!O62+100), C110 &lt; SUM(Drift!N62+Drift!O62-100)),"Fördelad gemensam verksamhet skiljer sig mot Driftfliken.","")</f>
        <v/>
      </c>
      <c r="E110" s="942"/>
      <c r="F110" s="942"/>
      <c r="G110" s="944"/>
      <c r="H110" s="134"/>
      <c r="I110" s="2484"/>
      <c r="J110" s="1734"/>
      <c r="K110" s="1734"/>
      <c r="L110" s="1734"/>
      <c r="M110" s="2221">
        <f>((M104*J104/1000000+D104-F104-(Motpart!D24+Motpart!E24+Motpart!F24)*0.06))/(J104)*1000000</f>
        <v>405.89220352605543</v>
      </c>
      <c r="N110" s="2240">
        <f>412</f>
        <v>412</v>
      </c>
      <c r="O110" s="2251">
        <f t="shared" si="4"/>
        <v>-1.4824748723166414E-2</v>
      </c>
      <c r="P110" s="1989"/>
      <c r="Q110" s="2257" t="s">
        <v>1219</v>
      </c>
      <c r="R110" s="1989"/>
      <c r="S110" s="1989"/>
      <c r="T110" s="1989"/>
      <c r="U110" s="1989"/>
      <c r="V110" s="1989"/>
      <c r="W110" s="1989"/>
      <c r="X110" s="1989"/>
    </row>
    <row r="111" spans="1:26">
      <c r="A111" s="2264"/>
      <c r="B111" s="2269" t="s">
        <v>126</v>
      </c>
      <c r="C111" s="1597">
        <f>(C104-SUM(C105:C110)-D104)*-1</f>
        <v>-9.9999999997635314E-4</v>
      </c>
      <c r="D111" s="930"/>
      <c r="E111" s="1598">
        <f>(E104-SUM(E105:E109)-F104-(Motpart!D24+Motpart!E24+Motpart!F24)*0.06)*-1</f>
        <v>-2.3999999987722731E-4</v>
      </c>
      <c r="F111" s="930"/>
      <c r="G111" s="1599">
        <f>(G104-SUM(G105:G109))*-1</f>
        <v>-1.0000000000047748E-3</v>
      </c>
      <c r="H111" s="1169"/>
      <c r="I111" s="2484"/>
      <c r="J111" s="1725"/>
      <c r="K111" s="1725"/>
      <c r="L111" s="1725"/>
      <c r="M111" s="2221"/>
      <c r="N111" s="2243"/>
      <c r="O111" s="2252"/>
      <c r="P111" s="1989"/>
      <c r="Q111" s="2257" t="s">
        <v>1190</v>
      </c>
      <c r="R111" s="1989"/>
      <c r="S111" s="1989"/>
      <c r="T111" s="1989"/>
      <c r="U111" s="1989"/>
      <c r="V111" s="1989"/>
      <c r="W111" s="1989"/>
      <c r="X111" s="1989"/>
    </row>
    <row r="112" spans="1:26" ht="13.5" thickBot="1">
      <c r="A112" s="1600"/>
      <c r="B112" s="1601"/>
      <c r="C112" s="1603" t="str">
        <f>IF(ABS(C111)&lt;100,"",IF(C104=0,"C104",IF(ABS(C111/C104)&gt;0.01,"C111")))</f>
        <v/>
      </c>
      <c r="D112" s="1604"/>
      <c r="E112" s="1605" t="str">
        <f>IF(ABS(E111)&lt;100,"",IF(E104=0,"E104",IF(ABS(E111/E104)&gt;0.01,"E111")))</f>
        <v/>
      </c>
      <c r="F112" s="1604"/>
      <c r="G112" s="1606" t="str">
        <f>IF(ABS(G111)&lt;100,"",IF(G104=0,"G104",IF(ABS(G111/G104)&gt;0.01,"G111")))</f>
        <v/>
      </c>
      <c r="H112" s="1602"/>
      <c r="I112" s="1726"/>
      <c r="J112" s="1726"/>
      <c r="K112" s="1726"/>
      <c r="L112" s="1726"/>
      <c r="M112" s="2222"/>
      <c r="N112" s="2244"/>
      <c r="O112" s="2256"/>
      <c r="P112" s="1989"/>
      <c r="Q112" s="2258"/>
      <c r="X112" s="1989"/>
    </row>
    <row r="113" ht="13.5" thickTop="1"/>
  </sheetData>
  <customSheetViews>
    <customSheetView guid="{97D6DB71-3F4C-4C5F-8C5B-51E3EBF78932}" showPageBreaks="1" showGridLines="0" hiddenRows="1">
      <pane ySplit="7" topLeftCell="A8" activePane="bottomLeft" state="frozen"/>
      <selection pane="bottomLeft" activeCell="E93" sqref="E93"/>
      <pageMargins left="0.70866141732283472" right="0.70866141732283472" top="0.74803149606299213" bottom="0.74803149606299213" header="0.31496062992125984" footer="0.31496062992125984"/>
      <pageSetup paperSize="9" scale="96" orientation="landscape" r:id="rId1"/>
    </customSheetView>
    <customSheetView guid="{99FBDEB7-DD08-4F57-81F4-3C180403E153}" showGridLines="0" hiddenRows="1">
      <pane ySplit="7" topLeftCell="A9" activePane="bottomLeft" state="frozen"/>
      <selection pane="bottomLeft" activeCell="H2" sqref="H2"/>
      <pageMargins left="0.70866141732283472" right="0.70866141732283472" top="0.74803149606299213" bottom="0.74803149606299213" header="0.31496062992125984" footer="0.31496062992125984"/>
      <pageSetup paperSize="9" scale="96" orientation="landscape" r:id="rId2"/>
    </customSheetView>
    <customSheetView guid="{27C9E95B-0E2B-454F-B637-1CECC9579A10}" showGridLines="0" hiddenRows="1" hiddenColumns="1" showRuler="0">
      <pane ySplit="7" topLeftCell="A8" activePane="bottomLeft" state="frozen"/>
      <selection pane="bottomLeft" activeCell="G72" sqref="G72"/>
      <pageMargins left="0.70866141732283472" right="0.70866141732283472" top="0.74803149606299213" bottom="0.74803149606299213" header="0.31496062992125984" footer="0.31496062992125984"/>
      <pageSetup paperSize="9" scale="96" orientation="landscape" r:id="rId3"/>
      <headerFooter alignWithMargins="0"/>
    </customSheetView>
  </customSheetViews>
  <mergeCells count="14">
    <mergeCell ref="IV6:IV7"/>
    <mergeCell ref="Q4:Q7"/>
    <mergeCell ref="D5:D7"/>
    <mergeCell ref="F5:F7"/>
    <mergeCell ref="G5:G7"/>
    <mergeCell ref="I4:L5"/>
    <mergeCell ref="M4:N6"/>
    <mergeCell ref="I38:I42"/>
    <mergeCell ref="I108:I111"/>
    <mergeCell ref="I51:I55"/>
    <mergeCell ref="I65:I69"/>
    <mergeCell ref="I79:I83"/>
    <mergeCell ref="I90:I94"/>
    <mergeCell ref="I99:I102"/>
  </mergeCells>
  <phoneticPr fontId="90" type="noConversion"/>
  <conditionalFormatting sqref="C11">
    <cfRule type="expression" dxfId="76" priority="25" stopIfTrue="1">
      <formula>C11&gt;C8</formula>
    </cfRule>
  </conditionalFormatting>
  <conditionalFormatting sqref="C19 E19 G19 C11 E11 G11 E13 E21 C27 E27 G27 E32:E38 G32:G38 C32:C39 E45:E51 G45:G51 C45:C52 E59:E65 G59:G65 C59:C66 E73:E79 G73:G79 C73:C80 E87:E91 G87:G91 C87:C92 E96:E100 G96:G100 C96:C101">
    <cfRule type="cellIs" dxfId="75" priority="30" stopIfTrue="1" operator="lessThan">
      <formula>-500</formula>
    </cfRule>
  </conditionalFormatting>
  <conditionalFormatting sqref="C19">
    <cfRule type="expression" dxfId="74" priority="28" stopIfTrue="1">
      <formula>C19&gt;C16</formula>
    </cfRule>
  </conditionalFormatting>
  <conditionalFormatting sqref="C27">
    <cfRule type="expression" dxfId="73" priority="20" stopIfTrue="1">
      <formula>C27&gt;C24</formula>
    </cfRule>
  </conditionalFormatting>
  <conditionalFormatting sqref="C40">
    <cfRule type="expression" dxfId="72" priority="49" stopIfTrue="1">
      <formula>ABS(C40/C31)&gt;0.03</formula>
    </cfRule>
  </conditionalFormatting>
  <conditionalFormatting sqref="C53">
    <cfRule type="expression" dxfId="71" priority="44" stopIfTrue="1">
      <formula>ABS(C53/C44)&gt;0.03</formula>
    </cfRule>
  </conditionalFormatting>
  <conditionalFormatting sqref="C67">
    <cfRule type="expression" dxfId="70" priority="43" stopIfTrue="1">
      <formula>ABS(C67/C57)&gt;0.03</formula>
    </cfRule>
  </conditionalFormatting>
  <conditionalFormatting sqref="C81">
    <cfRule type="expression" dxfId="69" priority="40" stopIfTrue="1">
      <formula>ABS(C81/C71)&gt;0.03</formula>
    </cfRule>
  </conditionalFormatting>
  <conditionalFormatting sqref="C93">
    <cfRule type="expression" dxfId="68" priority="37" stopIfTrue="1">
      <formula>ABS(C93/C85)&gt;0.03</formula>
    </cfRule>
  </conditionalFormatting>
  <conditionalFormatting sqref="C102:C103">
    <cfRule type="expression" dxfId="67" priority="34" stopIfTrue="1">
      <formula>ABS(C102/C94)&gt;0.03</formula>
    </cfRule>
  </conditionalFormatting>
  <conditionalFormatting sqref="C111:C112">
    <cfRule type="expression" dxfId="66" priority="6" stopIfTrue="1">
      <formula>ABS(C111/C103)&gt;0.03</formula>
    </cfRule>
  </conditionalFormatting>
  <conditionalFormatting sqref="E11">
    <cfRule type="expression" dxfId="65" priority="24" stopIfTrue="1">
      <formula>E11&gt;E8</formula>
    </cfRule>
  </conditionalFormatting>
  <conditionalFormatting sqref="E13">
    <cfRule type="expression" dxfId="64" priority="22" stopIfTrue="1">
      <formula>E13&gt;E12</formula>
    </cfRule>
  </conditionalFormatting>
  <conditionalFormatting sqref="E19">
    <cfRule type="expression" dxfId="63" priority="27" stopIfTrue="1">
      <formula>E19&gt;E16</formula>
    </cfRule>
  </conditionalFormatting>
  <conditionalFormatting sqref="E21">
    <cfRule type="expression" dxfId="62" priority="21" stopIfTrue="1">
      <formula>E21&gt;E20</formula>
    </cfRule>
  </conditionalFormatting>
  <conditionalFormatting sqref="E27">
    <cfRule type="expression" dxfId="61" priority="19" stopIfTrue="1">
      <formula>E27&gt;E24</formula>
    </cfRule>
  </conditionalFormatting>
  <conditionalFormatting sqref="E40">
    <cfRule type="expression" dxfId="60" priority="48" stopIfTrue="1">
      <formula>ABS(E40/E31)&gt;0.03</formula>
    </cfRule>
  </conditionalFormatting>
  <conditionalFormatting sqref="E53">
    <cfRule type="expression" dxfId="59" priority="46" stopIfTrue="1">
      <formula>ABS(E53/E43)&gt;0.03</formula>
    </cfRule>
  </conditionalFormatting>
  <conditionalFormatting sqref="E67">
    <cfRule type="expression" dxfId="58" priority="42" stopIfTrue="1">
      <formula>ABS(E67/E57)&gt;0.03</formula>
    </cfRule>
  </conditionalFormatting>
  <conditionalFormatting sqref="E81">
    <cfRule type="expression" dxfId="57" priority="39" stopIfTrue="1">
      <formula>ABS(E81/E71)&gt;0.03</formula>
    </cfRule>
  </conditionalFormatting>
  <conditionalFormatting sqref="E93">
    <cfRule type="expression" dxfId="56" priority="36" stopIfTrue="1">
      <formula>ABS(E93/E85)&gt;0.03</formula>
    </cfRule>
  </conditionalFormatting>
  <conditionalFormatting sqref="E102:E103">
    <cfRule type="expression" dxfId="55" priority="33" stopIfTrue="1">
      <formula>ABS(E102/E94)&gt;0.03</formula>
    </cfRule>
  </conditionalFormatting>
  <conditionalFormatting sqref="E111:E112">
    <cfRule type="expression" dxfId="54" priority="5" stopIfTrue="1">
      <formula>ABS(E111/E103)&gt;0.03</formula>
    </cfRule>
  </conditionalFormatting>
  <conditionalFormatting sqref="G11 G32:G38 G59:G65">
    <cfRule type="expression" dxfId="53" priority="88" stopIfTrue="1">
      <formula>G11&gt;E11</formula>
    </cfRule>
  </conditionalFormatting>
  <conditionalFormatting sqref="G11">
    <cfRule type="expression" dxfId="52" priority="23" stopIfTrue="1">
      <formula>G11&gt;G8</formula>
    </cfRule>
  </conditionalFormatting>
  <conditionalFormatting sqref="G19">
    <cfRule type="expression" dxfId="51" priority="26" stopIfTrue="1">
      <formula>G19&gt;G16</formula>
    </cfRule>
    <cfRule type="expression" dxfId="50" priority="51" stopIfTrue="1">
      <formula>G19&gt;E19</formula>
    </cfRule>
  </conditionalFormatting>
  <conditionalFormatting sqref="G27">
    <cfRule type="expression" dxfId="49" priority="52" stopIfTrue="1">
      <formula>G27&gt;E27</formula>
    </cfRule>
    <cfRule type="expression" dxfId="48" priority="18" stopIfTrue="1">
      <formula>G27&gt;G24</formula>
    </cfRule>
  </conditionalFormatting>
  <conditionalFormatting sqref="G32:G38 G59:G65 G45:G51 G73:G79 G87:G91 G96:G100">
    <cfRule type="expression" dxfId="47" priority="89" stopIfTrue="1">
      <formula>G32&gt;E32</formula>
    </cfRule>
  </conditionalFormatting>
  <conditionalFormatting sqref="G40">
    <cfRule type="expression" dxfId="46" priority="47" stopIfTrue="1">
      <formula>ABS(G40/G31)&gt;0.03</formula>
    </cfRule>
  </conditionalFormatting>
  <conditionalFormatting sqref="G45:G51">
    <cfRule type="expression" dxfId="45" priority="77" stopIfTrue="1">
      <formula>G45&gt;E45</formula>
    </cfRule>
  </conditionalFormatting>
  <conditionalFormatting sqref="G53">
    <cfRule type="expression" dxfId="44" priority="45" stopIfTrue="1">
      <formula>ABS(G53/G43)&gt;0.03</formula>
    </cfRule>
  </conditionalFormatting>
  <conditionalFormatting sqref="G67">
    <cfRule type="expression" dxfId="43" priority="41" stopIfTrue="1">
      <formula>ABS(G67/G57)&gt;0.03</formula>
    </cfRule>
  </conditionalFormatting>
  <conditionalFormatting sqref="G81">
    <cfRule type="expression" dxfId="42" priority="38" stopIfTrue="1">
      <formula>ABS(G81/G71)&gt;0.03</formula>
    </cfRule>
  </conditionalFormatting>
  <conditionalFormatting sqref="G93">
    <cfRule type="expression" dxfId="41" priority="35" stopIfTrue="1">
      <formula>ABS(G93/G85)&gt;0.03</formula>
    </cfRule>
  </conditionalFormatting>
  <conditionalFormatting sqref="G102:G103">
    <cfRule type="expression" dxfId="40" priority="32" stopIfTrue="1">
      <formula>ABS(G102/G94)&gt;0.03</formula>
    </cfRule>
  </conditionalFormatting>
  <conditionalFormatting sqref="G105:G106 E105:E109 C105:C110 G108:G109">
    <cfRule type="cellIs" dxfId="39" priority="3" stopIfTrue="1" operator="lessThan">
      <formula>-500</formula>
    </cfRule>
  </conditionalFormatting>
  <conditionalFormatting sqref="G105:G106 G108:G109">
    <cfRule type="expression" dxfId="38" priority="7" stopIfTrue="1">
      <formula>G105&gt;E105</formula>
    </cfRule>
  </conditionalFormatting>
  <conditionalFormatting sqref="G111:G112">
    <cfRule type="expression" dxfId="37" priority="4" stopIfTrue="1">
      <formula>ABS(G111/G103)&gt;0.03</formula>
    </cfRule>
  </conditionalFormatting>
  <dataValidations count="2">
    <dataValidation type="decimal" operator="lessThan" allowBlank="1" showInputMessage="1" showErrorMessage="1" error="Beloppen ska vara i 1000 tal kronor" sqref="C65489:C65490 G65517:K65517 L65533 C65480:C65482 C65464:C65465 E65464:F65465 E65472:F65473 C65472:C65473 E65480:F65482 E65489:F65490" xr:uid="{00000000-0002-0000-0800-000000000000}">
      <formula1>99999999</formula1>
    </dataValidation>
    <dataValidation type="decimal" operator="lessThan" allowBlank="1" showInputMessage="1" showErrorMessage="1" error="Beloppet ska vara i 1000 tal kronor" sqref="C11 G96:G100 E96:E100 E11 G87:G91 E87:E91 C87:C92 G73:G79 E73:E79 C73:C80 G59:G65 E59:E65 C59:C66 G45:G51 E45:E51 C45:C52 G32:G38 E32:E38 C32:C39 G27 E27 C27 C19 E21 E19 G19 G11 E13 C96:C101 G105:G109 E105:E109 C105:C110" xr:uid="{00000000-0002-0000-0800-000001000000}">
      <formula1>99999999</formula1>
    </dataValidation>
  </dataValidations>
  <pageMargins left="0.47" right="0.47" top="0.74803149606299213" bottom="0.74803149606299213" header="0.31" footer="0.31496062992125984"/>
  <pageSetup paperSize="9" scale="96" orientation="landscape" r:id="rId4"/>
  <extLst>
    <ext xmlns:x14="http://schemas.microsoft.com/office/spreadsheetml/2009/9/main" uri="{78C0D931-6437-407d-A8EE-F0AAD7539E65}">
      <x14:conditionalFormattings>
        <x14:conditionalFormatting xmlns:xm="http://schemas.microsoft.com/office/excel/2006/main">
          <x14:cfRule type="expression" priority="8" id="{917F4404-C110-4D85-A7BD-AEA4F7FA6FA8}">
            <xm:f>SUM(E38-G38+100)&lt;Motpart!AA18</xm:f>
            <x14:dxf>
              <fill>
                <patternFill>
                  <bgColor theme="9" tint="0.59996337778862885"/>
                </patternFill>
              </fill>
            </x14:dxf>
          </x14:cfRule>
          <xm:sqref>I38:I42</xm:sqref>
        </x14:conditionalFormatting>
        <x14:conditionalFormatting xmlns:xm="http://schemas.microsoft.com/office/excel/2006/main">
          <x14:cfRule type="expression" priority="14" id="{28489C6D-3605-44EB-AF30-2D3BD554AD4E}">
            <xm:f>SUM(E51-G51+100)&lt;Motpart!AA19</xm:f>
            <x14:dxf>
              <font>
                <b val="0"/>
                <i val="0"/>
                <color auto="1"/>
              </font>
              <fill>
                <patternFill>
                  <bgColor theme="9" tint="0.59996337778862885"/>
                </patternFill>
              </fill>
            </x14:dxf>
          </x14:cfRule>
          <xm:sqref>I51:I55</xm:sqref>
        </x14:conditionalFormatting>
        <x14:conditionalFormatting xmlns:xm="http://schemas.microsoft.com/office/excel/2006/main">
          <x14:cfRule type="expression" priority="13" id="{468A7900-2D84-423B-9B3F-94D8EAA45899}">
            <xm:f>SUM(E65-G65+100)&lt;Motpart!AA20</xm:f>
            <x14:dxf>
              <font>
                <b val="0"/>
                <i val="0"/>
                <color auto="1"/>
              </font>
              <fill>
                <patternFill>
                  <bgColor theme="9" tint="0.59996337778862885"/>
                </patternFill>
              </fill>
            </x14:dxf>
          </x14:cfRule>
          <xm:sqref>I65:I68</xm:sqref>
        </x14:conditionalFormatting>
        <x14:conditionalFormatting xmlns:xm="http://schemas.microsoft.com/office/excel/2006/main">
          <x14:cfRule type="expression" priority="12" id="{4F84AA19-49AA-46E8-9ADE-79F22FCE6F07}">
            <xm:f>SUM(E79-G79+100)&lt;Motpart!AA21</xm:f>
            <x14:dxf>
              <font>
                <b val="0"/>
                <i val="0"/>
                <color auto="1"/>
              </font>
              <fill>
                <patternFill>
                  <bgColor theme="9" tint="0.59996337778862885"/>
                </patternFill>
              </fill>
            </x14:dxf>
          </x14:cfRule>
          <xm:sqref>I79:I81</xm:sqref>
        </x14:conditionalFormatting>
        <x14:conditionalFormatting xmlns:xm="http://schemas.microsoft.com/office/excel/2006/main">
          <x14:cfRule type="expression" priority="11" id="{FE6AF082-1113-4046-BE7C-F09FCD0440EC}">
            <xm:f>SUM(E91-G91+100)&lt;Motpart!AA22</xm:f>
            <x14:dxf>
              <font>
                <b val="0"/>
                <i val="0"/>
                <color auto="1"/>
              </font>
              <fill>
                <patternFill>
                  <bgColor theme="9" tint="0.59996337778862885"/>
                </patternFill>
              </fill>
            </x14:dxf>
          </x14:cfRule>
          <xm:sqref>I90:I91</xm:sqref>
        </x14:conditionalFormatting>
        <x14:conditionalFormatting xmlns:xm="http://schemas.microsoft.com/office/excel/2006/main">
          <x14:cfRule type="expression" priority="9" id="{AA617564-E5DF-4D7E-8EA7-BE3A8CD251A2}">
            <xm:f>SUM(E100-G100+100)&lt;Motpart!AA23</xm:f>
            <x14:dxf>
              <font>
                <color auto="1"/>
              </font>
              <fill>
                <patternFill>
                  <bgColor theme="9" tint="0.59996337778862885"/>
                </patternFill>
              </fill>
            </x14:dxf>
          </x14:cfRule>
          <xm:sqref>I99</xm:sqref>
        </x14:conditionalFormatting>
        <x14:conditionalFormatting xmlns:xm="http://schemas.microsoft.com/office/excel/2006/main">
          <x14:cfRule type="expression" priority="1" id="{2AEDF91C-1B73-4577-A410-FC85007A5F9C}">
            <xm:f>SUM(E109-G109+100)&lt;Motpart!AA24</xm:f>
            <x14:dxf>
              <font>
                <color auto="1"/>
              </font>
              <fill>
                <patternFill>
                  <bgColor theme="9" tint="0.59996337778862885"/>
                </patternFill>
              </fill>
            </x14:dxf>
          </x14:cfRule>
          <xm:sqref>I108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11</vt:i4>
      </vt:variant>
      <vt:variant>
        <vt:lpstr>Namngivna områden</vt:lpstr>
      </vt:variant>
      <vt:variant>
        <vt:i4>95</vt:i4>
      </vt:variant>
    </vt:vector>
  </HeadingPairs>
  <TitlesOfParts>
    <vt:vector size="106" baseType="lpstr">
      <vt:lpstr>Information</vt:lpstr>
      <vt:lpstr>RR</vt:lpstr>
      <vt:lpstr>BR</vt:lpstr>
      <vt:lpstr>Verks int o kostn</vt:lpstr>
      <vt:lpstr>Skatter, bidrag o fin poster</vt:lpstr>
      <vt:lpstr>Investeringar</vt:lpstr>
      <vt:lpstr>Drift</vt:lpstr>
      <vt:lpstr>Motpart</vt:lpstr>
      <vt:lpstr>Pedagogisk verksamhet</vt:lpstr>
      <vt:lpstr>Äldre o personer funktionsn</vt:lpstr>
      <vt:lpstr>IFO</vt:lpstr>
      <vt:lpstr>'Skatter, bidrag o fin poster'!_GoBack</vt:lpstr>
      <vt:lpstr>Affärsverksamhet</vt:lpstr>
      <vt:lpstr>Balanskravsutredningen</vt:lpstr>
      <vt:lpstr>Barn_o_ungdomsvård</vt:lpstr>
      <vt:lpstr>Barnomsorg</vt:lpstr>
      <vt:lpstr>Bidrag_o_transfer.</vt:lpstr>
      <vt:lpstr>Block_1</vt:lpstr>
      <vt:lpstr>Block_2</vt:lpstr>
      <vt:lpstr>Block_3</vt:lpstr>
      <vt:lpstr>Block_6</vt:lpstr>
      <vt:lpstr>BR</vt:lpstr>
      <vt:lpstr>Drift</vt:lpstr>
      <vt:lpstr>EKchef</vt:lpstr>
      <vt:lpstr>Ekcheftel</vt:lpstr>
      <vt:lpstr>Epost1RS</vt:lpstr>
      <vt:lpstr>Epost2RS</vt:lpstr>
      <vt:lpstr>Epostaldre</vt:lpstr>
      <vt:lpstr>EpostAO</vt:lpstr>
      <vt:lpstr>EpostEkchef</vt:lpstr>
      <vt:lpstr>Epostforskola</vt:lpstr>
      <vt:lpstr>Epostgrund</vt:lpstr>
      <vt:lpstr>Epostgymn</vt:lpstr>
      <vt:lpstr>Eposthandik</vt:lpstr>
      <vt:lpstr>Epostifo</vt:lpstr>
      <vt:lpstr>EpostPV</vt:lpstr>
      <vt:lpstr>epostpvchef</vt:lpstr>
      <vt:lpstr>epostvochef</vt:lpstr>
      <vt:lpstr>Epostvux</vt:lpstr>
      <vt:lpstr>Extraordinära_RR</vt:lpstr>
      <vt:lpstr>Familjerätt</vt:lpstr>
      <vt:lpstr>Fritidshem</vt:lpstr>
      <vt:lpstr>Funktionsnedsättning</vt:lpstr>
      <vt:lpstr>Förskola</vt:lpstr>
      <vt:lpstr>Förskoleklass</vt:lpstr>
      <vt:lpstr>Förändring_anläggningstillgångar</vt:lpstr>
      <vt:lpstr>Grundskola</vt:lpstr>
      <vt:lpstr>Grundsärskola</vt:lpstr>
      <vt:lpstr>Grundvux</vt:lpstr>
      <vt:lpstr>Gymnasieskola</vt:lpstr>
      <vt:lpstr>Gymnasiesärskola</vt:lpstr>
      <vt:lpstr>Gymnvux</vt:lpstr>
      <vt:lpstr>inv7_15</vt:lpstr>
      <vt:lpstr>invanare</vt:lpstr>
      <vt:lpstr>Investeringar</vt:lpstr>
      <vt:lpstr>Invånare</vt:lpstr>
      <vt:lpstr>Jämförelsestörande_RR</vt:lpstr>
      <vt:lpstr>Kontaktpers1RS</vt:lpstr>
      <vt:lpstr>Kontaktpers2RS</vt:lpstr>
      <vt:lpstr>Kontaktpersaldre</vt:lpstr>
      <vt:lpstr>KontaktpersAO</vt:lpstr>
      <vt:lpstr>Kontaktpersforskola</vt:lpstr>
      <vt:lpstr>Kontaktpersgrund</vt:lpstr>
      <vt:lpstr>Kontaktpersgymn</vt:lpstr>
      <vt:lpstr>Kontaktpershandik</vt:lpstr>
      <vt:lpstr>Kontaktpersifo</vt:lpstr>
      <vt:lpstr>KontaktpersPV</vt:lpstr>
      <vt:lpstr>Kontaktpersvux</vt:lpstr>
      <vt:lpstr>Kontakttel1RS</vt:lpstr>
      <vt:lpstr>Kontakttel2RS</vt:lpstr>
      <vt:lpstr>Kontakttelaldre</vt:lpstr>
      <vt:lpstr>KontakttelAO</vt:lpstr>
      <vt:lpstr>Kontakttelforskola</vt:lpstr>
      <vt:lpstr>Kontakttelgrund</vt:lpstr>
      <vt:lpstr>Kontakttelgymn</vt:lpstr>
      <vt:lpstr>Kontakttelhandik</vt:lpstr>
      <vt:lpstr>Kontakttelifo</vt:lpstr>
      <vt:lpstr>Kontakttelpv</vt:lpstr>
      <vt:lpstr>Kontakttelpvchef</vt:lpstr>
      <vt:lpstr>Kontakttelvux</vt:lpstr>
      <vt:lpstr>Kontakttevochef</vt:lpstr>
      <vt:lpstr>Köp_huvudvht</vt:lpstr>
      <vt:lpstr>LSS</vt:lpstr>
      <vt:lpstr>Pvchef</vt:lpstr>
      <vt:lpstr>SFI</vt:lpstr>
      <vt:lpstr>Skatter_bidrag_finpost</vt:lpstr>
      <vt:lpstr>Spec_intäkter</vt:lpstr>
      <vt:lpstr>Spec_VoO</vt:lpstr>
      <vt:lpstr>Tillägg_1_Invest</vt:lpstr>
      <vt:lpstr>Tillägg_2_Invest</vt:lpstr>
      <vt:lpstr>Utbildning</vt:lpstr>
      <vt:lpstr>Drift!Utskriftsområde</vt:lpstr>
      <vt:lpstr>Information!Utskriftsområde</vt:lpstr>
      <vt:lpstr>Investeringar!Utskriftsområde</vt:lpstr>
      <vt:lpstr>Motpart!Utskriftsområde</vt:lpstr>
      <vt:lpstr>RR!Utskriftsområde</vt:lpstr>
      <vt:lpstr>'Äldre o personer funktionsn'!Utskriftsområde</vt:lpstr>
      <vt:lpstr>Drift!Utskriftsrubriker</vt:lpstr>
      <vt:lpstr>Motpart!Utskriftsrubriker</vt:lpstr>
      <vt:lpstr>Vht_int</vt:lpstr>
      <vt:lpstr>Vht_kostn</vt:lpstr>
      <vt:lpstr>VOchef</vt:lpstr>
      <vt:lpstr>Vuxna_missb.</vt:lpstr>
      <vt:lpstr>ÄF_inkl_IFO</vt:lpstr>
      <vt:lpstr>Äldre</vt:lpstr>
      <vt:lpstr>Övr._o_ek.bistånd</vt:lpstr>
    </vt:vector>
  </TitlesOfParts>
  <Manager/>
  <Company>SCB - Statistikmyndigheten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RS Kommun 2025</dc:title>
  <dc:subject>Räkenskapssammandrag för kommuner</dc:subject>
  <dc:creator>SCB</dc:creator>
  <dc:description>RIKSTOTAL</dc:description>
  <cp:lastModifiedBy>Glanzelius Marie ESA/BFN/OE-Ö</cp:lastModifiedBy>
  <cp:lastPrinted>2026-08-26T12:20:11Z</cp:lastPrinted>
  <dcterms:created xsi:type="dcterms:W3CDTF">2026-08-26T12:20:11Z</dcterms:created>
  <dcterms:modified xsi:type="dcterms:W3CDTF">2026-08-26T13:30:38Z</dcterms:modified>
</cp:coreProperties>
</file>