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updateLinks="never" codeName="ThisWorkbook"/>
  <mc:AlternateContent xmlns:mc="http://schemas.openxmlformats.org/markup-compatibility/2006">
    <mc:Choice Requires="x15">
      <x15ac:absPath xmlns:x15ac="http://schemas.microsoft.com/office/spreadsheetml/2010/11/ac" url="P:\Prod\NR\Offentlig Ekonomi\RS\RS2024\Rikstotal\"/>
    </mc:Choice>
  </mc:AlternateContent>
  <xr:revisionPtr revIDLastSave="0" documentId="13_ncr:1_{7E5B8286-02F5-4427-A782-E6373E8249F5}" xr6:coauthVersionLast="47" xr6:coauthVersionMax="47" xr10:uidLastSave="{00000000-0000-0000-0000-000000000000}"/>
  <workbookProtection workbookAlgorithmName="SHA-512" workbookHashValue="u6VLjSj14kK7UX2llLmgO25ZMAytj0hMVURVqQX8TfMdFPCOEStPKPOKy3jQDIkLG+OSNvkNMlJNoGdFH7S5Jg==" workbookSaltValue="q2lm1ddv4mbaAHbK1XwqJQ==" workbookSpinCount="100000" lockStructure="1"/>
  <bookViews>
    <workbookView xWindow="540" yWindow="60" windowWidth="28260" windowHeight="15135" tabRatio="806" xr2:uid="{00000000-000D-0000-FFFF-FFFF00000000}"/>
  </bookViews>
  <sheets>
    <sheet name="Information" sheetId="2" r:id="rId1"/>
    <sheet name="RR" sheetId="17" r:id="rId2"/>
    <sheet name="BR" sheetId="4" r:id="rId3"/>
    <sheet name="Verks int o kostn" sheetId="19" r:id="rId4"/>
    <sheet name="Skatter, bidrag o fin poster" sheetId="20" r:id="rId5"/>
    <sheet name="Investeringar" sheetId="7" r:id="rId6"/>
    <sheet name="Drift" sheetId="8" r:id="rId7"/>
    <sheet name="Motpart" sheetId="9" r:id="rId8"/>
    <sheet name="Pedagogisk verksamhet" sheetId="10" r:id="rId9"/>
    <sheet name="Äldre o personer funktionsn" sheetId="11" r:id="rId10"/>
    <sheet name="IFO" sheetId="12" r:id="rId11"/>
  </sheets>
  <definedNames>
    <definedName name="_GoBack" localSheetId="4">'Skatter, bidrag o fin poster'!$C$9</definedName>
    <definedName name="_HSL1">#REF!</definedName>
    <definedName name="_HSL2">#REF!</definedName>
    <definedName name="Affärsverksamhet">Drift!$Z$91</definedName>
    <definedName name="Balanskravsutredningen">RR!$G$30</definedName>
    <definedName name="Barn_o_ungdomsvård">IFO!$P$22</definedName>
    <definedName name="Barnomsorg">Drift!$Z$44</definedName>
    <definedName name="Bidrag_o_transfer.">Motpart!$N$49</definedName>
    <definedName name="Block_1">Drift!$Z$11</definedName>
    <definedName name="Block_2">Drift!$Z$18</definedName>
    <definedName name="Block_3">Drift!$Z$31</definedName>
    <definedName name="Block_6">Drift!$Z$86</definedName>
    <definedName name="BR">BR!$A$94</definedName>
    <definedName name="Datum">"2015-10-16"</definedName>
    <definedName name="Datumföre">"2016-10-17"</definedName>
    <definedName name="Drift">Drift!$A$117</definedName>
    <definedName name="EKchef">Information!$B$16</definedName>
    <definedName name="Ekcheftel">Information!$C$16</definedName>
    <definedName name="Epost1RS">Information!$D$14</definedName>
    <definedName name="Epost2RS">Information!$D$15</definedName>
    <definedName name="Epostaldre">Information!$D$31</definedName>
    <definedName name="EpostAO">Information!$D$32</definedName>
    <definedName name="EpostEkchef">Information!$D$16</definedName>
    <definedName name="Epostforskola">Information!$D$22</definedName>
    <definedName name="Epostgrund">Information!$D$23</definedName>
    <definedName name="Epostgymn">Information!$D$24</definedName>
    <definedName name="Eposthandik">Information!$D$33</definedName>
    <definedName name="Epostifo">Information!$D$34</definedName>
    <definedName name="EpostPV">Information!$D$21</definedName>
    <definedName name="epostpvchef">Information!$D$26</definedName>
    <definedName name="epostvochef">Information!$D$35</definedName>
    <definedName name="Epostvux">Information!$D$25</definedName>
    <definedName name="Extraordinära_RR">RR!$G$17</definedName>
    <definedName name="Familjerätt">IFO!$P$33</definedName>
    <definedName name="Fritidshem">'Pedagogisk verksamhet'!$R$17</definedName>
    <definedName name="Funktionsnedsättning">'Äldre o personer funktionsn'!$T$23</definedName>
    <definedName name="Förskola">'Pedagogisk verksamhet'!$R$9</definedName>
    <definedName name="Förskoleklass">'Pedagogisk verksamhet'!$R$25</definedName>
    <definedName name="Förändring_anläggningstillgångar">Investeringar!$I$16</definedName>
    <definedName name="Grundskola">'Pedagogisk verksamhet'!$R$32</definedName>
    <definedName name="Grundsärskola">'Pedagogisk verksamhet'!$R$45</definedName>
    <definedName name="Grundvux">'Pedagogisk verksamhet'!$R$87</definedName>
    <definedName name="Gymnasieskola">'Pedagogisk verksamhet'!$R$59</definedName>
    <definedName name="Gymnasiesärskola">'Pedagogisk verksamhet'!$R$73</definedName>
    <definedName name="Gymnvux">'Pedagogisk verksamhet'!$R$96</definedName>
    <definedName name="inv19_64">1</definedName>
    <definedName name="inv7_15">Information!$B$5</definedName>
    <definedName name="invanare">Information!$B$4</definedName>
    <definedName name="Investeringar">Investeringar!$G$68</definedName>
    <definedName name="Invånare">Information!$B$4</definedName>
    <definedName name="Jämförelsestörande_RR">RR!$G$23</definedName>
    <definedName name="Kontaktpers1RS">Information!$B$14</definedName>
    <definedName name="Kontaktpers2RS">Information!$B$15</definedName>
    <definedName name="Kontaktpersaldre">Information!$B$32</definedName>
    <definedName name="KontaktpersAO">Information!$B$31</definedName>
    <definedName name="Kontaktpersforskola">Information!$B$22</definedName>
    <definedName name="Kontaktpersgrund">Information!$B$23</definedName>
    <definedName name="Kontaktpersgymn">Information!$B$24</definedName>
    <definedName name="Kontaktpershandik">Information!$B$33</definedName>
    <definedName name="Kontaktpersifo">Information!$B$34</definedName>
    <definedName name="KontaktpersPV">Information!$B$21</definedName>
    <definedName name="Kontaktpersvux">Information!$B$25</definedName>
    <definedName name="Kontakttel1RS">Information!$C$14</definedName>
    <definedName name="Kontakttel2RS">Information!$C$15</definedName>
    <definedName name="Kontakttelaldre">Information!$C$32</definedName>
    <definedName name="KontakttelAO">Information!$C$31</definedName>
    <definedName name="Kontakttelforskola">Information!$C$22</definedName>
    <definedName name="Kontakttelgrund">Information!$C$23</definedName>
    <definedName name="Kontakttelgymn">Information!$C$24</definedName>
    <definedName name="Kontakttelhandik">Information!$C$33</definedName>
    <definedName name="Kontakttelifo">Information!$C$34</definedName>
    <definedName name="Kontakttelpv">Information!$C$21</definedName>
    <definedName name="Kontakttelpvchef">Information!$C$26</definedName>
    <definedName name="Kontakttelvux">Information!$C$25</definedName>
    <definedName name="Kontakttevochef">Information!$C$35</definedName>
    <definedName name="Kontrollblad_1">#REF!</definedName>
    <definedName name="Kontrollblad_10">#REF!</definedName>
    <definedName name="Kontrollblad_11">#REF!</definedName>
    <definedName name="Kontrollblad_12">#REF!</definedName>
    <definedName name="Kontrollblad_13">#REF!</definedName>
    <definedName name="Kontrollblad_14">#REF!</definedName>
    <definedName name="Kontrollblad_15">#REF!</definedName>
    <definedName name="Kontrollblad_16">#REF!</definedName>
    <definedName name="Kontrollblad_17">#REF!</definedName>
    <definedName name="Kontrollblad_18">#REF!</definedName>
    <definedName name="Kontrollblad_19">#REF!</definedName>
    <definedName name="Kontrollblad_2">#REF!</definedName>
    <definedName name="Kontrollblad_3">#REF!</definedName>
    <definedName name="Kontrollblad_4">#REF!</definedName>
    <definedName name="Kontrollblad_5">#REF!</definedName>
    <definedName name="Kontrollblad_6">#REF!</definedName>
    <definedName name="Kontrollblad_7">#REF!</definedName>
    <definedName name="Kontrollblad_8">#REF!</definedName>
    <definedName name="Kontrollblad_9">#REF!</definedName>
    <definedName name="Köp_huvudvht">Motpart!$C$49</definedName>
    <definedName name="LSS">'Äldre o personer funktionsn'!$T$33</definedName>
    <definedName name="Pvchef">Information!$B$26</definedName>
    <definedName name="SFI">'Pedagogisk verksamhet'!$R$105</definedName>
    <definedName name="Skatter_bidrag_finpost">'Skatter, bidrag o fin poster'!$H$35</definedName>
    <definedName name="solver_cvg" localSheetId="5" hidden="1">0.0001</definedName>
    <definedName name="solver_drv" localSheetId="5" hidden="1">1</definedName>
    <definedName name="solver_est" localSheetId="5" hidden="1">1</definedName>
    <definedName name="solver_itr" localSheetId="5" hidden="1">100</definedName>
    <definedName name="solver_lin" localSheetId="5" hidden="1">2</definedName>
    <definedName name="solver_neg" localSheetId="5" hidden="1">2</definedName>
    <definedName name="solver_num" localSheetId="5" hidden="1">0</definedName>
    <definedName name="solver_nwt" localSheetId="5" hidden="1">1</definedName>
    <definedName name="solver_opt" localSheetId="5" hidden="1">Investeringar!$D$22</definedName>
    <definedName name="solver_pre" localSheetId="5" hidden="1">0.000001</definedName>
    <definedName name="solver_scl" localSheetId="5" hidden="1">2</definedName>
    <definedName name="solver_sho" localSheetId="5" hidden="1">2</definedName>
    <definedName name="solver_tim" localSheetId="5" hidden="1">100</definedName>
    <definedName name="solver_tol" localSheetId="5" hidden="1">0.05</definedName>
    <definedName name="solver_typ" localSheetId="5" hidden="1">1</definedName>
    <definedName name="solver_val" localSheetId="5" hidden="1">0</definedName>
    <definedName name="Spec_intäkter">Motpart!$Y$49</definedName>
    <definedName name="Spec_VoO">'Äldre o personer funktionsn'!$R$47</definedName>
    <definedName name="Tillägg_1_Invest">Investeringar!$G$81</definedName>
    <definedName name="Tillägg_2_Invest">Investeringar!$G$97</definedName>
    <definedName name="Utbildning">Drift!$Z$52</definedName>
    <definedName name="_xlnm.Print_Area" localSheetId="6">Drift!$A$1:$AH$126</definedName>
    <definedName name="_xlnm.Print_Area" localSheetId="0">Information!$A$1:$E$50</definedName>
    <definedName name="_xlnm.Print_Area" localSheetId="5">Investeringar!$A$1:$M$104</definedName>
    <definedName name="_xlnm.Print_Area" localSheetId="7">Motpart!$A$1:$AD$53</definedName>
    <definedName name="_xlnm.Print_Area" localSheetId="1">RR!$A$1:$K$57</definedName>
    <definedName name="_xlnm.Print_Area" localSheetId="9">'Äldre o personer funktionsn'!$A$1:$U$61</definedName>
    <definedName name="_xlnm.Print_Titles" localSheetId="6">Drift!$A:$B,Drift!$1:$10</definedName>
    <definedName name="_xlnm.Print_Titles" localSheetId="7">Motpart!$A:$B,Motpart!$1:$8</definedName>
    <definedName name="Vht_int">'Verks int o kostn'!$F$35</definedName>
    <definedName name="Vht_kostn">'Verks int o kostn'!$F$77</definedName>
    <definedName name="VOchef">Information!$B$35</definedName>
    <definedName name="Vuxna_missb.">IFO!$P$13</definedName>
    <definedName name="Z_27C9E95B_0E2B_454F_B637_1CECC9579A10_.wvu.Cols" localSheetId="6" hidden="1">Drift!$AG:$IV</definedName>
    <definedName name="Z_27C9E95B_0E2B_454F_B637_1CECC9579A10_.wvu.Cols" localSheetId="10" hidden="1">IFO!#REF!</definedName>
    <definedName name="Z_27C9E95B_0E2B_454F_B637_1CECC9579A10_.wvu.Cols" localSheetId="0" hidden="1">Information!$F:$IV</definedName>
    <definedName name="Z_27C9E95B_0E2B_454F_B637_1CECC9579A10_.wvu.Cols" localSheetId="5" hidden="1">Investeringar!$M:$IV</definedName>
    <definedName name="Z_27C9E95B_0E2B_454F_B637_1CECC9579A10_.wvu.Cols" localSheetId="7" hidden="1">Motpart!$AE:$IV</definedName>
    <definedName name="Z_27C9E95B_0E2B_454F_B637_1CECC9579A10_.wvu.Cols" localSheetId="8" hidden="1">'Pedagogisk verksamhet'!$H:$H,'Pedagogisk verksamhet'!$Y:$IV</definedName>
    <definedName name="Z_27C9E95B_0E2B_454F_B637_1CECC9579A10_.wvu.Cols" localSheetId="1" hidden="1">RR!$L:$IV</definedName>
    <definedName name="Z_27C9E95B_0E2B_454F_B637_1CECC9579A10_.wvu.Cols" localSheetId="4" hidden="1">'Skatter, bidrag o fin poster'!$U:$IV</definedName>
    <definedName name="Z_27C9E95B_0E2B_454F_B637_1CECC9579A10_.wvu.Cols" localSheetId="9" hidden="1">'Äldre o personer funktionsn'!$V:$IV</definedName>
    <definedName name="Z_27C9E95B_0E2B_454F_B637_1CECC9579A10_.wvu.Rows" localSheetId="2" hidden="1">BR!$100:$65542,BR!#REF!,BR!$95:$95</definedName>
    <definedName name="Z_27C9E95B_0E2B_454F_B637_1CECC9579A10_.wvu.Rows" localSheetId="6" hidden="1">Drift!$303:$65536,Drift!$127:$302</definedName>
    <definedName name="Z_27C9E95B_0E2B_454F_B637_1CECC9579A10_.wvu.Rows" localSheetId="10" hidden="1">IFO!$39:$65536,IFO!$38:$38</definedName>
    <definedName name="Z_27C9E95B_0E2B_454F_B637_1CECC9579A10_.wvu.Rows" localSheetId="0" hidden="1">Information!$51:$65536</definedName>
    <definedName name="Z_27C9E95B_0E2B_454F_B637_1CECC9579A10_.wvu.Rows" localSheetId="5" hidden="1">Investeringar!$118:$65536,Investeringar!$105:$114</definedName>
    <definedName name="Z_27C9E95B_0E2B_454F_B637_1CECC9579A10_.wvu.Rows" localSheetId="7" hidden="1">Motpart!$55:$65538</definedName>
    <definedName name="Z_27C9E95B_0E2B_454F_B637_1CECC9579A10_.wvu.Rows" localSheetId="8" hidden="1">'Pedagogisk verksamhet'!$105:$65536</definedName>
    <definedName name="Z_27C9E95B_0E2B_454F_B637_1CECC9579A10_.wvu.Rows" localSheetId="1" hidden="1">RR!$67:$65545,RR!$59:$59</definedName>
    <definedName name="Z_27C9E95B_0E2B_454F_B637_1CECC9579A10_.wvu.Rows" localSheetId="4" hidden="1">'Skatter, bidrag o fin poster'!$45:$65536,'Skatter, bidrag o fin poster'!$44:$44</definedName>
    <definedName name="Z_27C9E95B_0E2B_454F_B637_1CECC9579A10_.wvu.Rows" localSheetId="3" hidden="1">'Verks int o kostn'!#REF!,'Verks int o kostn'!#REF!</definedName>
    <definedName name="Z_27C9E95B_0E2B_454F_B637_1CECC9579A10_.wvu.Rows" localSheetId="9" hidden="1">'Äldre o personer funktionsn'!$63:$65538</definedName>
    <definedName name="Z_97D6DB71_3F4C_4C5F_8C5B_51E3EBF78932_.wvu.Cols" localSheetId="2" hidden="1">BR!#REF!</definedName>
    <definedName name="Z_97D6DB71_3F4C_4C5F_8C5B_51E3EBF78932_.wvu.Cols" localSheetId="6" hidden="1">Drift!#REF!</definedName>
    <definedName name="Z_97D6DB71_3F4C_4C5F_8C5B_51E3EBF78932_.wvu.Cols" localSheetId="10" hidden="1">IFO!#REF!</definedName>
    <definedName name="Z_97D6DB71_3F4C_4C5F_8C5B_51E3EBF78932_.wvu.Cols" localSheetId="0" hidden="1">Information!#REF!</definedName>
    <definedName name="Z_97D6DB71_3F4C_4C5F_8C5B_51E3EBF78932_.wvu.Cols" localSheetId="5" hidden="1">Investeringar!#REF!</definedName>
    <definedName name="Z_97D6DB71_3F4C_4C5F_8C5B_51E3EBF78932_.wvu.Cols" localSheetId="7" hidden="1">Motpart!#REF!</definedName>
    <definedName name="Z_97D6DB71_3F4C_4C5F_8C5B_51E3EBF78932_.wvu.Cols" localSheetId="1" hidden="1">RR!#REF!</definedName>
    <definedName name="Z_97D6DB71_3F4C_4C5F_8C5B_51E3EBF78932_.wvu.Cols" localSheetId="4" hidden="1">'Skatter, bidrag o fin poster'!#REF!</definedName>
    <definedName name="Z_97D6DB71_3F4C_4C5F_8C5B_51E3EBF78932_.wvu.Cols" localSheetId="3" hidden="1">'Verks int o kostn'!#REF!</definedName>
    <definedName name="Z_97D6DB71_3F4C_4C5F_8C5B_51E3EBF78932_.wvu.Cols" localSheetId="9" hidden="1">'Äldre o personer funktionsn'!#REF!</definedName>
    <definedName name="Z_97D6DB71_3F4C_4C5F_8C5B_51E3EBF78932_.wvu.PrintTitles" localSheetId="6" hidden="1">Drift!$A:$B,Drift!$1:$10</definedName>
    <definedName name="Z_97D6DB71_3F4C_4C5F_8C5B_51E3EBF78932_.wvu.Rows" localSheetId="2" hidden="1">BR!#REF!,BR!#REF!,BR!$95:$95</definedName>
    <definedName name="Z_97D6DB71_3F4C_4C5F_8C5B_51E3EBF78932_.wvu.Rows" localSheetId="6" hidden="1">Drift!#REF!,Drift!$127:$302</definedName>
    <definedName name="Z_97D6DB71_3F4C_4C5F_8C5B_51E3EBF78932_.wvu.Rows" localSheetId="10" hidden="1">IFO!#REF!,IFO!$38:$38</definedName>
    <definedName name="Z_97D6DB71_3F4C_4C5F_8C5B_51E3EBF78932_.wvu.Rows" localSheetId="0" hidden="1">Information!#REF!</definedName>
    <definedName name="Z_97D6DB71_3F4C_4C5F_8C5B_51E3EBF78932_.wvu.Rows" localSheetId="5" hidden="1">Investeringar!#REF!,Investeringar!$105:$114</definedName>
    <definedName name="Z_97D6DB71_3F4C_4C5F_8C5B_51E3EBF78932_.wvu.Rows" localSheetId="7" hidden="1">Motpart!#REF!</definedName>
    <definedName name="Z_97D6DB71_3F4C_4C5F_8C5B_51E3EBF78932_.wvu.Rows" localSheetId="8" hidden="1">'Pedagogisk verksamhet'!#REF!</definedName>
    <definedName name="Z_97D6DB71_3F4C_4C5F_8C5B_51E3EBF78932_.wvu.Rows" localSheetId="1" hidden="1">RR!#REF!,RR!$59:$59</definedName>
    <definedName name="Z_97D6DB71_3F4C_4C5F_8C5B_51E3EBF78932_.wvu.Rows" localSheetId="4" hidden="1">'Skatter, bidrag o fin poster'!#REF!,'Skatter, bidrag o fin poster'!$44:$44</definedName>
    <definedName name="Z_97D6DB71_3F4C_4C5F_8C5B_51E3EBF78932_.wvu.Rows" localSheetId="3" hidden="1">'Verks int o kostn'!#REF!</definedName>
    <definedName name="Z_97D6DB71_3F4C_4C5F_8C5B_51E3EBF78932_.wvu.Rows" localSheetId="9" hidden="1">'Äldre o personer funktionsn'!#REF!</definedName>
    <definedName name="Z_99FBDEB7_DD08_4F57_81F4_3C180403E153_.wvu.Cols" localSheetId="2" hidden="1">BR!#REF!</definedName>
    <definedName name="Z_99FBDEB7_DD08_4F57_81F4_3C180403E153_.wvu.Cols" localSheetId="6" hidden="1">Drift!#REF!</definedName>
    <definedName name="Z_99FBDEB7_DD08_4F57_81F4_3C180403E153_.wvu.Cols" localSheetId="10" hidden="1">IFO!#REF!</definedName>
    <definedName name="Z_99FBDEB7_DD08_4F57_81F4_3C180403E153_.wvu.Cols" localSheetId="0" hidden="1">Information!#REF!</definedName>
    <definedName name="Z_99FBDEB7_DD08_4F57_81F4_3C180403E153_.wvu.Cols" localSheetId="5" hidden="1">Investeringar!#REF!</definedName>
    <definedName name="Z_99FBDEB7_DD08_4F57_81F4_3C180403E153_.wvu.Cols" localSheetId="7" hidden="1">Motpart!#REF!</definedName>
    <definedName name="Z_99FBDEB7_DD08_4F57_81F4_3C180403E153_.wvu.Cols" localSheetId="1" hidden="1">RR!#REF!</definedName>
    <definedName name="Z_99FBDEB7_DD08_4F57_81F4_3C180403E153_.wvu.Cols" localSheetId="4" hidden="1">'Skatter, bidrag o fin poster'!#REF!</definedName>
    <definedName name="Z_99FBDEB7_DD08_4F57_81F4_3C180403E153_.wvu.Cols" localSheetId="3" hidden="1">'Verks int o kostn'!#REF!</definedName>
    <definedName name="Z_99FBDEB7_DD08_4F57_81F4_3C180403E153_.wvu.Cols" localSheetId="9" hidden="1">'Äldre o personer funktionsn'!#REF!</definedName>
    <definedName name="Z_99FBDEB7_DD08_4F57_81F4_3C180403E153_.wvu.Rows" localSheetId="2" hidden="1">BR!#REF!,BR!#REF!,BR!$95:$95</definedName>
    <definedName name="Z_99FBDEB7_DD08_4F57_81F4_3C180403E153_.wvu.Rows" localSheetId="6" hidden="1">Drift!#REF!,Drift!$127:$302</definedName>
    <definedName name="Z_99FBDEB7_DD08_4F57_81F4_3C180403E153_.wvu.Rows" localSheetId="10" hidden="1">IFO!#REF!,IFO!$38:$38</definedName>
    <definedName name="Z_99FBDEB7_DD08_4F57_81F4_3C180403E153_.wvu.Rows" localSheetId="0" hidden="1">Information!#REF!</definedName>
    <definedName name="Z_99FBDEB7_DD08_4F57_81F4_3C180403E153_.wvu.Rows" localSheetId="5" hidden="1">Investeringar!#REF!,Investeringar!$105:$114</definedName>
    <definedName name="Z_99FBDEB7_DD08_4F57_81F4_3C180403E153_.wvu.Rows" localSheetId="7" hidden="1">Motpart!#REF!</definedName>
    <definedName name="Z_99FBDEB7_DD08_4F57_81F4_3C180403E153_.wvu.Rows" localSheetId="8" hidden="1">'Pedagogisk verksamhet'!#REF!</definedName>
    <definedName name="Z_99FBDEB7_DD08_4F57_81F4_3C180403E153_.wvu.Rows" localSheetId="1" hidden="1">RR!#REF!,RR!$59:$59</definedName>
    <definedName name="Z_99FBDEB7_DD08_4F57_81F4_3C180403E153_.wvu.Rows" localSheetId="4" hidden="1">'Skatter, bidrag o fin poster'!#REF!,'Skatter, bidrag o fin poster'!$44:$44</definedName>
    <definedName name="Z_99FBDEB7_DD08_4F57_81F4_3C180403E153_.wvu.Rows" localSheetId="3" hidden="1">'Verks int o kostn'!#REF!</definedName>
    <definedName name="Z_99FBDEB7_DD08_4F57_81F4_3C180403E153_.wvu.Rows" localSheetId="9" hidden="1">'Äldre o personer funktionsn'!#REF!</definedName>
    <definedName name="Z_FA98FB86_76DB_4A0E_BD94_632DC6B7BC81_.wvu.Cols" localSheetId="6" hidden="1">Drift!$AG:$IV</definedName>
    <definedName name="Z_FA98FB86_76DB_4A0E_BD94_632DC6B7BC81_.wvu.Cols" localSheetId="10" hidden="1">IFO!#REF!</definedName>
    <definedName name="Z_FA98FB86_76DB_4A0E_BD94_632DC6B7BC81_.wvu.Cols" localSheetId="0" hidden="1">Information!$F:$IV</definedName>
    <definedName name="Z_FA98FB86_76DB_4A0E_BD94_632DC6B7BC81_.wvu.Cols" localSheetId="5" hidden="1">Investeringar!$M:$IV</definedName>
    <definedName name="Z_FA98FB86_76DB_4A0E_BD94_632DC6B7BC81_.wvu.Cols" localSheetId="7" hidden="1">Motpart!$AE:$IV</definedName>
    <definedName name="Z_FA98FB86_76DB_4A0E_BD94_632DC6B7BC81_.wvu.Cols" localSheetId="8" hidden="1">'Pedagogisk verksamhet'!$H:$H,'Pedagogisk verksamhet'!$Y:$IV</definedName>
    <definedName name="Z_FA98FB86_76DB_4A0E_BD94_632DC6B7BC81_.wvu.Cols" localSheetId="1" hidden="1">RR!$L:$IV</definedName>
    <definedName name="Z_FA98FB86_76DB_4A0E_BD94_632DC6B7BC81_.wvu.Cols" localSheetId="4" hidden="1">'Skatter, bidrag o fin poster'!$U:$IV</definedName>
    <definedName name="Z_FA98FB86_76DB_4A0E_BD94_632DC6B7BC81_.wvu.Cols" localSheetId="9" hidden="1">'Äldre o personer funktionsn'!$V:$IV</definedName>
    <definedName name="Z_FA98FB86_76DB_4A0E_BD94_632DC6B7BC81_.wvu.Rows" localSheetId="2" hidden="1">BR!$100:$65542,BR!#REF!,BR!$95:$95</definedName>
    <definedName name="Z_FA98FB86_76DB_4A0E_BD94_632DC6B7BC81_.wvu.Rows" localSheetId="6" hidden="1">Drift!$303:$65536,Drift!$127:$302</definedName>
    <definedName name="Z_FA98FB86_76DB_4A0E_BD94_632DC6B7BC81_.wvu.Rows" localSheetId="10" hidden="1">IFO!$39:$65536,IFO!$38:$38</definedName>
    <definedName name="Z_FA98FB86_76DB_4A0E_BD94_632DC6B7BC81_.wvu.Rows" localSheetId="0" hidden="1">Information!$51:$65536</definedName>
    <definedName name="Z_FA98FB86_76DB_4A0E_BD94_632DC6B7BC81_.wvu.Rows" localSheetId="5" hidden="1">Investeringar!$118:$65536,Investeringar!$105:$114</definedName>
    <definedName name="Z_FA98FB86_76DB_4A0E_BD94_632DC6B7BC81_.wvu.Rows" localSheetId="7" hidden="1">Motpart!$55:$65538</definedName>
    <definedName name="Z_FA98FB86_76DB_4A0E_BD94_632DC6B7BC81_.wvu.Rows" localSheetId="8" hidden="1">'Pedagogisk verksamhet'!$105:$65536</definedName>
    <definedName name="Z_FA98FB86_76DB_4A0E_BD94_632DC6B7BC81_.wvu.Rows" localSheetId="1" hidden="1">RR!$67:$65545,RR!$59:$59</definedName>
    <definedName name="Z_FA98FB86_76DB_4A0E_BD94_632DC6B7BC81_.wvu.Rows" localSheetId="4" hidden="1">'Skatter, bidrag o fin poster'!$45:$65536,'Skatter, bidrag o fin poster'!$44:$44</definedName>
    <definedName name="Z_FA98FB86_76DB_4A0E_BD94_632DC6B7BC81_.wvu.Rows" localSheetId="3" hidden="1">'Verks int o kostn'!#REF!</definedName>
    <definedName name="Z_FA98FB86_76DB_4A0E_BD94_632DC6B7BC81_.wvu.Rows" localSheetId="9" hidden="1">'Äldre o personer funktionsn'!$63:$65538</definedName>
    <definedName name="År">2024</definedName>
    <definedName name="ÄF_inkl_IFO">Drift!$Z$72</definedName>
    <definedName name="Äldre">'Äldre o personer funktionsn'!$T$12</definedName>
    <definedName name="Övr._o_ek.bistånd">IFO!$P$30</definedName>
  </definedNames>
  <calcPr calcId="191029"/>
  <customWorkbookViews>
    <customWorkbookView name="Håkan Wilén - Personlig vy" guid="{FA98FB86-76DB-4A0E-BD94-632DC6B7BC81}" mergeInterval="0" personalView="1" maximized="1" xWindow="1" yWindow="1" windowWidth="1680" windowHeight="829" tabRatio="806" activeSheetId="3"/>
    <customWorkbookView name="scbelie - Personlig vy" guid="{97D6DB71-3F4C-4C5F-8C5B-51E3EBF78932}" mergeInterval="0" personalView="1" maximized="1" xWindow="1" yWindow="1" windowWidth="1676" windowHeight="829" tabRatio="806" activeSheetId="11"/>
    <customWorkbookView name="scbingj - Personlig vy" guid="{99FBDEB7-DD08-4F57-81F4-3C180403E153}" mergeInterval="0" personalView="1" maximized="1" xWindow="1" yWindow="1" windowWidth="1916" windowHeight="839" tabRatio="806" activeSheetId="10"/>
    <customWorkbookView name="SCB - Personlig vy" guid="{27C9E95B-0E2B-454F-B637-1CECC9579A10}" mergeInterval="0" personalView="1" maximized="1" windowWidth="1916" windowHeight="881" tabRatio="80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2" l="1"/>
  <c r="I33" i="12"/>
  <c r="I32" i="12"/>
  <c r="I31" i="12"/>
  <c r="I30" i="12"/>
  <c r="I29" i="12"/>
  <c r="I26" i="12"/>
  <c r="I25" i="12"/>
  <c r="I24" i="12"/>
  <c r="I23" i="12"/>
  <c r="I22" i="12"/>
  <c r="I21" i="12"/>
  <c r="I18" i="12"/>
  <c r="I17" i="12"/>
  <c r="I16" i="12"/>
  <c r="I15" i="12"/>
  <c r="I14" i="12"/>
  <c r="I13" i="12"/>
  <c r="I12" i="12"/>
  <c r="J1" i="12"/>
  <c r="A1" i="12"/>
  <c r="M36" i="11"/>
  <c r="M35" i="11"/>
  <c r="M34" i="11"/>
  <c r="M33" i="11"/>
  <c r="M32" i="11"/>
  <c r="M28" i="11"/>
  <c r="M27" i="11"/>
  <c r="M26" i="11"/>
  <c r="M25" i="11"/>
  <c r="M24" i="11"/>
  <c r="M23" i="11"/>
  <c r="M22" i="11"/>
  <c r="M18" i="11"/>
  <c r="M17" i="11"/>
  <c r="M16" i="11"/>
  <c r="M15" i="11"/>
  <c r="M14" i="11"/>
  <c r="M13" i="11"/>
  <c r="M12" i="11"/>
  <c r="P1" i="11"/>
  <c r="A1" i="11"/>
  <c r="M99" i="10"/>
  <c r="M98" i="10"/>
  <c r="M97" i="10"/>
  <c r="M96" i="10"/>
  <c r="M91" i="10"/>
  <c r="M90" i="10"/>
  <c r="M9" i="10"/>
  <c r="M89" i="10"/>
  <c r="M88" i="10"/>
  <c r="M87" i="10"/>
  <c r="M84" i="10"/>
  <c r="M83" i="10"/>
  <c r="M82" i="10"/>
  <c r="M81" i="10"/>
  <c r="M80" i="10"/>
  <c r="M8" i="10"/>
  <c r="M79" i="10"/>
  <c r="M78" i="10"/>
  <c r="M77" i="10"/>
  <c r="M76" i="10"/>
  <c r="M75" i="10"/>
  <c r="M74" i="10"/>
  <c r="M73" i="10"/>
  <c r="M70" i="10"/>
  <c r="M69" i="10"/>
  <c r="M68" i="10"/>
  <c r="M67" i="10"/>
  <c r="M66" i="10"/>
  <c r="M65" i="10"/>
  <c r="M64" i="10"/>
  <c r="M63" i="10"/>
  <c r="M62" i="10"/>
  <c r="M61" i="10"/>
  <c r="M60" i="10"/>
  <c r="M59" i="10"/>
  <c r="M56" i="10"/>
  <c r="M55" i="10"/>
  <c r="M54" i="10"/>
  <c r="M53" i="10"/>
  <c r="M52" i="10"/>
  <c r="M51" i="10"/>
  <c r="M50" i="10"/>
  <c r="M49" i="10"/>
  <c r="M48" i="10"/>
  <c r="M47" i="10"/>
  <c r="M46" i="10"/>
  <c r="M45" i="10"/>
  <c r="M42" i="10"/>
  <c r="M41" i="10"/>
  <c r="M40" i="10"/>
  <c r="M39" i="10"/>
  <c r="M38" i="10"/>
  <c r="M37" i="10"/>
  <c r="M36" i="10"/>
  <c r="M35" i="10"/>
  <c r="M34" i="10"/>
  <c r="M33" i="10"/>
  <c r="M32" i="10"/>
  <c r="M30" i="10"/>
  <c r="M29" i="10"/>
  <c r="M28" i="10"/>
  <c r="M27" i="10"/>
  <c r="M25" i="10"/>
  <c r="M24" i="10"/>
  <c r="M22" i="10"/>
  <c r="M21" i="10"/>
  <c r="M20" i="10"/>
  <c r="M19" i="10"/>
  <c r="M17" i="10"/>
  <c r="M16" i="10"/>
  <c r="M14" i="10"/>
  <c r="M13" i="10"/>
  <c r="M12" i="10"/>
  <c r="M110" i="10"/>
  <c r="M11" i="10"/>
  <c r="M109" i="10"/>
  <c r="M108" i="10"/>
  <c r="M107" i="10"/>
  <c r="M106" i="10"/>
  <c r="M105" i="10"/>
  <c r="M100" i="10"/>
  <c r="J1" i="10"/>
  <c r="A1" i="10"/>
  <c r="AA1" i="9"/>
  <c r="K1" i="9"/>
  <c r="S1" i="9"/>
  <c r="C1" i="9"/>
  <c r="Z1" i="8"/>
  <c r="J1" i="8"/>
  <c r="R1" i="8"/>
  <c r="C1" i="8"/>
  <c r="H1" i="7"/>
  <c r="A1" i="7"/>
  <c r="T1" i="20"/>
  <c r="A1" i="20"/>
  <c r="J1" i="19"/>
  <c r="M38" i="19"/>
  <c r="A1" i="19"/>
  <c r="D37" i="19"/>
  <c r="F1" i="4"/>
  <c r="A1" i="4"/>
  <c r="C47" i="17"/>
  <c r="C44" i="17"/>
  <c r="C43" i="17"/>
  <c r="G1" i="17"/>
  <c r="A1" i="17"/>
  <c r="F50" i="4" l="1"/>
  <c r="F49" i="4"/>
  <c r="B39" i="17" l="1"/>
  <c r="F58" i="4"/>
  <c r="F31" i="4" l="1"/>
  <c r="D31" i="4"/>
  <c r="U44" i="9" l="1"/>
  <c r="B38" i="17" l="1"/>
  <c r="B37" i="17"/>
  <c r="B41" i="4" l="1"/>
  <c r="Y43" i="9"/>
  <c r="M77" i="4" l="1"/>
  <c r="J59" i="19"/>
  <c r="J52" i="19"/>
  <c r="E22" i="19"/>
  <c r="C53" i="11"/>
  <c r="C54" i="11"/>
  <c r="I108" i="10"/>
  <c r="F104" i="10"/>
  <c r="D104" i="10"/>
  <c r="N24" i="9" l="1"/>
  <c r="X24" i="9" s="1"/>
  <c r="C24" i="9"/>
  <c r="W62" i="8" l="1"/>
  <c r="AH62" i="8" l="1"/>
  <c r="L17" i="11"/>
  <c r="K17" i="11"/>
  <c r="K16" i="11"/>
  <c r="E111" i="10" l="1"/>
  <c r="E112" i="10" s="1"/>
  <c r="O16" i="11"/>
  <c r="N27" i="9"/>
  <c r="X27" i="9" s="1"/>
  <c r="N26" i="9"/>
  <c r="X26" i="9" s="1"/>
  <c r="N25" i="9"/>
  <c r="C26" i="9"/>
  <c r="M26" i="9" s="1"/>
  <c r="N23" i="9"/>
  <c r="X23" i="9" s="1"/>
  <c r="C27" i="9"/>
  <c r="M27" i="9" s="1"/>
  <c r="M24" i="9"/>
  <c r="C23" i="9"/>
  <c r="G111" i="10" l="1"/>
  <c r="G112" i="10" s="1"/>
  <c r="M104" i="10" l="1"/>
  <c r="W48" i="8"/>
  <c r="AH48" i="8" s="1"/>
  <c r="E19" i="19"/>
  <c r="J57" i="4" l="1"/>
  <c r="F62" i="4"/>
  <c r="I11" i="10"/>
  <c r="I19" i="10"/>
  <c r="I27" i="10"/>
  <c r="B6" i="9"/>
  <c r="B6" i="8"/>
  <c r="I19" i="20"/>
  <c r="I5" i="20"/>
  <c r="B32" i="20"/>
  <c r="B18" i="20"/>
  <c r="B5" i="20"/>
  <c r="B38" i="19"/>
  <c r="B5" i="19"/>
  <c r="H12" i="4"/>
  <c r="B4" i="4"/>
  <c r="D81" i="4"/>
  <c r="M81" i="4"/>
  <c r="B35" i="17"/>
  <c r="B34" i="17"/>
  <c r="L74" i="4" l="1"/>
  <c r="N38" i="19"/>
  <c r="M39" i="19"/>
  <c r="N39" i="19"/>
  <c r="C46" i="19"/>
  <c r="L14" i="11" l="1"/>
  <c r="L15" i="11"/>
  <c r="K15" i="11"/>
  <c r="K14" i="11"/>
  <c r="K25" i="11"/>
  <c r="O15" i="11" l="1"/>
  <c r="F86" i="4" l="1"/>
  <c r="F83" i="4"/>
  <c r="F84" i="4"/>
  <c r="F85" i="4"/>
  <c r="F82" i="4"/>
  <c r="D38" i="11"/>
  <c r="E38" i="11"/>
  <c r="F38" i="11"/>
  <c r="G38" i="11"/>
  <c r="H38" i="11"/>
  <c r="I38" i="11"/>
  <c r="J38" i="11"/>
  <c r="C38" i="11"/>
  <c r="D30" i="11"/>
  <c r="E30" i="11"/>
  <c r="F30" i="11"/>
  <c r="G30" i="11"/>
  <c r="H30" i="11"/>
  <c r="I30" i="11"/>
  <c r="J30" i="11"/>
  <c r="C30" i="11"/>
  <c r="O14" i="11" l="1"/>
  <c r="AC43" i="9" l="1"/>
  <c r="F74" i="4"/>
  <c r="F71" i="4"/>
  <c r="F70" i="4"/>
  <c r="F69" i="4"/>
  <c r="J71" i="4" l="1"/>
  <c r="F67" i="4" l="1"/>
  <c r="L37" i="19" l="1"/>
  <c r="D31" i="19" l="1"/>
  <c r="L67" i="4"/>
  <c r="N36" i="9"/>
  <c r="N34" i="9"/>
  <c r="C36" i="9"/>
  <c r="C34" i="9"/>
  <c r="R37" i="11" l="1"/>
  <c r="R24" i="11"/>
  <c r="R14" i="11"/>
  <c r="E41" i="20" l="1"/>
  <c r="J7" i="7" l="1"/>
  <c r="L66" i="4"/>
  <c r="L65" i="4"/>
  <c r="E22" i="12" l="1"/>
  <c r="E13" i="12"/>
  <c r="J17" i="17" l="1"/>
  <c r="J32" i="19" l="1"/>
  <c r="J30" i="19"/>
  <c r="J25" i="19"/>
  <c r="N55" i="4" l="1"/>
  <c r="M54" i="4"/>
  <c r="M53" i="4"/>
  <c r="F53" i="4"/>
  <c r="F51" i="4"/>
  <c r="E63" i="4" l="1"/>
  <c r="D63" i="4"/>
  <c r="M78" i="4" s="1"/>
  <c r="D55" i="4"/>
  <c r="F55" i="4" s="1"/>
  <c r="M55" i="4" l="1"/>
  <c r="E34" i="19" l="1"/>
  <c r="F21" i="4"/>
  <c r="L75" i="4" l="1"/>
  <c r="J29" i="19" l="1"/>
  <c r="P125" i="8" l="1"/>
  <c r="C53" i="19" l="1"/>
  <c r="D54" i="19"/>
  <c r="G43" i="11" l="1"/>
  <c r="G42" i="11"/>
  <c r="AB43" i="9"/>
  <c r="AA43" i="9"/>
  <c r="Z43" i="9"/>
  <c r="I17" i="17" l="1"/>
  <c r="R15" i="20" l="1"/>
  <c r="R16" i="20"/>
  <c r="D39" i="20" l="1"/>
  <c r="K30" i="20"/>
  <c r="D28" i="20"/>
  <c r="K16" i="20"/>
  <c r="D14" i="20"/>
  <c r="C11" i="17" s="1"/>
  <c r="C11" i="20"/>
  <c r="C10" i="20"/>
  <c r="C9" i="20"/>
  <c r="R8" i="20"/>
  <c r="C12" i="17" l="1"/>
  <c r="K31" i="20"/>
  <c r="K17" i="20"/>
  <c r="E12" i="10" l="1"/>
  <c r="C26" i="10"/>
  <c r="C18" i="10"/>
  <c r="C10" i="10"/>
  <c r="J8" i="7" l="1"/>
  <c r="J10" i="7"/>
  <c r="J9" i="7"/>
  <c r="D76" i="19" l="1"/>
  <c r="D72" i="19"/>
  <c r="N68" i="19"/>
  <c r="N61" i="19"/>
  <c r="D59" i="19"/>
  <c r="J55" i="19"/>
  <c r="N50" i="19"/>
  <c r="N49" i="19"/>
  <c r="E49" i="19"/>
  <c r="N45" i="19"/>
  <c r="D44" i="19"/>
  <c r="D36" i="19"/>
  <c r="D26" i="19"/>
  <c r="N22" i="19"/>
  <c r="D16" i="19"/>
  <c r="N16" i="19" s="1"/>
  <c r="N13" i="19"/>
  <c r="D12" i="19"/>
  <c r="N8" i="19"/>
  <c r="N6" i="19"/>
  <c r="M6" i="19"/>
  <c r="L4" i="19"/>
  <c r="D75" i="19" l="1"/>
  <c r="E26" i="19"/>
  <c r="N44" i="19"/>
  <c r="N12" i="19"/>
  <c r="N26" i="19"/>
  <c r="N59" i="19"/>
  <c r="N72" i="19"/>
  <c r="N31" i="19"/>
  <c r="D35" i="19"/>
  <c r="W122" i="8" l="1"/>
  <c r="I56" i="17" l="1"/>
  <c r="J52" i="17"/>
  <c r="I52" i="17"/>
  <c r="B40" i="17"/>
  <c r="B36" i="17"/>
  <c r="B33" i="17"/>
  <c r="B32" i="17"/>
  <c r="B31" i="17"/>
  <c r="J14" i="17"/>
  <c r="I14" i="17"/>
  <c r="D10" i="17"/>
  <c r="C10" i="17"/>
  <c r="J9" i="17"/>
  <c r="I9" i="17"/>
  <c r="J8" i="17"/>
  <c r="I8" i="17"/>
  <c r="J7" i="17"/>
  <c r="I7" i="17"/>
  <c r="D11" i="17" l="1"/>
  <c r="J11" i="17" s="1"/>
  <c r="I10" i="17"/>
  <c r="I11" i="17"/>
  <c r="J10" i="17"/>
  <c r="Q37" i="11" l="1"/>
  <c r="I38" i="10" l="1"/>
  <c r="A5" i="2" l="1"/>
  <c r="A4" i="2"/>
  <c r="I99" i="10" l="1"/>
  <c r="I90" i="10"/>
  <c r="I79" i="10"/>
  <c r="I65" i="10"/>
  <c r="I51" i="10"/>
  <c r="K88" i="4" l="1"/>
  <c r="D32" i="12" l="1"/>
  <c r="D30" i="12"/>
  <c r="D29" i="12"/>
  <c r="D21" i="12"/>
  <c r="D12" i="12"/>
  <c r="D32" i="11"/>
  <c r="D22" i="11"/>
  <c r="D12" i="11"/>
  <c r="L64" i="4"/>
  <c r="F60" i="4"/>
  <c r="N63" i="4"/>
  <c r="K61" i="4"/>
  <c r="F61" i="4"/>
  <c r="J61" i="4"/>
  <c r="F57" i="4"/>
  <c r="F9" i="4"/>
  <c r="D35" i="12"/>
  <c r="E35" i="12"/>
  <c r="D26" i="12"/>
  <c r="E26" i="12"/>
  <c r="D27" i="12"/>
  <c r="E27" i="12"/>
  <c r="D19" i="12"/>
  <c r="E19" i="12"/>
  <c r="D18" i="12"/>
  <c r="E18" i="12"/>
  <c r="E32" i="12"/>
  <c r="E30" i="12"/>
  <c r="E29" i="12"/>
  <c r="E21" i="12"/>
  <c r="E12" i="12"/>
  <c r="L26" i="11"/>
  <c r="L27" i="11"/>
  <c r="K26" i="11"/>
  <c r="O26" i="11" s="1"/>
  <c r="K27" i="11"/>
  <c r="O27" i="11" s="1"/>
  <c r="L34" i="11"/>
  <c r="L35" i="11"/>
  <c r="L36" i="11"/>
  <c r="L37" i="11"/>
  <c r="L33" i="11"/>
  <c r="L24" i="11"/>
  <c r="L25" i="11"/>
  <c r="L28" i="11"/>
  <c r="L29" i="11"/>
  <c r="L16" i="11"/>
  <c r="L18" i="11"/>
  <c r="L19" i="11"/>
  <c r="L13" i="11"/>
  <c r="L23" i="11"/>
  <c r="D20" i="11"/>
  <c r="H15" i="7"/>
  <c r="G15" i="7"/>
  <c r="D98" i="7"/>
  <c r="C98" i="7"/>
  <c r="E98" i="7" s="1"/>
  <c r="E33" i="4"/>
  <c r="N33" i="4" s="1"/>
  <c r="D26" i="4"/>
  <c r="M84" i="4"/>
  <c r="M82" i="4"/>
  <c r="AB110" i="8"/>
  <c r="J8" i="12"/>
  <c r="I8" i="12"/>
  <c r="K4" i="12"/>
  <c r="O4" i="11"/>
  <c r="N8" i="11"/>
  <c r="M8" i="11"/>
  <c r="AC4" i="8"/>
  <c r="AG38" i="8"/>
  <c r="AF38" i="8"/>
  <c r="AE5" i="8"/>
  <c r="AB5" i="8"/>
  <c r="AA5" i="8"/>
  <c r="AE4" i="8"/>
  <c r="Z5" i="8"/>
  <c r="I32" i="11"/>
  <c r="I22" i="11"/>
  <c r="M6" i="12"/>
  <c r="F12" i="12"/>
  <c r="G12" i="12"/>
  <c r="G13" i="12"/>
  <c r="H13" i="12" s="1"/>
  <c r="H14" i="12"/>
  <c r="H15" i="12"/>
  <c r="K15" i="12" s="1"/>
  <c r="H16" i="12"/>
  <c r="H17" i="12"/>
  <c r="K17" i="12" s="1"/>
  <c r="C18" i="12"/>
  <c r="F18" i="12"/>
  <c r="G18" i="12"/>
  <c r="C19" i="12"/>
  <c r="F19" i="12"/>
  <c r="F21" i="12"/>
  <c r="G21" i="12"/>
  <c r="G22" i="12"/>
  <c r="H22" i="12" s="1"/>
  <c r="K22" i="12" s="1"/>
  <c r="H23" i="12"/>
  <c r="K23" i="12" s="1"/>
  <c r="H24" i="12"/>
  <c r="K24" i="12"/>
  <c r="H25" i="12"/>
  <c r="K25" i="12" s="1"/>
  <c r="C26" i="12"/>
  <c r="F26" i="12"/>
  <c r="G26" i="12"/>
  <c r="C27" i="12"/>
  <c r="F27" i="12"/>
  <c r="F29" i="12"/>
  <c r="F30" i="12"/>
  <c r="F32" i="12"/>
  <c r="G32" i="12"/>
  <c r="H33" i="12"/>
  <c r="K33" i="12" s="1"/>
  <c r="H34" i="12"/>
  <c r="C35" i="12"/>
  <c r="F35" i="12"/>
  <c r="G35" i="12"/>
  <c r="Q6" i="11"/>
  <c r="E12" i="11"/>
  <c r="C50" i="11" s="1"/>
  <c r="F12" i="11"/>
  <c r="G12" i="11"/>
  <c r="H12" i="11"/>
  <c r="I12" i="11"/>
  <c r="J12" i="11"/>
  <c r="K13" i="11"/>
  <c r="O13" i="11" s="1"/>
  <c r="K18" i="11"/>
  <c r="K19" i="11"/>
  <c r="C20" i="11"/>
  <c r="E20" i="11"/>
  <c r="F20" i="11"/>
  <c r="G20" i="11"/>
  <c r="H20" i="11"/>
  <c r="I20" i="11"/>
  <c r="J20" i="11"/>
  <c r="E22" i="11"/>
  <c r="F22" i="11"/>
  <c r="H22" i="11"/>
  <c r="J22" i="11"/>
  <c r="K23" i="11"/>
  <c r="K24" i="11"/>
  <c r="K28" i="11"/>
  <c r="K29" i="11"/>
  <c r="E32" i="11"/>
  <c r="F32" i="11"/>
  <c r="G32" i="11"/>
  <c r="H32" i="11"/>
  <c r="J32" i="11"/>
  <c r="K33" i="11"/>
  <c r="K34" i="11"/>
  <c r="O34" i="11" s="1"/>
  <c r="K35" i="11"/>
  <c r="K36" i="11"/>
  <c r="O36" i="11"/>
  <c r="K37" i="11"/>
  <c r="E50" i="11"/>
  <c r="F50" i="11"/>
  <c r="G50" i="11"/>
  <c r="H50" i="11"/>
  <c r="I50" i="11"/>
  <c r="J50" i="11"/>
  <c r="L50" i="11"/>
  <c r="M50" i="11"/>
  <c r="C51" i="11"/>
  <c r="C52" i="11"/>
  <c r="E55" i="11"/>
  <c r="F55" i="11"/>
  <c r="G55" i="11"/>
  <c r="H55" i="11"/>
  <c r="I55" i="11"/>
  <c r="J55" i="11"/>
  <c r="L55" i="11"/>
  <c r="M55" i="11"/>
  <c r="C56" i="11"/>
  <c r="C57" i="11"/>
  <c r="C58" i="11"/>
  <c r="E59" i="11"/>
  <c r="F59" i="11"/>
  <c r="G59" i="11"/>
  <c r="H59" i="11"/>
  <c r="I59" i="11"/>
  <c r="J59" i="11"/>
  <c r="L59" i="11"/>
  <c r="M59" i="11"/>
  <c r="C60" i="11"/>
  <c r="M7" i="10"/>
  <c r="D8" i="10"/>
  <c r="F8" i="10"/>
  <c r="G8" i="10"/>
  <c r="D16" i="10"/>
  <c r="F16" i="10"/>
  <c r="G16" i="10"/>
  <c r="E20" i="10"/>
  <c r="D24" i="10"/>
  <c r="F24" i="10"/>
  <c r="G24" i="10"/>
  <c r="D31" i="10"/>
  <c r="F31" i="10"/>
  <c r="G31" i="10"/>
  <c r="G40" i="10" s="1"/>
  <c r="G43" i="10" s="1"/>
  <c r="D44" i="10"/>
  <c r="F44" i="10"/>
  <c r="G44" i="10"/>
  <c r="G53" i="10" s="1"/>
  <c r="G57" i="10" s="1"/>
  <c r="D58" i="10"/>
  <c r="F58" i="10"/>
  <c r="G58" i="10"/>
  <c r="G67" i="10" s="1"/>
  <c r="G71" i="10" s="1"/>
  <c r="D72" i="10"/>
  <c r="F72" i="10"/>
  <c r="G72" i="10"/>
  <c r="G81" i="10" s="1"/>
  <c r="G85" i="10" s="1"/>
  <c r="D86" i="10"/>
  <c r="F86" i="10"/>
  <c r="G86" i="10"/>
  <c r="G93" i="10" s="1"/>
  <c r="G94" i="10" s="1"/>
  <c r="D95" i="10"/>
  <c r="F95" i="10"/>
  <c r="G95" i="10"/>
  <c r="G102" i="10" s="1"/>
  <c r="G103" i="10" s="1"/>
  <c r="C13" i="9"/>
  <c r="M13" i="9" s="1"/>
  <c r="N13" i="9"/>
  <c r="X13" i="9" s="1"/>
  <c r="C14" i="9"/>
  <c r="M14" i="9" s="1"/>
  <c r="N14" i="9"/>
  <c r="X14" i="9" s="1"/>
  <c r="C15" i="9"/>
  <c r="M15" i="9" s="1"/>
  <c r="N15" i="9"/>
  <c r="X15" i="9" s="1"/>
  <c r="C16" i="9"/>
  <c r="M16" i="9" s="1"/>
  <c r="N16" i="9"/>
  <c r="X16" i="9" s="1"/>
  <c r="C17" i="9"/>
  <c r="M17" i="9" s="1"/>
  <c r="N17" i="9"/>
  <c r="X17" i="9" s="1"/>
  <c r="C18" i="9"/>
  <c r="M18" i="9" s="1"/>
  <c r="N18" i="9"/>
  <c r="X18" i="9" s="1"/>
  <c r="C19" i="9"/>
  <c r="M19" i="9" s="1"/>
  <c r="N19" i="9"/>
  <c r="X19" i="9" s="1"/>
  <c r="C20" i="9"/>
  <c r="M20" i="9" s="1"/>
  <c r="N20" i="9"/>
  <c r="X20" i="9" s="1"/>
  <c r="C21" i="9"/>
  <c r="M21" i="9" s="1"/>
  <c r="N21" i="9"/>
  <c r="X21" i="9" s="1"/>
  <c r="C22" i="9"/>
  <c r="M22" i="9" s="1"/>
  <c r="N22" i="9"/>
  <c r="X22" i="9" s="1"/>
  <c r="M23" i="9"/>
  <c r="C25" i="9"/>
  <c r="M25" i="9" s="1"/>
  <c r="X25" i="9"/>
  <c r="C28" i="9"/>
  <c r="M28" i="9" s="1"/>
  <c r="N28" i="9"/>
  <c r="X28" i="9" s="1"/>
  <c r="C29" i="9"/>
  <c r="M29" i="9" s="1"/>
  <c r="N29" i="9"/>
  <c r="X29" i="9" s="1"/>
  <c r="C30" i="9"/>
  <c r="M30" i="9" s="1"/>
  <c r="N30" i="9"/>
  <c r="X30" i="9" s="1"/>
  <c r="C31" i="9"/>
  <c r="M31" i="9" s="1"/>
  <c r="N31" i="9"/>
  <c r="X31" i="9" s="1"/>
  <c r="C32" i="9"/>
  <c r="M32" i="9" s="1"/>
  <c r="N32" i="9"/>
  <c r="X32" i="9" s="1"/>
  <c r="C33" i="9"/>
  <c r="M33" i="9" s="1"/>
  <c r="N33" i="9"/>
  <c r="M34" i="9"/>
  <c r="X34" i="9"/>
  <c r="C35" i="9"/>
  <c r="N35" i="9"/>
  <c r="X35" i="9" s="1"/>
  <c r="M36" i="9"/>
  <c r="X36" i="9"/>
  <c r="C37" i="9"/>
  <c r="M37" i="9" s="1"/>
  <c r="N37" i="9"/>
  <c r="C38" i="9"/>
  <c r="M38" i="9" s="1"/>
  <c r="N38" i="9"/>
  <c r="X38" i="9" s="1"/>
  <c r="C39" i="9"/>
  <c r="M39" i="9" s="1"/>
  <c r="N39" i="9"/>
  <c r="X39" i="9" s="1"/>
  <c r="C41" i="9"/>
  <c r="N41" i="9"/>
  <c r="X41" i="9" s="1"/>
  <c r="D42" i="9"/>
  <c r="E42" i="9"/>
  <c r="F42" i="9"/>
  <c r="G42" i="9"/>
  <c r="H42" i="9"/>
  <c r="I42" i="9"/>
  <c r="J42" i="9"/>
  <c r="K42" i="9"/>
  <c r="L42" i="9"/>
  <c r="O42" i="9"/>
  <c r="P42" i="9"/>
  <c r="Q42" i="9"/>
  <c r="R42" i="9"/>
  <c r="S42" i="9"/>
  <c r="T42" i="9"/>
  <c r="V42" i="9"/>
  <c r="W42" i="9"/>
  <c r="Y42" i="9"/>
  <c r="Z42" i="9"/>
  <c r="AA42" i="9"/>
  <c r="AB42" i="9"/>
  <c r="AC42" i="9"/>
  <c r="AC44" i="9" s="1"/>
  <c r="W13" i="8"/>
  <c r="AH13" i="8" s="1"/>
  <c r="W14" i="8"/>
  <c r="AH14" i="8" s="1"/>
  <c r="W15" i="8"/>
  <c r="AH15" i="8" s="1"/>
  <c r="W16" i="8"/>
  <c r="AH16" i="8" s="1"/>
  <c r="C17" i="8"/>
  <c r="D17" i="8"/>
  <c r="E17" i="8"/>
  <c r="F17" i="8"/>
  <c r="C9" i="9" s="1"/>
  <c r="M9" i="9" s="1"/>
  <c r="G17" i="8"/>
  <c r="H17" i="8"/>
  <c r="I17" i="8"/>
  <c r="J17" i="8"/>
  <c r="L17" i="8"/>
  <c r="M17" i="8"/>
  <c r="N17" i="8"/>
  <c r="R17" i="8"/>
  <c r="S17" i="8"/>
  <c r="T17" i="8"/>
  <c r="V17" i="8"/>
  <c r="W19" i="8"/>
  <c r="AH19" i="8" s="1"/>
  <c r="W20" i="8"/>
  <c r="AH20" i="8" s="1"/>
  <c r="W21" i="8"/>
  <c r="AH21" i="8" s="1"/>
  <c r="W22" i="8"/>
  <c r="AH22" i="8" s="1"/>
  <c r="W23" i="8"/>
  <c r="AH23" i="8" s="1"/>
  <c r="W24" i="8"/>
  <c r="AH24" i="8" s="1"/>
  <c r="W25" i="8"/>
  <c r="AH25" i="8" s="1"/>
  <c r="W26" i="8"/>
  <c r="AH26" i="8" s="1"/>
  <c r="W27" i="8"/>
  <c r="AH27" i="8" s="1"/>
  <c r="W28" i="8"/>
  <c r="AH28" i="8" s="1"/>
  <c r="W29" i="8"/>
  <c r="AH29" i="8" s="1"/>
  <c r="C30" i="8"/>
  <c r="D30" i="8"/>
  <c r="E30" i="8"/>
  <c r="F30" i="8"/>
  <c r="C10" i="9" s="1"/>
  <c r="M10" i="9" s="1"/>
  <c r="G30" i="8"/>
  <c r="H30" i="8"/>
  <c r="N10" i="9" s="1"/>
  <c r="X10" i="9" s="1"/>
  <c r="I30" i="8"/>
  <c r="J30" i="8"/>
  <c r="L30" i="8"/>
  <c r="M30" i="8"/>
  <c r="N30" i="8"/>
  <c r="R30" i="8"/>
  <c r="S30" i="8"/>
  <c r="T30" i="8"/>
  <c r="V30" i="8"/>
  <c r="W33" i="8"/>
  <c r="AH33" i="8" s="1"/>
  <c r="W34" i="8"/>
  <c r="AH34" i="8" s="1"/>
  <c r="W35" i="8"/>
  <c r="AH35" i="8" s="1"/>
  <c r="W36" i="8"/>
  <c r="AH36" i="8" s="1"/>
  <c r="C37" i="8"/>
  <c r="D37" i="8"/>
  <c r="E37" i="8"/>
  <c r="F37" i="8"/>
  <c r="C11" i="9" s="1"/>
  <c r="M11" i="9" s="1"/>
  <c r="G37" i="8"/>
  <c r="H37" i="8"/>
  <c r="I37" i="8"/>
  <c r="J37" i="8"/>
  <c r="L37" i="8"/>
  <c r="M37" i="8"/>
  <c r="N37" i="8"/>
  <c r="R37" i="8"/>
  <c r="S37" i="8"/>
  <c r="T37" i="8"/>
  <c r="V37" i="8"/>
  <c r="W39" i="8"/>
  <c r="AH39" i="8" s="1"/>
  <c r="W40" i="8"/>
  <c r="AH40" i="8" s="1"/>
  <c r="W41" i="8"/>
  <c r="AH41" i="8" s="1"/>
  <c r="C42" i="8"/>
  <c r="D42" i="8"/>
  <c r="E42" i="8"/>
  <c r="F42" i="8"/>
  <c r="C12" i="9" s="1"/>
  <c r="M12" i="9" s="1"/>
  <c r="G42" i="8"/>
  <c r="H42" i="8"/>
  <c r="N12" i="9" s="1"/>
  <c r="X12" i="9" s="1"/>
  <c r="I42" i="8"/>
  <c r="J42" i="8"/>
  <c r="L42" i="8"/>
  <c r="M42" i="8"/>
  <c r="N42" i="8"/>
  <c r="R42" i="8"/>
  <c r="S42" i="8"/>
  <c r="T42" i="8"/>
  <c r="V42" i="8"/>
  <c r="W46" i="8"/>
  <c r="AH46" i="8" s="1"/>
  <c r="W47" i="8"/>
  <c r="AH47" i="8" s="1"/>
  <c r="W49" i="8"/>
  <c r="AH49" i="8" s="1"/>
  <c r="W50" i="8"/>
  <c r="AH50" i="8" s="1"/>
  <c r="C51" i="8"/>
  <c r="D51" i="8"/>
  <c r="E51" i="8"/>
  <c r="F51" i="8"/>
  <c r="G51" i="8"/>
  <c r="H51" i="8"/>
  <c r="I51" i="8"/>
  <c r="J51" i="8"/>
  <c r="L51" i="8"/>
  <c r="M51" i="8"/>
  <c r="N51" i="8"/>
  <c r="R51" i="8"/>
  <c r="AE49" i="8" s="1"/>
  <c r="S51" i="8"/>
  <c r="T51" i="8"/>
  <c r="V51" i="8"/>
  <c r="W53" i="8"/>
  <c r="AH53" i="8" s="1"/>
  <c r="W54" i="8"/>
  <c r="AH54" i="8" s="1"/>
  <c r="W55" i="8"/>
  <c r="AH55" i="8" s="1"/>
  <c r="W56" i="8"/>
  <c r="AH56" i="8" s="1"/>
  <c r="W57" i="8"/>
  <c r="AH57" i="8" s="1"/>
  <c r="C58" i="8"/>
  <c r="C67" i="8" s="1"/>
  <c r="D58" i="8"/>
  <c r="D67" i="8" s="1"/>
  <c r="E58" i="8"/>
  <c r="E67" i="8" s="1"/>
  <c r="F58" i="8"/>
  <c r="F67" i="8" s="1"/>
  <c r="G58" i="8"/>
  <c r="G67" i="8" s="1"/>
  <c r="H58" i="8"/>
  <c r="H67" i="8" s="1"/>
  <c r="I58" i="8"/>
  <c r="I67" i="8" s="1"/>
  <c r="J58" i="8"/>
  <c r="J67" i="8" s="1"/>
  <c r="L58" i="8"/>
  <c r="L67" i="8" s="1"/>
  <c r="M58" i="8"/>
  <c r="M67" i="8" s="1"/>
  <c r="N58" i="8"/>
  <c r="N67" i="8" s="1"/>
  <c r="R58" i="8"/>
  <c r="R67" i="8" s="1"/>
  <c r="S58" i="8"/>
  <c r="S67" i="8" s="1"/>
  <c r="T58" i="8"/>
  <c r="T67" i="8" s="1"/>
  <c r="V58" i="8"/>
  <c r="V67" i="8" s="1"/>
  <c r="W60" i="8"/>
  <c r="E86" i="10" s="1"/>
  <c r="W61" i="8"/>
  <c r="AH61" i="8" s="1"/>
  <c r="W64" i="8"/>
  <c r="AH64" i="8" s="1"/>
  <c r="W65" i="8"/>
  <c r="AH65" i="8" s="1"/>
  <c r="W66" i="8"/>
  <c r="AH66" i="8" s="1"/>
  <c r="W70" i="8"/>
  <c r="W71" i="8"/>
  <c r="AH71" i="8" s="1"/>
  <c r="W73" i="8"/>
  <c r="AH73" i="8" s="1"/>
  <c r="W74" i="8"/>
  <c r="AH74" i="8" s="1"/>
  <c r="W75" i="8"/>
  <c r="W76" i="8"/>
  <c r="AH76" i="8" s="1"/>
  <c r="C77" i="8"/>
  <c r="D77" i="8"/>
  <c r="E77" i="8"/>
  <c r="F77" i="8"/>
  <c r="G77" i="8"/>
  <c r="H77" i="8"/>
  <c r="I77" i="8"/>
  <c r="J77" i="8"/>
  <c r="L77" i="8"/>
  <c r="M77" i="8"/>
  <c r="N77" i="8"/>
  <c r="R77" i="8"/>
  <c r="S77" i="8"/>
  <c r="T77" i="8"/>
  <c r="V77" i="8"/>
  <c r="W79" i="8"/>
  <c r="AH79" i="8" s="1"/>
  <c r="W80" i="8"/>
  <c r="AH80" i="8" s="1"/>
  <c r="W81" i="8"/>
  <c r="AH81" i="8" s="1"/>
  <c r="W82" i="8"/>
  <c r="AH82" i="8" s="1"/>
  <c r="C83" i="8"/>
  <c r="D83" i="8"/>
  <c r="E83" i="8"/>
  <c r="F83" i="8"/>
  <c r="G83" i="8"/>
  <c r="H83" i="8"/>
  <c r="I83" i="8"/>
  <c r="J83" i="8"/>
  <c r="L83" i="8"/>
  <c r="M83" i="8"/>
  <c r="N83" i="8"/>
  <c r="R83" i="8"/>
  <c r="S83" i="8"/>
  <c r="T83" i="8"/>
  <c r="V83" i="8"/>
  <c r="W84" i="8"/>
  <c r="AH84" i="8" s="1"/>
  <c r="W87" i="8"/>
  <c r="AH87" i="8" s="1"/>
  <c r="W88" i="8"/>
  <c r="C89" i="8"/>
  <c r="D89" i="8"/>
  <c r="E89" i="8"/>
  <c r="F89" i="8"/>
  <c r="G89" i="8"/>
  <c r="H89" i="8"/>
  <c r="I89" i="8"/>
  <c r="J89" i="8"/>
  <c r="L89" i="8"/>
  <c r="M89" i="8"/>
  <c r="N89" i="8"/>
  <c r="R89" i="8"/>
  <c r="S89" i="8"/>
  <c r="T89" i="8"/>
  <c r="V89" i="8"/>
  <c r="W93" i="8"/>
  <c r="AH93" i="8" s="1"/>
  <c r="W94" i="8"/>
  <c r="AH94" i="8" s="1"/>
  <c r="W95" i="8"/>
  <c r="W96" i="8"/>
  <c r="AH96" i="8" s="1"/>
  <c r="C97" i="8"/>
  <c r="D97" i="8"/>
  <c r="E97" i="8"/>
  <c r="F97" i="8"/>
  <c r="G97" i="8"/>
  <c r="H97" i="8"/>
  <c r="I97" i="8"/>
  <c r="J97" i="8"/>
  <c r="L97" i="8"/>
  <c r="M97" i="8"/>
  <c r="N97" i="8"/>
  <c r="R97" i="8"/>
  <c r="S97" i="8"/>
  <c r="T97" i="8"/>
  <c r="V97" i="8"/>
  <c r="W99" i="8"/>
  <c r="AH99" i="8" s="1"/>
  <c r="W100" i="8"/>
  <c r="AH100" i="8" s="1"/>
  <c r="W101" i="8"/>
  <c r="AH101" i="8" s="1"/>
  <c r="C102" i="8"/>
  <c r="D102" i="8"/>
  <c r="E102" i="8"/>
  <c r="F102" i="8"/>
  <c r="G102" i="8"/>
  <c r="H102" i="8"/>
  <c r="I102" i="8"/>
  <c r="J102" i="8"/>
  <c r="L102" i="8"/>
  <c r="M102" i="8"/>
  <c r="N102" i="8"/>
  <c r="R102" i="8"/>
  <c r="S102" i="8"/>
  <c r="T102" i="8"/>
  <c r="V102" i="8"/>
  <c r="W104" i="8"/>
  <c r="AH104" i="8" s="1"/>
  <c r="W105" i="8"/>
  <c r="AH105" i="8" s="1"/>
  <c r="W106" i="8"/>
  <c r="AH106" i="8" s="1"/>
  <c r="W107" i="8"/>
  <c r="AH107" i="8" s="1"/>
  <c r="C108" i="8"/>
  <c r="D108" i="8"/>
  <c r="E108" i="8"/>
  <c r="F108" i="8"/>
  <c r="G108" i="8"/>
  <c r="H108" i="8"/>
  <c r="I108" i="8"/>
  <c r="J108" i="8"/>
  <c r="L108" i="8"/>
  <c r="M108" i="8"/>
  <c r="N108" i="8"/>
  <c r="R108" i="8"/>
  <c r="S108" i="8"/>
  <c r="T108" i="8"/>
  <c r="V108" i="8"/>
  <c r="P111" i="8"/>
  <c r="W111" i="8"/>
  <c r="P112" i="8"/>
  <c r="M114" i="8"/>
  <c r="C15" i="7"/>
  <c r="D15" i="7"/>
  <c r="F15" i="7"/>
  <c r="C33" i="7"/>
  <c r="D33" i="7"/>
  <c r="E33" i="7"/>
  <c r="F33" i="7"/>
  <c r="C40" i="7"/>
  <c r="C41" i="7" s="1"/>
  <c r="D40" i="7"/>
  <c r="D41" i="7" s="1"/>
  <c r="E40" i="7"/>
  <c r="E41" i="7" s="1"/>
  <c r="F40" i="7"/>
  <c r="F41" i="7" s="1"/>
  <c r="C47" i="7"/>
  <c r="D47" i="7"/>
  <c r="E47" i="7"/>
  <c r="F47" i="7"/>
  <c r="C54" i="7"/>
  <c r="D54" i="7"/>
  <c r="E54" i="7"/>
  <c r="F54" i="7"/>
  <c r="F64" i="7" s="1"/>
  <c r="C58" i="7"/>
  <c r="D58" i="7"/>
  <c r="E58" i="7"/>
  <c r="F58" i="7"/>
  <c r="C63" i="7"/>
  <c r="D63" i="7"/>
  <c r="E63" i="7"/>
  <c r="F63" i="7"/>
  <c r="D12" i="4"/>
  <c r="M12" i="4" s="1"/>
  <c r="N12" i="4"/>
  <c r="D17" i="4"/>
  <c r="E15" i="7" s="1"/>
  <c r="N17" i="4"/>
  <c r="E18" i="4"/>
  <c r="M19" i="4"/>
  <c r="N19" i="4"/>
  <c r="F32" i="4"/>
  <c r="M63" i="4"/>
  <c r="D74" i="4"/>
  <c r="M74" i="4" s="1"/>
  <c r="N74" i="4"/>
  <c r="N82" i="4"/>
  <c r="M83" i="4"/>
  <c r="N83" i="4"/>
  <c r="N84" i="4"/>
  <c r="M85" i="4"/>
  <c r="N85" i="4"/>
  <c r="M86" i="4"/>
  <c r="N86" i="4"/>
  <c r="D87" i="4"/>
  <c r="E87" i="4"/>
  <c r="E43" i="8"/>
  <c r="N9" i="9"/>
  <c r="X9" i="9" s="1"/>
  <c r="M35" i="9"/>
  <c r="M95" i="10"/>
  <c r="K34" i="12"/>
  <c r="H26" i="12"/>
  <c r="K26" i="12" s="1"/>
  <c r="E95" i="10"/>
  <c r="C82" i="7"/>
  <c r="K16" i="12"/>
  <c r="E75" i="4"/>
  <c r="M58" i="10" l="1"/>
  <c r="E93" i="10"/>
  <c r="AH60" i="8"/>
  <c r="E102" i="10"/>
  <c r="E103" i="10" s="1"/>
  <c r="E44" i="10"/>
  <c r="E53" i="10" s="1"/>
  <c r="E57" i="10" s="1"/>
  <c r="D49" i="7"/>
  <c r="C49" i="7"/>
  <c r="F49" i="7"/>
  <c r="F66" i="7" s="1"/>
  <c r="F26" i="4"/>
  <c r="D33" i="4"/>
  <c r="I43" i="8"/>
  <c r="S85" i="8"/>
  <c r="H43" i="8"/>
  <c r="G43" i="8"/>
  <c r="M43" i="8"/>
  <c r="D43" i="8"/>
  <c r="T43" i="8"/>
  <c r="V109" i="8"/>
  <c r="N11" i="9"/>
  <c r="X11" i="9" s="1"/>
  <c r="R109" i="8"/>
  <c r="F109" i="8"/>
  <c r="C40" i="9" s="1"/>
  <c r="C42" i="9" s="1"/>
  <c r="N43" i="8"/>
  <c r="T109" i="8"/>
  <c r="AE48" i="8"/>
  <c r="N85" i="8"/>
  <c r="E85" i="8"/>
  <c r="AH70" i="8"/>
  <c r="O35" i="11"/>
  <c r="G19" i="12"/>
  <c r="G31" i="12"/>
  <c r="S68" i="8"/>
  <c r="M109" i="8"/>
  <c r="D109" i="8"/>
  <c r="M72" i="10"/>
  <c r="E58" i="10"/>
  <c r="W102" i="8"/>
  <c r="E49" i="7"/>
  <c r="V43" i="8"/>
  <c r="M68" i="8"/>
  <c r="C55" i="11"/>
  <c r="E34" i="4"/>
  <c r="F12" i="4"/>
  <c r="M17" i="4"/>
  <c r="E24" i="10"/>
  <c r="F43" i="8"/>
  <c r="H85" i="8"/>
  <c r="AE80" i="8" s="1"/>
  <c r="L85" i="8"/>
  <c r="G85" i="8"/>
  <c r="F68" i="8"/>
  <c r="E72" i="10"/>
  <c r="H109" i="8"/>
  <c r="N40" i="9" s="1"/>
  <c r="X40" i="9" s="1"/>
  <c r="L68" i="8"/>
  <c r="G68" i="8"/>
  <c r="T85" i="8"/>
  <c r="R68" i="8"/>
  <c r="C43" i="8"/>
  <c r="W42" i="8"/>
  <c r="AH42" i="8" s="1"/>
  <c r="G109" i="8"/>
  <c r="E8" i="10"/>
  <c r="W17" i="8"/>
  <c r="AH17" i="8" s="1"/>
  <c r="E16" i="10"/>
  <c r="X37" i="9"/>
  <c r="W108" i="8"/>
  <c r="J109" i="8"/>
  <c r="R85" i="8"/>
  <c r="J85" i="8"/>
  <c r="J68" i="8"/>
  <c r="D68" i="8"/>
  <c r="S43" i="8"/>
  <c r="L43" i="8"/>
  <c r="D31" i="12"/>
  <c r="E94" i="10"/>
  <c r="E31" i="12"/>
  <c r="W77" i="8"/>
  <c r="AH77" i="8" s="1"/>
  <c r="O18" i="11"/>
  <c r="I12" i="17"/>
  <c r="C13" i="17"/>
  <c r="I49" i="17"/>
  <c r="D12" i="17"/>
  <c r="I48" i="17"/>
  <c r="I54" i="17"/>
  <c r="I53" i="17"/>
  <c r="C85" i="8"/>
  <c r="L62" i="4"/>
  <c r="L63" i="4"/>
  <c r="D75" i="4"/>
  <c r="F17" i="4"/>
  <c r="F31" i="12"/>
  <c r="C64" i="7"/>
  <c r="C66" i="7" s="1"/>
  <c r="O28" i="11"/>
  <c r="O24" i="11"/>
  <c r="O33" i="11"/>
  <c r="M86" i="10"/>
  <c r="M101" i="10" s="1"/>
  <c r="K14" i="12"/>
  <c r="K13" i="12"/>
  <c r="L43" i="9"/>
  <c r="M44" i="10"/>
  <c r="W51" i="8"/>
  <c r="AH51" i="8" s="1"/>
  <c r="O23" i="11"/>
  <c r="O25" i="11"/>
  <c r="E68" i="8"/>
  <c r="E90" i="8" s="1"/>
  <c r="W58" i="8"/>
  <c r="E31" i="10"/>
  <c r="M31" i="10"/>
  <c r="I85" i="8"/>
  <c r="AH75" i="8"/>
  <c r="F85" i="8"/>
  <c r="AE79" i="8" s="1"/>
  <c r="Z44" i="9"/>
  <c r="AA44" i="9"/>
  <c r="X33" i="9"/>
  <c r="G27" i="12"/>
  <c r="M44" i="9"/>
  <c r="M87" i="4"/>
  <c r="I117" i="8"/>
  <c r="N87" i="4"/>
  <c r="M33" i="4"/>
  <c r="L109" i="8"/>
  <c r="I68" i="8"/>
  <c r="Y44" i="9"/>
  <c r="H18" i="12"/>
  <c r="K18" i="12" s="1"/>
  <c r="S109" i="8"/>
  <c r="D85" i="8"/>
  <c r="V68" i="8"/>
  <c r="N68" i="8"/>
  <c r="N90" i="8" s="1"/>
  <c r="W37" i="8"/>
  <c r="AH37" i="8" s="1"/>
  <c r="AB44" i="9"/>
  <c r="D18" i="4"/>
  <c r="E64" i="7"/>
  <c r="E109" i="8"/>
  <c r="V85" i="8"/>
  <c r="T68" i="8"/>
  <c r="T90" i="8" s="1"/>
  <c r="H68" i="8"/>
  <c r="C68" i="8"/>
  <c r="R43" i="8"/>
  <c r="J43" i="8"/>
  <c r="C109" i="8"/>
  <c r="M85" i="8"/>
  <c r="D64" i="7"/>
  <c r="D66" i="7" s="1"/>
  <c r="N109" i="8"/>
  <c r="AH88" i="8"/>
  <c r="W89" i="8"/>
  <c r="AH89" i="8" s="1"/>
  <c r="I109" i="8"/>
  <c r="AH95" i="8"/>
  <c r="AH97" i="8" s="1"/>
  <c r="W97" i="8"/>
  <c r="C59" i="11"/>
  <c r="W83" i="8"/>
  <c r="AH108" i="8"/>
  <c r="AH102" i="8"/>
  <c r="W30" i="8"/>
  <c r="E81" i="10" l="1"/>
  <c r="E85" i="10" s="1"/>
  <c r="N42" i="9"/>
  <c r="M40" i="9"/>
  <c r="M43" i="9" s="1"/>
  <c r="E40" i="10"/>
  <c r="E43" i="10" s="1"/>
  <c r="E67" i="10"/>
  <c r="E71" i="10" s="1"/>
  <c r="W43" i="8"/>
  <c r="E66" i="7"/>
  <c r="W67" i="8"/>
  <c r="AH67" i="8" s="1"/>
  <c r="D90" i="8"/>
  <c r="D110" i="8" s="1"/>
  <c r="D113" i="8" s="1"/>
  <c r="I90" i="8"/>
  <c r="S90" i="8"/>
  <c r="S110" i="8" s="1"/>
  <c r="S113" i="8" s="1"/>
  <c r="R90" i="8"/>
  <c r="R110" i="8" s="1"/>
  <c r="R113" i="8" s="1"/>
  <c r="H90" i="8"/>
  <c r="H110" i="8" s="1"/>
  <c r="H113" i="8" s="1"/>
  <c r="T110" i="8"/>
  <c r="T113" i="8" s="1"/>
  <c r="X42" i="9"/>
  <c r="X43" i="9" s="1"/>
  <c r="AH43" i="8"/>
  <c r="M90" i="8"/>
  <c r="M110" i="8" s="1"/>
  <c r="M113" i="8" s="1"/>
  <c r="L90" i="8"/>
  <c r="L110" i="8" s="1"/>
  <c r="I55" i="17"/>
  <c r="G90" i="8"/>
  <c r="G110" i="8" s="1"/>
  <c r="G113" i="8" s="1"/>
  <c r="C16" i="17"/>
  <c r="I50" i="17" s="1"/>
  <c r="I13" i="17"/>
  <c r="E110" i="8"/>
  <c r="E113" i="8" s="1"/>
  <c r="J90" i="8"/>
  <c r="J110" i="8" s="1"/>
  <c r="J113" i="8" s="1"/>
  <c r="V90" i="8"/>
  <c r="V110" i="8" s="1"/>
  <c r="F90" i="8"/>
  <c r="F110" i="8" s="1"/>
  <c r="F113" i="8" s="1"/>
  <c r="C90" i="8"/>
  <c r="C110" i="8" s="1"/>
  <c r="C113" i="8" s="1"/>
  <c r="N110" i="8"/>
  <c r="N113" i="8" s="1"/>
  <c r="I119" i="8" s="1"/>
  <c r="I120" i="8" s="1"/>
  <c r="W109" i="8"/>
  <c r="AH109" i="8" s="1"/>
  <c r="J12" i="17"/>
  <c r="D13" i="17"/>
  <c r="J48" i="17"/>
  <c r="J49" i="17"/>
  <c r="AH58" i="8"/>
  <c r="AH68" i="8" s="1"/>
  <c r="D34" i="4"/>
  <c r="AH83" i="8"/>
  <c r="AH85" i="8" s="1"/>
  <c r="W85" i="8"/>
  <c r="I110" i="8"/>
  <c r="I113" i="8" s="1"/>
  <c r="AH30" i="8"/>
  <c r="D61" i="11"/>
  <c r="W68" i="8" l="1"/>
  <c r="P62" i="8"/>
  <c r="D110" i="10"/>
  <c r="P48" i="8"/>
  <c r="L113" i="8"/>
  <c r="P115" i="8" s="1"/>
  <c r="W90" i="8"/>
  <c r="W110" i="8" s="1"/>
  <c r="P116" i="8"/>
  <c r="I16" i="17"/>
  <c r="C18" i="17"/>
  <c r="D16" i="17"/>
  <c r="J16" i="17" s="1"/>
  <c r="J13" i="17"/>
  <c r="AE92" i="8"/>
  <c r="AH90" i="8"/>
  <c r="AH110" i="8" s="1"/>
  <c r="P82" i="8"/>
  <c r="P40" i="8"/>
  <c r="P28" i="8"/>
  <c r="P84" i="8"/>
  <c r="P101" i="8"/>
  <c r="P65" i="8"/>
  <c r="P74" i="8"/>
  <c r="P26" i="8"/>
  <c r="P81" i="8"/>
  <c r="P80" i="8"/>
  <c r="P27" i="8"/>
  <c r="P21" i="8"/>
  <c r="P15" i="8"/>
  <c r="P79" i="8"/>
  <c r="P94" i="8"/>
  <c r="P47" i="8"/>
  <c r="C8" i="10" s="1"/>
  <c r="D11" i="10" s="1"/>
  <c r="P71" i="8"/>
  <c r="P95" i="8"/>
  <c r="P24" i="8"/>
  <c r="P29" i="8"/>
  <c r="P76" i="8"/>
  <c r="P105" i="8"/>
  <c r="P50" i="8"/>
  <c r="P23" i="8"/>
  <c r="P64" i="8"/>
  <c r="P16" i="8"/>
  <c r="P49" i="8"/>
  <c r="O83" i="8"/>
  <c r="P20" i="8"/>
  <c r="P96" i="8"/>
  <c r="P36" i="8"/>
  <c r="P14" i="8"/>
  <c r="P100" i="8"/>
  <c r="P107" i="8"/>
  <c r="P41" i="8"/>
  <c r="P34" i="8"/>
  <c r="P66" i="8"/>
  <c r="P35" i="8"/>
  <c r="P25" i="8"/>
  <c r="P88" i="8"/>
  <c r="Z88" i="8" s="1"/>
  <c r="P22" i="8"/>
  <c r="P106" i="8"/>
  <c r="V112" i="8"/>
  <c r="D108" i="10" l="1"/>
  <c r="C30" i="17"/>
  <c r="D46" i="4"/>
  <c r="C22" i="11"/>
  <c r="P60" i="8"/>
  <c r="D92" i="10"/>
  <c r="P57" i="8"/>
  <c r="D80" i="10"/>
  <c r="P56" i="8"/>
  <c r="D66" i="10"/>
  <c r="P61" i="8"/>
  <c r="D101" i="10"/>
  <c r="P55" i="8"/>
  <c r="D52" i="10"/>
  <c r="P54" i="8"/>
  <c r="J50" i="17"/>
  <c r="D18" i="17"/>
  <c r="E46" i="4" s="1"/>
  <c r="E48" i="4" s="1"/>
  <c r="I19" i="17"/>
  <c r="I51" i="17"/>
  <c r="C36" i="17"/>
  <c r="I30" i="17"/>
  <c r="P75" i="8"/>
  <c r="AA88" i="8"/>
  <c r="P87" i="8"/>
  <c r="Z87" i="8" s="1"/>
  <c r="O89" i="8"/>
  <c r="Z80" i="8"/>
  <c r="AA80" i="8"/>
  <c r="AC80" i="8" s="1"/>
  <c r="C21" i="12"/>
  <c r="P53" i="8"/>
  <c r="O58" i="8"/>
  <c r="O67" i="8" s="1"/>
  <c r="P13" i="8"/>
  <c r="O17" i="8"/>
  <c r="O108" i="8"/>
  <c r="P104" i="8"/>
  <c r="P39" i="8"/>
  <c r="O42" i="8"/>
  <c r="P42" i="8" s="1"/>
  <c r="C16" i="10"/>
  <c r="D19" i="10" s="1"/>
  <c r="O97" i="8"/>
  <c r="P93" i="8"/>
  <c r="AA81" i="8"/>
  <c r="Z81" i="8"/>
  <c r="C29" i="12"/>
  <c r="C32" i="12"/>
  <c r="Z84" i="8"/>
  <c r="AA84" i="8"/>
  <c r="AC84" i="8" s="1"/>
  <c r="Z79" i="8"/>
  <c r="AA79" i="8"/>
  <c r="AC79" i="8" s="1"/>
  <c r="P83" i="8"/>
  <c r="C12" i="12"/>
  <c r="P99" i="8"/>
  <c r="O102" i="8"/>
  <c r="Z36" i="8"/>
  <c r="AA36" i="8"/>
  <c r="P73" i="8"/>
  <c r="O77" i="8"/>
  <c r="O85" i="8" s="1"/>
  <c r="P46" i="8"/>
  <c r="O51" i="8"/>
  <c r="O30" i="8"/>
  <c r="P19" i="8"/>
  <c r="Z82" i="8"/>
  <c r="AA82" i="8"/>
  <c r="AC82" i="8" s="1"/>
  <c r="C30" i="12"/>
  <c r="W112" i="8"/>
  <c r="W113" i="8" s="1"/>
  <c r="V113" i="8"/>
  <c r="W116" i="8" s="1"/>
  <c r="P33" i="8"/>
  <c r="O37" i="8"/>
  <c r="Z76" i="8"/>
  <c r="AA76" i="8"/>
  <c r="AC76" i="8" s="1"/>
  <c r="AA74" i="8"/>
  <c r="AC74" i="8" s="1"/>
  <c r="Z74" i="8"/>
  <c r="P70" i="8"/>
  <c r="N80" i="4" l="1"/>
  <c r="N79" i="4"/>
  <c r="D37" i="17"/>
  <c r="D38" i="17"/>
  <c r="C40" i="17"/>
  <c r="N48" i="4"/>
  <c r="E76" i="4"/>
  <c r="D48" i="4"/>
  <c r="C12" i="11"/>
  <c r="R16" i="11" s="1"/>
  <c r="C86" i="10"/>
  <c r="D90" i="10" s="1"/>
  <c r="C44" i="10"/>
  <c r="C58" i="10"/>
  <c r="C31" i="10"/>
  <c r="J51" i="17"/>
  <c r="J19" i="17"/>
  <c r="C95" i="10"/>
  <c r="D99" i="10" s="1"/>
  <c r="C72" i="10"/>
  <c r="AC88" i="8"/>
  <c r="AA75" i="8"/>
  <c r="C32" i="11"/>
  <c r="Z75" i="8"/>
  <c r="O43" i="8"/>
  <c r="O68" i="8"/>
  <c r="H30" i="12"/>
  <c r="K30" i="12" s="1"/>
  <c r="P30" i="8"/>
  <c r="P51" i="8"/>
  <c r="Z73" i="8"/>
  <c r="AA73" i="8"/>
  <c r="P77" i="8"/>
  <c r="P85" i="8" s="1"/>
  <c r="AC36" i="8"/>
  <c r="H29" i="12"/>
  <c r="K29" i="12" s="1"/>
  <c r="P97" i="8"/>
  <c r="AA87" i="8"/>
  <c r="P89" i="8"/>
  <c r="P37" i="8"/>
  <c r="P102" i="8"/>
  <c r="C31" i="12"/>
  <c r="H12" i="12"/>
  <c r="K12" i="12" s="1"/>
  <c r="O109" i="8"/>
  <c r="Z42" i="8"/>
  <c r="AA42" i="8"/>
  <c r="P17" i="8"/>
  <c r="P58" i="8"/>
  <c r="P67" i="8" s="1"/>
  <c r="C24" i="10"/>
  <c r="D27" i="10" s="1"/>
  <c r="K22" i="11"/>
  <c r="L22" i="11"/>
  <c r="W121" i="8"/>
  <c r="C9" i="10"/>
  <c r="AA83" i="8"/>
  <c r="Z83" i="8"/>
  <c r="H32" i="12"/>
  <c r="AC81" i="8"/>
  <c r="C17" i="10"/>
  <c r="P108" i="8"/>
  <c r="H21" i="12"/>
  <c r="K21" i="12" s="1"/>
  <c r="M18" i="10" l="1"/>
  <c r="M23" i="10"/>
  <c r="AC83" i="8"/>
  <c r="AE86" i="8"/>
  <c r="AE83" i="8"/>
  <c r="AE84" i="8"/>
  <c r="M80" i="4"/>
  <c r="M79" i="4"/>
  <c r="D76" i="4"/>
  <c r="I40" i="17"/>
  <c r="M48" i="4"/>
  <c r="C111" i="10"/>
  <c r="C112" i="10" s="1"/>
  <c r="D50" i="10"/>
  <c r="D48" i="10"/>
  <c r="D35" i="10"/>
  <c r="D37" i="10"/>
  <c r="D78" i="10"/>
  <c r="D76" i="10"/>
  <c r="D62" i="10"/>
  <c r="D64" i="10"/>
  <c r="C93" i="10"/>
  <c r="C94" i="10" s="1"/>
  <c r="C53" i="10"/>
  <c r="C57" i="10" s="1"/>
  <c r="C81" i="10"/>
  <c r="C85" i="10" s="1"/>
  <c r="C67" i="10"/>
  <c r="C71" i="10" s="1"/>
  <c r="C102" i="10"/>
  <c r="C103" i="10" s="1"/>
  <c r="C40" i="10"/>
  <c r="C43" i="10" s="1"/>
  <c r="M15" i="10"/>
  <c r="M10" i="10"/>
  <c r="H43" i="11"/>
  <c r="AC78" i="8"/>
  <c r="AC75" i="8"/>
  <c r="K32" i="12"/>
  <c r="L32" i="11"/>
  <c r="AC87" i="8"/>
  <c r="K32" i="11"/>
  <c r="O90" i="8"/>
  <c r="O110" i="8" s="1"/>
  <c r="O113" i="8" s="1"/>
  <c r="P117" i="8" s="1"/>
  <c r="Z89" i="8"/>
  <c r="AA89" i="8"/>
  <c r="C25" i="10"/>
  <c r="K12" i="11"/>
  <c r="L12" i="11"/>
  <c r="AC42" i="8"/>
  <c r="Z37" i="8"/>
  <c r="P43" i="8"/>
  <c r="P109" i="8"/>
  <c r="Z77" i="8"/>
  <c r="Z30" i="8"/>
  <c r="AA30" i="8"/>
  <c r="Z17" i="8"/>
  <c r="H31" i="12"/>
  <c r="K31" i="12" s="1"/>
  <c r="AE72" i="8"/>
  <c r="AC73" i="8"/>
  <c r="Z51" i="8"/>
  <c r="M26" i="10" l="1"/>
  <c r="I44" i="17"/>
  <c r="P68" i="8"/>
  <c r="O32" i="11"/>
  <c r="AA37" i="8"/>
  <c r="AA77" i="8"/>
  <c r="AE74" i="8"/>
  <c r="Z67" i="8"/>
  <c r="AA67" i="8"/>
  <c r="AA17" i="8"/>
  <c r="AC89" i="8"/>
  <c r="AE30" i="8"/>
  <c r="AE31" i="8"/>
  <c r="AC30" i="8"/>
  <c r="AA51" i="8"/>
  <c r="AA109" i="8"/>
  <c r="Z109" i="8"/>
  <c r="P90" i="8" l="1"/>
  <c r="AC37" i="8"/>
  <c r="P110" i="8"/>
  <c r="Z90" i="8"/>
  <c r="Z110" i="8" s="1"/>
  <c r="AC17" i="8"/>
  <c r="AA90" i="8"/>
  <c r="AE85" i="8" s="1"/>
  <c r="AC77" i="8"/>
  <c r="AE78" i="8"/>
  <c r="AE77" i="8"/>
  <c r="AC67" i="8"/>
  <c r="AE67" i="8"/>
  <c r="AE68" i="8"/>
  <c r="AE51" i="8"/>
  <c r="AE52" i="8"/>
  <c r="AC51" i="8"/>
  <c r="AE109" i="8"/>
  <c r="AE110" i="8"/>
  <c r="AC109" i="8"/>
  <c r="P113" i="8" l="1"/>
  <c r="P124" i="8"/>
  <c r="AC90" i="8"/>
  <c r="AE90" i="8"/>
  <c r="AE91" i="8"/>
  <c r="AA110" i="8"/>
  <c r="AE93" i="8"/>
  <c r="P30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Hallbäck Ismael D/INS/ES-Ö</author>
    <author>Jakupi Edona D/INS/OFS-Ö</author>
    <author>Siegrist Elisabeth DFO/OU-Ö</author>
    <author>Engblom Linnea D/INS/OFS-Ö</author>
  </authors>
  <commentList>
    <comment ref="C48" authorId="0" shapeId="0" xr:uid="{AB94AD7A-7E3C-44AF-B9C1-EC738D9ABD20}">
      <text>
        <r>
          <rPr>
            <b/>
            <sz val="9"/>
            <color indexed="81"/>
            <rFont val="Tahoma"/>
            <family val="2"/>
          </rPr>
          <t xml:space="preserve">SCB:
</t>
        </r>
        <r>
          <rPr>
            <sz val="9"/>
            <color indexed="81"/>
            <rFont val="Tahoma"/>
            <family val="2"/>
          </rPr>
          <t xml:space="preserve">Namnändring, tidigare Eget kapital, utgående värde
</t>
        </r>
      </text>
    </comment>
    <comment ref="C56" authorId="1" shapeId="0" xr:uid="{CDE7A489-1C7B-469B-AAAC-72365F61EB11}">
      <text>
        <r>
          <rPr>
            <b/>
            <sz val="9"/>
            <color indexed="81"/>
            <rFont val="Tahoma"/>
            <family val="2"/>
          </rPr>
          <t xml:space="preserve">SCB: </t>
        </r>
        <r>
          <rPr>
            <sz val="9"/>
            <color indexed="81"/>
            <rFont val="Tahoma"/>
            <family val="2"/>
          </rPr>
          <t>Nytt kontonamn tidigare Obligations- och förlagslån</t>
        </r>
        <r>
          <rPr>
            <b/>
            <sz val="9"/>
            <color indexed="81"/>
            <rFont val="Tahoma"/>
            <family val="2"/>
          </rPr>
          <t xml:space="preserve">
</t>
        </r>
      </text>
    </comment>
    <comment ref="H56" authorId="1" shapeId="0" xr:uid="{6DDB7BA0-0025-42E6-B592-9E8F693EACAC}">
      <text>
        <r>
          <rPr>
            <b/>
            <sz val="9"/>
            <color indexed="81"/>
            <rFont val="Tahoma"/>
            <family val="2"/>
          </rPr>
          <t xml:space="preserve">SCB: </t>
        </r>
        <r>
          <rPr>
            <sz val="9"/>
            <color indexed="81"/>
            <rFont val="Tahoma"/>
            <family val="2"/>
          </rPr>
          <t>Nytt konto från och med 2024, var tidigare del av 228.</t>
        </r>
        <r>
          <rPr>
            <b/>
            <sz val="9"/>
            <color indexed="81"/>
            <rFont val="Tahoma"/>
            <family val="2"/>
          </rPr>
          <t xml:space="preserve">
</t>
        </r>
        <r>
          <rPr>
            <sz val="9"/>
            <color indexed="81"/>
            <rFont val="Tahoma"/>
            <family val="2"/>
          </rPr>
          <t xml:space="preserve">
</t>
        </r>
      </text>
    </comment>
    <comment ref="I62" authorId="2" shapeId="0" xr:uid="{00000000-0006-0000-0200-00001A000000}">
      <text>
        <r>
          <rPr>
            <b/>
            <sz val="9"/>
            <color indexed="81"/>
            <rFont val="Tahoma"/>
            <family val="2"/>
          </rPr>
          <t xml:space="preserve">SCB:
</t>
        </r>
        <r>
          <rPr>
            <sz val="9"/>
            <color indexed="81"/>
            <rFont val="Tahoma"/>
            <family val="2"/>
          </rPr>
          <t>Avser den delen av långfristiga skulder som är nyupptagna lån, dvs. lån som tagits under det aktuella året.</t>
        </r>
        <r>
          <rPr>
            <b/>
            <sz val="9"/>
            <color indexed="81"/>
            <rFont val="Tahoma"/>
            <family val="2"/>
          </rPr>
          <t xml:space="preserve">
</t>
        </r>
      </text>
    </comment>
    <comment ref="C84" authorId="3" shapeId="0" xr:uid="{2E4127F8-574F-4193-812B-9DAF7D3E7C72}">
      <text>
        <r>
          <rPr>
            <b/>
            <sz val="9"/>
            <color indexed="81"/>
            <rFont val="Tahoma"/>
            <family val="2"/>
          </rPr>
          <t xml:space="preserve">SCB: </t>
        </r>
        <r>
          <rPr>
            <sz val="8"/>
            <color indexed="81"/>
            <rFont val="Tahoma"/>
            <family val="2"/>
          </rPr>
          <t>Här ingår även stiftelser</t>
        </r>
        <r>
          <rPr>
            <sz val="9"/>
            <color indexed="81"/>
            <rFont val="Tahoma"/>
            <family val="2"/>
          </rPr>
          <t xml:space="preserve">
</t>
        </r>
      </text>
    </comment>
    <comment ref="I87" authorId="2" shapeId="0" xr:uid="{00000000-0006-0000-0200-00001E000000}">
      <text>
        <r>
          <rPr>
            <b/>
            <sz val="9"/>
            <color indexed="81"/>
            <rFont val="Tahoma"/>
            <family val="2"/>
          </rPr>
          <t xml:space="preserve">SCB:
</t>
        </r>
        <r>
          <rPr>
            <sz val="8"/>
            <color indexed="81"/>
            <rFont val="Tahoma"/>
            <family val="2"/>
          </rPr>
          <t>Rad 161 är en därav-rad till summan av ansvarsförbindelser och avser borgensåtaganden för tagna lån i kreditinstitut och banker.</t>
        </r>
        <r>
          <rPr>
            <sz val="9"/>
            <color indexed="81"/>
            <rFont val="Tahoma"/>
            <family val="2"/>
          </rPr>
          <t xml:space="preserve">
</t>
        </r>
      </text>
    </comment>
    <comment ref="I88" authorId="2" shapeId="0" xr:uid="{00000000-0006-0000-0200-000020000000}">
      <text>
        <r>
          <rPr>
            <b/>
            <sz val="9"/>
            <color indexed="81"/>
            <rFont val="Tahoma"/>
            <family val="2"/>
          </rPr>
          <t>SCB:</t>
        </r>
        <r>
          <rPr>
            <sz val="9"/>
            <color indexed="81"/>
            <rFont val="Tahoma"/>
            <family val="2"/>
          </rPr>
          <t xml:space="preserve">
</t>
        </r>
        <r>
          <rPr>
            <sz val="8"/>
            <color indexed="81"/>
            <rFont val="Tahoma"/>
            <family val="2"/>
          </rPr>
          <t xml:space="preserve">Rad 162 är varav-rad till rad 161. Avser borgensåtaganden för bostadsstiftelser och andra icke-finansiella företag där kommunen ensam eller tillsammans med annan kommun, landsting eller staten (eller en kombination av dessa) äger minst 50 % av aktie- eller andelskapitalet. Avser även dotterbolag till kommunägda företag.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scbingj</author>
    <author>Siegrist Elisabeth DFO/OU-Ö</author>
    <author>Jakupi Edona D/INS/OFS-Ö</author>
  </authors>
  <commentList>
    <comment ref="C21" authorId="0" shapeId="0" xr:uid="{00000000-0006-0000-0300-000005000000}">
      <text>
        <r>
          <rPr>
            <b/>
            <sz val="8"/>
            <color indexed="81"/>
            <rFont val="Tahoma"/>
            <family val="2"/>
          </rPr>
          <t xml:space="preserve">SCB:
</t>
        </r>
        <r>
          <rPr>
            <sz val="8"/>
            <color indexed="81"/>
            <rFont val="Tahoma"/>
            <family val="2"/>
          </rPr>
          <t>Grönt fält används för beräkning av utjämning av LSS-kostnader mellan kommuner.
Beloppet är även länkad till avdelning Äldre och personer med funktionsnedsättning.
Ersättning från Försäkringskassan ska innehålla alla inbetalningar som kommunen erhållit under året, även sk. slutavräkning från tidigare år ska ingå.</t>
        </r>
      </text>
    </comment>
    <comment ref="D21" authorId="1" shapeId="0" xr:uid="{00000000-0006-0000-0300-000006000000}">
      <text>
        <r>
          <rPr>
            <b/>
            <sz val="9"/>
            <color indexed="81"/>
            <rFont val="Tahoma"/>
            <family val="2"/>
          </rPr>
          <t xml:space="preserve">SCB:
</t>
        </r>
        <r>
          <rPr>
            <b/>
            <sz val="8"/>
            <color indexed="10"/>
            <rFont val="Tahoma"/>
            <family val="2"/>
          </rPr>
          <t>OBS! Ang. ersättning från FK via privat utförare:</t>
        </r>
        <r>
          <rPr>
            <b/>
            <sz val="9"/>
            <color indexed="81"/>
            <rFont val="Tahoma"/>
            <family val="2"/>
          </rPr>
          <t xml:space="preserve">
</t>
        </r>
        <r>
          <rPr>
            <sz val="8"/>
            <color indexed="81"/>
            <rFont val="Tahoma"/>
            <family val="2"/>
          </rPr>
          <t>Rättsläget har förändrats för ersättningar avseende retroaktiva beslut som Försäkringskassan (FK) fattar när det gäller personlig assistans. Det innebär att om det är en alternativ utförare som utfört tjänsten betalas de retroaktiva ersättningarna från FK ut till utföraren. Ersättningen gick tidigare direkt från FK till kommunen. Nu går denna ersättning från FK via företagen till kommunen. I tidigare RS har ersättningarna för personlig assistans från FK redovisats på konto 354 i Verksamhetens intäkter. Från och med RS 2019 vill SCB att dessa ersättningar fortfarande redovisas på konto 354 trots att en del av dem erhålls från företagen.</t>
        </r>
        <r>
          <rPr>
            <sz val="9"/>
            <color indexed="81"/>
            <rFont val="Tahoma"/>
            <family val="2"/>
          </rPr>
          <t xml:space="preserve">
</t>
        </r>
      </text>
    </comment>
    <comment ref="B74" authorId="2" shapeId="0" xr:uid="{993D41C1-022B-438A-B62C-E41A0AFA1633}">
      <text>
        <r>
          <rPr>
            <b/>
            <sz val="9"/>
            <color indexed="81"/>
            <rFont val="Tahoma"/>
            <family val="2"/>
          </rPr>
          <t xml:space="preserve">SCB:Konto 787 tas bort från och med 2024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Jakupi Edona D/INS/OFS-Ö</author>
  </authors>
  <commentList>
    <comment ref="C27" authorId="0" shapeId="0" xr:uid="{F3B89A9C-9E5D-42D6-8D70-6694FCFAF151}">
      <text>
        <r>
          <rPr>
            <b/>
            <sz val="9"/>
            <color indexed="81"/>
            <rFont val="Tahoma"/>
            <family val="2"/>
          </rPr>
          <t xml:space="preserve">SCB: </t>
        </r>
        <r>
          <rPr>
            <sz val="9"/>
            <color indexed="81"/>
            <rFont val="Tahoma"/>
            <family val="2"/>
          </rPr>
          <t xml:space="preserve">Innehåller från 2024 endast generella bidrag från staten.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Jakupi Edona D/INS/OFS-Ö</author>
    <author>Hallbäck Ismael D/INS/ES-Ö</author>
  </authors>
  <commentList>
    <comment ref="G6" authorId="0" shapeId="0" xr:uid="{DFF1DBF5-143D-491F-8FB9-739A4AFCC89F}">
      <text>
        <r>
          <rPr>
            <b/>
            <sz val="9"/>
            <color indexed="81"/>
            <rFont val="Tahoma"/>
            <family val="2"/>
          </rPr>
          <t>SCB: Konto 787 efterfrågas ej</t>
        </r>
        <r>
          <rPr>
            <sz val="9"/>
            <color indexed="81"/>
            <rFont val="Tahoma"/>
            <family val="2"/>
          </rPr>
          <t xml:space="preserve">
</t>
        </r>
      </text>
    </comment>
    <comment ref="O121" authorId="1" shapeId="0" xr:uid="{92E8E3F5-03D6-41F9-A49F-B5701C3D9027}">
      <text>
        <r>
          <rPr>
            <b/>
            <sz val="9"/>
            <color indexed="81"/>
            <rFont val="Tahoma"/>
            <family val="2"/>
          </rPr>
          <t xml:space="preserve">SCB: </t>
        </r>
        <r>
          <rPr>
            <sz val="9"/>
            <color indexed="81"/>
            <rFont val="Tahoma"/>
            <family val="2"/>
          </rPr>
          <t>Hela kontogrupp 78, tidigare var 787 exkluderad.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Pettersson Åsa D/INS/FS-Ö</author>
  </authors>
  <commentList>
    <comment ref="B24" authorId="0" shapeId="0" xr:uid="{D2589336-7B5A-4B46-A37B-F11800BABAD3}">
      <text>
        <r>
          <rPr>
            <b/>
            <sz val="9"/>
            <color indexed="81"/>
            <rFont val="Tahoma"/>
            <family val="2"/>
          </rPr>
          <t>SCB:</t>
        </r>
        <r>
          <rPr>
            <sz val="9"/>
            <color indexed="81"/>
            <rFont val="Tahoma"/>
            <family val="2"/>
          </rPr>
          <t xml:space="preserve"> Ny variabel samlas in från RS 2024.
</t>
        </r>
      </text>
    </comment>
    <comment ref="B26" authorId="0" shapeId="0" xr:uid="{F870757F-E813-487C-84F8-9C4950940508}">
      <text>
        <r>
          <rPr>
            <b/>
            <sz val="9"/>
            <color indexed="81"/>
            <rFont val="Tahoma"/>
            <family val="2"/>
          </rPr>
          <t xml:space="preserve">SCB: </t>
        </r>
        <r>
          <rPr>
            <sz val="9"/>
            <color indexed="81"/>
            <rFont val="Tahoma"/>
            <family val="2"/>
          </rPr>
          <t xml:space="preserve">Ny variabel samlas in från RS 2024. 
</t>
        </r>
      </text>
    </comment>
    <comment ref="B27" authorId="0" shapeId="0" xr:uid="{4FF23E25-167B-496A-9077-DE87F1C132B2}">
      <text>
        <r>
          <rPr>
            <b/>
            <sz val="9"/>
            <color indexed="81"/>
            <rFont val="Tahoma"/>
            <family val="2"/>
          </rPr>
          <t xml:space="preserve">SCB: </t>
        </r>
        <r>
          <rPr>
            <sz val="9"/>
            <color indexed="81"/>
            <rFont val="Tahoma"/>
            <family val="2"/>
          </rPr>
          <t xml:space="preserve">Ny variabel samlas in från RS 2024.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Engblom Linnea D/INS/OFS-Ö</author>
    <author>Pettersson Åsa D/INS/FS-Ö</author>
  </authors>
  <commentList>
    <comment ref="B44" authorId="0" shapeId="0" xr:uid="{A8CF4BF9-9B9F-4B80-85A0-F4650D09BAA5}">
      <text>
        <r>
          <rPr>
            <sz val="9"/>
            <color indexed="81"/>
            <rFont val="Tahoma"/>
            <family val="2"/>
          </rPr>
          <t>SCB: Namnändring, tidigare grundsärskola.</t>
        </r>
      </text>
    </comment>
    <comment ref="B72" authorId="0" shapeId="0" xr:uid="{B6032A76-54E1-48E5-A8D8-BE53C506C335}">
      <text>
        <r>
          <rPr>
            <sz val="9"/>
            <color indexed="81"/>
            <rFont val="Tahoma"/>
            <family val="2"/>
          </rPr>
          <t xml:space="preserve">SCB: Namnändring, tidigare gymnasiesärskola.
</t>
        </r>
      </text>
    </comment>
    <comment ref="B104" authorId="1" shapeId="0" xr:uid="{4C1FEB97-9466-4C86-A3C6-F1A732360A4E}">
      <text>
        <r>
          <rPr>
            <b/>
            <sz val="9"/>
            <color indexed="81"/>
            <rFont val="Tahoma"/>
            <family val="2"/>
          </rPr>
          <t xml:space="preserve">SCB: </t>
        </r>
        <r>
          <rPr>
            <sz val="9"/>
            <color indexed="81"/>
            <rFont val="Tahoma"/>
            <family val="2"/>
          </rPr>
          <t>Uppgifter för svenska för invandrare samlas in från och med RS 2024</t>
        </r>
        <r>
          <rPr>
            <b/>
            <sz val="9"/>
            <color indexed="81"/>
            <rFont val="Tahoma"/>
            <family val="2"/>
          </rPr>
          <t>.</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Pettersson Åsa D/INS/FS-Ö</author>
    <author>Siegrist Elisabeth DFO/OU-Ö</author>
    <author>annelie hallberg</author>
    <author>Jakupi Edona D/INS/OFS-Ö</author>
  </authors>
  <commentList>
    <comment ref="B16" authorId="0" shapeId="0" xr:uid="{2835A062-B83A-427D-AF47-0C64C85AB250}">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B17" authorId="0" shapeId="0" xr:uid="{A0BABD4C-60F5-4DA8-9BE8-9075D242E674}">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 ref="K32" authorId="1" shapeId="0" xr:uid="{00000000-0006-0000-0900-00000B000000}">
      <text>
        <r>
          <rPr>
            <b/>
            <sz val="9"/>
            <color indexed="81"/>
            <rFont val="Tahoma"/>
            <family val="2"/>
          </rPr>
          <t xml:space="preserve">SCB:
</t>
        </r>
        <r>
          <rPr>
            <sz val="9"/>
            <color indexed="81"/>
            <rFont val="Tahoma"/>
            <family val="2"/>
          </rPr>
          <t>Kostnad för eget åtagande är exklusive ersättning från FK för personlig assistent samt kostnaden för rådgivning m.m. för Jämtlands kommuner.</t>
        </r>
        <r>
          <rPr>
            <sz val="9"/>
            <color indexed="81"/>
            <rFont val="Tahoma"/>
            <family val="2"/>
          </rPr>
          <t xml:space="preserve">
</t>
        </r>
      </text>
    </comment>
    <comment ref="G43" authorId="2" shapeId="0" xr:uid="{00000000-0006-0000-0900-000011000000}">
      <text>
        <r>
          <rPr>
            <b/>
            <sz val="8"/>
            <color indexed="81"/>
            <rFont val="Tahoma"/>
            <family val="2"/>
          </rPr>
          <t xml:space="preserve">SCB: 
</t>
        </r>
        <r>
          <rPr>
            <sz val="8"/>
            <color indexed="81"/>
            <rFont val="Tahoma"/>
            <family val="2"/>
          </rPr>
          <t xml:space="preserve">Beloppet länkas från rad 630 i avdelningen "Verksamhetens intäkter och kostnader". Ersättning från och till FK ska bruttoredovisas.
</t>
        </r>
      </text>
    </comment>
    <comment ref="B53" authorId="3" shapeId="0" xr:uid="{8908C022-3506-451B-A161-2C4806142B06}">
      <text>
        <r>
          <rPr>
            <b/>
            <sz val="8"/>
            <color indexed="81"/>
            <rFont val="Tahoma"/>
            <family val="2"/>
          </rPr>
          <t xml:space="preserve">SCB: </t>
        </r>
        <r>
          <rPr>
            <sz val="9"/>
            <color indexed="81"/>
            <rFont val="Tahoma"/>
            <family val="2"/>
          </rPr>
          <t xml:space="preserve">Tidigare rad 5105 Särskilt boende/annat boende samlas från och med RS 2024 in på egna rader.
</t>
        </r>
      </text>
    </comment>
    <comment ref="B54" authorId="3" shapeId="0" xr:uid="{6E6412B0-3B7C-4B3A-965B-635C4A1FE8EB}">
      <text>
        <r>
          <rPr>
            <b/>
            <sz val="9"/>
            <color indexed="81"/>
            <rFont val="Tahoma"/>
            <family val="2"/>
          </rPr>
          <t xml:space="preserve">SCB: </t>
        </r>
        <r>
          <rPr>
            <sz val="9"/>
            <color indexed="81"/>
            <rFont val="Tahoma"/>
            <family val="2"/>
          </rPr>
          <t xml:space="preserve">Tidigare rad 5105 Särskilt boende/annat boende samlas från och med RS 2024 in på egna rader.
</t>
        </r>
      </text>
    </comment>
  </commentList>
</comments>
</file>

<file path=xl/sharedStrings.xml><?xml version="1.0" encoding="utf-8"?>
<sst xmlns="http://schemas.openxmlformats.org/spreadsheetml/2006/main" count="1607" uniqueCount="1248">
  <si>
    <t>i kommunens koncernföretag</t>
  </si>
  <si>
    <t>hos kommunens koncernföretag</t>
  </si>
  <si>
    <t>135</t>
  </si>
  <si>
    <t>Förvaltningsavgifter</t>
  </si>
  <si>
    <t>139</t>
  </si>
  <si>
    <t>13 (ej 139)</t>
  </si>
  <si>
    <t>10-13 (ej 139)</t>
  </si>
  <si>
    <t>FINANSIELLA INTÄKTER ENL RR</t>
  </si>
  <si>
    <t>FINANSIELLA KOSTNADER ENL RR</t>
  </si>
  <si>
    <t xml:space="preserve">Obligationer, förlagsbevis m.m. samt certifikat </t>
  </si>
  <si>
    <t>Personalens källskatt</t>
  </si>
  <si>
    <t>298</t>
  </si>
  <si>
    <t>Förutbetalda skatteintäkter</t>
  </si>
  <si>
    <t>Verksamhetsblock/-områden</t>
  </si>
  <si>
    <t>EGENTLIG VERKSAMHET</t>
  </si>
  <si>
    <t>Politisk verksamhet, totalt</t>
  </si>
  <si>
    <t>Parker</t>
  </si>
  <si>
    <t>Räddningstjänst</t>
  </si>
  <si>
    <t>Övrig utbildning</t>
  </si>
  <si>
    <t>Utbildning, totalt</t>
  </si>
  <si>
    <t>SUMMA EGENTLIG VERKSAMHET</t>
  </si>
  <si>
    <t>Hamnverksamhet</t>
  </si>
  <si>
    <t>Kommersiell verksamhet</t>
  </si>
  <si>
    <t>Bostadsverksamhet</t>
  </si>
  <si>
    <t>Näringsliv och bostäder, totalt</t>
  </si>
  <si>
    <t>Sjötrafik</t>
  </si>
  <si>
    <t>Kommunikationer, totalt</t>
  </si>
  <si>
    <t>Fjärrvärmeförsörjning</t>
  </si>
  <si>
    <t>Vattenförsörjning och avloppshantering</t>
  </si>
  <si>
    <t>Avfallshantering</t>
  </si>
  <si>
    <t>SUMMA AFFÄRSVERKSAMHET</t>
  </si>
  <si>
    <t>Gemensamma lokaler</t>
  </si>
  <si>
    <t>Gemensamma verksamheter</t>
  </si>
  <si>
    <t>TOTALSUMMA</t>
  </si>
  <si>
    <t>Personalkostnader</t>
  </si>
  <si>
    <t xml:space="preserve">Externa varor, tjänster och bidrag  </t>
  </si>
  <si>
    <t>Lokal- och anläggningskostnader</t>
  </si>
  <si>
    <t>Externa intäkter</t>
  </si>
  <si>
    <t xml:space="preserve">Interna </t>
  </si>
  <si>
    <t>BRUTTO-</t>
  </si>
  <si>
    <t>intäkter</t>
  </si>
  <si>
    <t>KOSTNAD</t>
  </si>
  <si>
    <t>kostnad</t>
  </si>
  <si>
    <t>[45]</t>
  </si>
  <si>
    <t>[601]</t>
  </si>
  <si>
    <t>[341]</t>
  </si>
  <si>
    <t>Block 1. POLITISK VERKSAMHET</t>
  </si>
  <si>
    <t>Nämnd- och styrelseverksamhet</t>
  </si>
  <si>
    <t>Kommentarer politisk verksamhet:</t>
  </si>
  <si>
    <t>Stöd till politiska partier</t>
  </si>
  <si>
    <t>Revision</t>
  </si>
  <si>
    <t xml:space="preserve">Övrig politisk verksamhet </t>
  </si>
  <si>
    <t>POLITISK VERKSAMHET, TOTALT</t>
  </si>
  <si>
    <t>Block 2. INFRASTRUKTUR, SKYDD mm</t>
  </si>
  <si>
    <t>Fysisk o.teknisk planering, bostadsförbättr.</t>
  </si>
  <si>
    <t>Näringslivsfrämjande åtgärder</t>
  </si>
  <si>
    <t>Konsument- och energirådgivning</t>
  </si>
  <si>
    <t>Turistverksamhet</t>
  </si>
  <si>
    <t>Beskrivning av nyckeltalen</t>
  </si>
  <si>
    <t>Miljö- och hälsoskydd, myndighetsutövning</t>
  </si>
  <si>
    <t>Miljö- hälsa och hållbar utveckling</t>
  </si>
  <si>
    <t>Alkoholtillstånd m.m.</t>
  </si>
  <si>
    <t xml:space="preserve">Totalförsvar och samhällsskydd  </t>
  </si>
  <si>
    <t>INFRASTRUKTUR, SKYDD mm TOTALT</t>
  </si>
  <si>
    <t>Block 3.  KULTUR OCH FRITID</t>
  </si>
  <si>
    <t>Kulturverksamhet</t>
  </si>
  <si>
    <t>Stöd till studieorganisationer</t>
  </si>
  <si>
    <t>Allmän kulturverksamhet, övrigt</t>
  </si>
  <si>
    <t>Bibliotek</t>
  </si>
  <si>
    <t>Musikskola / kulturskola</t>
  </si>
  <si>
    <t>Kulturverksamhet totalt</t>
  </si>
  <si>
    <t>Fritidsverksamhet</t>
  </si>
  <si>
    <t>Allmän fritidsverksamhet</t>
  </si>
  <si>
    <t>Idrotts- och fritidsanläggningar</t>
  </si>
  <si>
    <t>Fritidsgårdar</t>
  </si>
  <si>
    <t>Fritidsverksamhet, totalt</t>
  </si>
  <si>
    <t xml:space="preserve"> KULTUR OCH FRITID, TOTALT</t>
  </si>
  <si>
    <t>Block 4. PEDAGOGISK VERKSAMHET</t>
  </si>
  <si>
    <t>Öppen förskola</t>
  </si>
  <si>
    <t>Förskola</t>
  </si>
  <si>
    <t>Pedagogisk omsorg</t>
  </si>
  <si>
    <t>Öppen fritidsverksamhet</t>
  </si>
  <si>
    <t>Fritidshem</t>
  </si>
  <si>
    <t>Skolväsendet för barn- o ungdom</t>
  </si>
  <si>
    <t>Gymnasieskola</t>
  </si>
  <si>
    <t>Skolväsendet för barn o ungdom totalt</t>
  </si>
  <si>
    <t>Kommunal vuxenutbildning</t>
  </si>
  <si>
    <t>Högskoleutbildning m.m.</t>
  </si>
  <si>
    <t>Verksamhetens kostnad enligt RR</t>
  </si>
  <si>
    <t>Verksamhetens intäkter enl. RR</t>
  </si>
  <si>
    <t>Verksamhetens kostnader enl. RR</t>
  </si>
  <si>
    <t>Verksamhetens intäkter enl.RR</t>
  </si>
  <si>
    <t xml:space="preserve">Svenska för invandrare </t>
  </si>
  <si>
    <t>Utbildning inkl. förskoleklass</t>
  </si>
  <si>
    <t>PEDAGOGISK VERKSAMH., TOTALT</t>
  </si>
  <si>
    <t>Block 5. VÅRD O OMSORG</t>
  </si>
  <si>
    <t>Primärvård</t>
  </si>
  <si>
    <t>Hälso- och sjukvård, övrigt exkl. hemsjukvård</t>
  </si>
  <si>
    <t xml:space="preserve">Vård, omsorg: äldre och personer med funktionsnedsättning </t>
  </si>
  <si>
    <t>Färdtjänst/riksfärdtjänst</t>
  </si>
  <si>
    <t>Öppen verksamhet</t>
  </si>
  <si>
    <t>VoO: äldre, personer m.funktionsneds., tot.</t>
  </si>
  <si>
    <t xml:space="preserve">Individ- och familjeomsorg               </t>
  </si>
  <si>
    <t>Barn och ungdomsvård</t>
  </si>
  <si>
    <t>Ekonomiskt bistånd</t>
  </si>
  <si>
    <t xml:space="preserve">Individ- och familjeomsorg, totalt </t>
  </si>
  <si>
    <t>Familjerätt och familjerådgivning</t>
  </si>
  <si>
    <t>VÅRD OCH OMSORG, TOTALT</t>
  </si>
  <si>
    <t>Block 6. SÄRSKILT RIKTADE INSATSER</t>
  </si>
  <si>
    <r>
      <t>Insatser till personer med funktionsnedsättning (exkl LSS/SFB</t>
    </r>
    <r>
      <rPr>
        <b/>
        <vertAlign val="superscript"/>
        <sz val="7"/>
        <rFont val="Helvetica"/>
        <family val="2"/>
      </rPr>
      <t>1</t>
    </r>
    <r>
      <rPr>
        <b/>
        <sz val="7"/>
        <rFont val="Helvetica"/>
        <family val="2"/>
      </rPr>
      <t>)</t>
    </r>
  </si>
  <si>
    <t>Flyktingmottagande</t>
  </si>
  <si>
    <t xml:space="preserve">Arbetsmarknadsåtgärder </t>
  </si>
  <si>
    <t>SÄRSKILT RIKTADE INSATSER,TOTALT</t>
  </si>
  <si>
    <t>AFFÄRSVERKSAMHET</t>
  </si>
  <si>
    <t>Näringsliv och bostäder</t>
  </si>
  <si>
    <t>Arbetsområden och lokaler</t>
  </si>
  <si>
    <t>Kommunikationer</t>
  </si>
  <si>
    <t>Flygtrafik</t>
  </si>
  <si>
    <t>Energi, vatten och avfall</t>
  </si>
  <si>
    <t>Elförsörjning + gasförsörjning</t>
  </si>
  <si>
    <t>Energi, vatten och avfall, totalt</t>
  </si>
  <si>
    <t>SUMMA DRIFTVERKSAMHET</t>
  </si>
  <si>
    <t>Nettokostnad gemensamma verksamheter</t>
  </si>
  <si>
    <t>Kommuner</t>
  </si>
  <si>
    <t>Kommunal-</t>
  </si>
  <si>
    <t>Staten och</t>
  </si>
  <si>
    <t>Differens</t>
  </si>
  <si>
    <t xml:space="preserve"> stiftelser</t>
  </si>
  <si>
    <t>företag</t>
  </si>
  <si>
    <t>förbund</t>
  </si>
  <si>
    <t>statl.myndigh.</t>
  </si>
  <si>
    <t>[358]</t>
  </si>
  <si>
    <t xml:space="preserve">Fritidsverksamhet, totalt  </t>
  </si>
  <si>
    <t xml:space="preserve">Gymnasieskola </t>
  </si>
  <si>
    <t xml:space="preserve"> därav  inst. vård för vuxna med missbruksprob.</t>
  </si>
  <si>
    <t>Övrig Ifo + fam.rätt (rad 571+ 575+585)</t>
  </si>
  <si>
    <t>Arbetsmarknadsåtgärder</t>
  </si>
  <si>
    <t>Summa affärsverksamhet</t>
  </si>
  <si>
    <t>Gemensam verksamhet (inkl. lokaler)</t>
  </si>
  <si>
    <t>Brutto-</t>
  </si>
  <si>
    <t>Nyckeltal</t>
  </si>
  <si>
    <t xml:space="preserve">Interna kostnader </t>
  </si>
  <si>
    <t xml:space="preserve">Fördelning av gemensamma verksamheter </t>
  </si>
  <si>
    <t>Interna intäkter</t>
  </si>
  <si>
    <t>Balanskravsresultat</t>
  </si>
  <si>
    <t>Årets resultat enligt resultaträkningen</t>
  </si>
  <si>
    <t>intäkt</t>
  </si>
  <si>
    <t>Infrastruktur, skydd mm totalt</t>
  </si>
  <si>
    <t>Utlandet</t>
  </si>
  <si>
    <t>-/+ Nedskrivningar/återföring av nedskrivning</t>
  </si>
  <si>
    <t>Anhörigbidrag</t>
  </si>
  <si>
    <t>Sjuklön</t>
  </si>
  <si>
    <t>Vatten och avlopp</t>
  </si>
  <si>
    <t>Öppen förskola och öppen fritidsverksamhet</t>
  </si>
  <si>
    <t>Summa vård och omsorg om äldre</t>
  </si>
  <si>
    <t>Daglig verksamhet enligt LSS</t>
  </si>
  <si>
    <t>Övriga insatser enligt LSS</t>
  </si>
  <si>
    <t>Öppna insatser, individuellt behovsprövad öppen vård</t>
  </si>
  <si>
    <t>Öppna insatser, bistånd som avser boende</t>
  </si>
  <si>
    <t>Öppna insatser, övriga</t>
  </si>
  <si>
    <r>
      <t xml:space="preserve">Konto </t>
    </r>
    <r>
      <rPr>
        <b/>
        <sz val="8"/>
        <rFont val="Helvetica"/>
        <family val="2"/>
      </rPr>
      <t>[354]</t>
    </r>
    <r>
      <rPr>
        <sz val="8"/>
        <rFont val="Helvetica"/>
        <family val="2"/>
      </rPr>
      <t xml:space="preserve"> kommunens ersättning </t>
    </r>
    <r>
      <rPr>
        <b/>
        <sz val="8"/>
        <rFont val="Helvetica"/>
        <family val="2"/>
      </rPr>
      <t>från</t>
    </r>
    <r>
      <rPr>
        <sz val="8"/>
        <rFont val="Helvetica"/>
        <family val="2"/>
      </rPr>
      <t xml:space="preserve"> Försäkringskassan för personlig assistent enligt SFB, tkr</t>
    </r>
  </si>
  <si>
    <r>
      <t xml:space="preserve">Konto </t>
    </r>
    <r>
      <rPr>
        <b/>
        <sz val="8"/>
        <rFont val="Helvetica"/>
        <family val="2"/>
      </rPr>
      <t>[4538]</t>
    </r>
    <r>
      <rPr>
        <sz val="8"/>
        <rFont val="Helvetica"/>
        <family val="2"/>
      </rPr>
      <t xml:space="preserve"> kommunens ersättning</t>
    </r>
    <r>
      <rPr>
        <b/>
        <sz val="8"/>
        <rFont val="Helvetica"/>
        <family val="2"/>
      </rPr>
      <t xml:space="preserve"> till</t>
    </r>
    <r>
      <rPr>
        <sz val="8"/>
        <rFont val="Helvetica"/>
        <family val="2"/>
      </rPr>
      <t xml:space="preserve"> Försäkringskassan för personlig assistent enligt  SFB, tkr</t>
    </r>
  </si>
  <si>
    <t>Familjehemsvård för barn och unga</t>
  </si>
  <si>
    <t>Summa barn- och ungdomsvård</t>
  </si>
  <si>
    <t>Övriga insatser till vuxna</t>
  </si>
  <si>
    <t>Familjerätt</t>
  </si>
  <si>
    <t>Familjerådgivning</t>
  </si>
  <si>
    <t>Summa individ- och familjeomsorg</t>
  </si>
  <si>
    <t>Därav</t>
  </si>
  <si>
    <t>inventarier</t>
  </si>
  <si>
    <t>tekn.anläggn.</t>
  </si>
  <si>
    <t>Näringsl.främj.åtg, turistv.o konsum.-ener.rådg</t>
  </si>
  <si>
    <t>17 [ej 178]</t>
  </si>
  <si>
    <t>Miljö- och hälsoskydd och alkoholtillstånd</t>
  </si>
  <si>
    <t>Totalförsvar och samhällsskydd</t>
  </si>
  <si>
    <t>Infrastruktur, skydd m.m. totalt</t>
  </si>
  <si>
    <t>Kultur och fritid, totalt</t>
  </si>
  <si>
    <r>
      <t>Utbildning</t>
    </r>
    <r>
      <rPr>
        <sz val="7"/>
        <rFont val="Helvetica"/>
        <family val="2"/>
      </rPr>
      <t xml:space="preserve">                                            </t>
    </r>
  </si>
  <si>
    <t>Pedagogisk verksamhet, totalt</t>
  </si>
  <si>
    <r>
      <t xml:space="preserve">Vård och omsorg </t>
    </r>
    <r>
      <rPr>
        <sz val="7"/>
        <rFont val="Helvetica"/>
        <family val="2"/>
      </rPr>
      <t xml:space="preserve">                                    
Primärvård</t>
    </r>
  </si>
  <si>
    <t>Individ o familjeomsorg totalt, familjerätt</t>
  </si>
  <si>
    <t xml:space="preserve">Vård och omsorg, totalt                                    </t>
  </si>
  <si>
    <t>Särskilt riktade insatser, totalt</t>
  </si>
  <si>
    <r>
      <t>Kommunikationer</t>
    </r>
    <r>
      <rPr>
        <sz val="7"/>
        <rFont val="Helvetica"/>
        <family val="2"/>
      </rPr>
      <t xml:space="preserve">                                                         Flygtrafik</t>
    </r>
  </si>
  <si>
    <r>
      <t>Energi, vatten och avfall</t>
    </r>
    <r>
      <rPr>
        <sz val="7"/>
        <rFont val="Helvetica"/>
        <family val="2"/>
      </rPr>
      <t xml:space="preserve">                                        
El- och gasförsörjning</t>
    </r>
  </si>
  <si>
    <t>Energi, vatten och avfall,totalt</t>
  </si>
  <si>
    <t>Ange kommunens kostnad för rådgivning och annat personligt stöd enl 9 § punkt 1 LSS, tkr</t>
  </si>
  <si>
    <t>EU-bidrag (driftbidrag)</t>
  </si>
  <si>
    <t>Löner</t>
  </si>
  <si>
    <t>Boende enl. LSS för vuxna</t>
  </si>
  <si>
    <t>ägda företag</t>
  </si>
  <si>
    <t>Föreningar,</t>
  </si>
  <si>
    <t>Privata</t>
  </si>
  <si>
    <t xml:space="preserve">Summa öppna insatser vuxna </t>
  </si>
  <si>
    <t>HVB-vård för barn och unga</t>
  </si>
  <si>
    <t>Vård för vuxna med missbruksproblem</t>
  </si>
  <si>
    <r>
      <t xml:space="preserve">Övriga </t>
    </r>
    <r>
      <rPr>
        <b/>
        <sz val="7"/>
        <rFont val="Helvetica"/>
        <family val="2"/>
      </rPr>
      <t/>
    </r>
  </si>
  <si>
    <t>Rad  nr</t>
  </si>
  <si>
    <t>Summa vård för vuxna med missbruksproblem</t>
  </si>
  <si>
    <t xml:space="preserve"> därav  HVB-vård för barn och unga</t>
  </si>
  <si>
    <t xml:space="preserve">Summa öppna insatser för barn och unga </t>
  </si>
  <si>
    <t>178</t>
  </si>
  <si>
    <t>Kalkylerad PO + Kalkylerad kapitalkostn.</t>
  </si>
  <si>
    <t>Interna kostnader</t>
  </si>
  <si>
    <t>Jämförelsestörande kostnader</t>
  </si>
  <si>
    <t>Jämförelsestörande intäkter</t>
  </si>
  <si>
    <t>100</t>
  </si>
  <si>
    <t>110</t>
  </si>
  <si>
    <t>120</t>
  </si>
  <si>
    <t>130</t>
  </si>
  <si>
    <t>190</t>
  </si>
  <si>
    <t>215</t>
  </si>
  <si>
    <t>220</t>
  </si>
  <si>
    <t>230</t>
  </si>
  <si>
    <t>249</t>
  </si>
  <si>
    <t>250</t>
  </si>
  <si>
    <t>261</t>
  </si>
  <si>
    <t>263</t>
  </si>
  <si>
    <t>267</t>
  </si>
  <si>
    <t>270</t>
  </si>
  <si>
    <t>275</t>
  </si>
  <si>
    <t>290</t>
  </si>
  <si>
    <t>310</t>
  </si>
  <si>
    <t>315</t>
  </si>
  <si>
    <t>320</t>
  </si>
  <si>
    <t>330</t>
  </si>
  <si>
    <t>339</t>
  </si>
  <si>
    <t>300</t>
  </si>
  <si>
    <t>340</t>
  </si>
  <si>
    <t>350</t>
  </si>
  <si>
    <t>359</t>
  </si>
  <si>
    <t>390</t>
  </si>
  <si>
    <t>400</t>
  </si>
  <si>
    <t>407</t>
  </si>
  <si>
    <t>412</t>
  </si>
  <si>
    <t>415</t>
  </si>
  <si>
    <t>425</t>
  </si>
  <si>
    <t>430</t>
  </si>
  <si>
    <t>443</t>
  </si>
  <si>
    <t>450</t>
  </si>
  <si>
    <t>453</t>
  </si>
  <si>
    <t>469</t>
  </si>
  <si>
    <t>474</t>
  </si>
  <si>
    <t>475</t>
  </si>
  <si>
    <t>478</t>
  </si>
  <si>
    <t>480</t>
  </si>
  <si>
    <t>490</t>
  </si>
  <si>
    <t>500</t>
  </si>
  <si>
    <t>505</t>
  </si>
  <si>
    <t>513</t>
  </si>
  <si>
    <t>530</t>
  </si>
  <si>
    <t>600</t>
  </si>
  <si>
    <t>610</t>
  </si>
  <si>
    <t>690</t>
  </si>
  <si>
    <t>790</t>
  </si>
  <si>
    <t>800</t>
  </si>
  <si>
    <t>805</t>
  </si>
  <si>
    <t>810</t>
  </si>
  <si>
    <t>815</t>
  </si>
  <si>
    <t>820</t>
  </si>
  <si>
    <t>830</t>
  </si>
  <si>
    <t>832</t>
  </si>
  <si>
    <t>834</t>
  </si>
  <si>
    <t>840</t>
  </si>
  <si>
    <t>855</t>
  </si>
  <si>
    <t>860</t>
  </si>
  <si>
    <t>865</t>
  </si>
  <si>
    <t>870</t>
  </si>
  <si>
    <t>880</t>
  </si>
  <si>
    <t>890</t>
  </si>
  <si>
    <t>900</t>
  </si>
  <si>
    <t>910</t>
  </si>
  <si>
    <t>920</t>
  </si>
  <si>
    <t>950</t>
  </si>
  <si>
    <t>010</t>
  </si>
  <si>
    <t>020</t>
  </si>
  <si>
    <t>025</t>
  </si>
  <si>
    <t>030</t>
  </si>
  <si>
    <t>040</t>
  </si>
  <si>
    <t>050</t>
  </si>
  <si>
    <t>060</t>
  </si>
  <si>
    <t>070</t>
  </si>
  <si>
    <t>080</t>
  </si>
  <si>
    <t>015</t>
  </si>
  <si>
    <t>021</t>
  </si>
  <si>
    <t>023</t>
  </si>
  <si>
    <t>036</t>
  </si>
  <si>
    <t>037</t>
  </si>
  <si>
    <t>033</t>
  </si>
  <si>
    <t>032</t>
  </si>
  <si>
    <t>031</t>
  </si>
  <si>
    <t>034</t>
  </si>
  <si>
    <t>035</t>
  </si>
  <si>
    <t>039</t>
  </si>
  <si>
    <t>045</t>
  </si>
  <si>
    <t>046</t>
  </si>
  <si>
    <t>051</t>
  </si>
  <si>
    <t>055</t>
  </si>
  <si>
    <t>053</t>
  </si>
  <si>
    <t>054</t>
  </si>
  <si>
    <t>056</t>
  </si>
  <si>
    <t>065</t>
  </si>
  <si>
    <t>069</t>
  </si>
  <si>
    <t>999</t>
  </si>
  <si>
    <t>052</t>
  </si>
  <si>
    <t>066</t>
  </si>
  <si>
    <t>073</t>
  </si>
  <si>
    <t>074</t>
  </si>
  <si>
    <t>075</t>
  </si>
  <si>
    <t>076</t>
  </si>
  <si>
    <t>071</t>
  </si>
  <si>
    <t>077</t>
  </si>
  <si>
    <t>078</t>
  </si>
  <si>
    <t>079</t>
  </si>
  <si>
    <t>081</t>
  </si>
  <si>
    <t>082</t>
  </si>
  <si>
    <t>083</t>
  </si>
  <si>
    <t>084</t>
  </si>
  <si>
    <t>085</t>
  </si>
  <si>
    <t>089</t>
  </si>
  <si>
    <t>090</t>
  </si>
  <si>
    <t>086</t>
  </si>
  <si>
    <t>091</t>
  </si>
  <si>
    <t>092</t>
  </si>
  <si>
    <t>093</t>
  </si>
  <si>
    <t>094</t>
  </si>
  <si>
    <t>095</t>
  </si>
  <si>
    <t>096</t>
  </si>
  <si>
    <t>097</t>
  </si>
  <si>
    <t>098</t>
  </si>
  <si>
    <t>099</t>
  </si>
  <si>
    <t>121</t>
  </si>
  <si>
    <t>122</t>
  </si>
  <si>
    <t>140</t>
  </si>
  <si>
    <t>150</t>
  </si>
  <si>
    <t>160</t>
  </si>
  <si>
    <t>088</t>
  </si>
  <si>
    <t>101</t>
  </si>
  <si>
    <t>239</t>
  </si>
  <si>
    <t>269</t>
  </si>
  <si>
    <t>459</t>
  </si>
  <si>
    <t>479</t>
  </si>
  <si>
    <t>580</t>
  </si>
  <si>
    <t>590</t>
  </si>
  <si>
    <t>- Avskrivningar</t>
  </si>
  <si>
    <t>+/- Övriga förändringar</t>
  </si>
  <si>
    <t>990</t>
  </si>
  <si>
    <t>991</t>
  </si>
  <si>
    <t>992</t>
  </si>
  <si>
    <t>993</t>
  </si>
  <si>
    <t>994</t>
  </si>
  <si>
    <t>995</t>
  </si>
  <si>
    <t>Eget kapital, avsättningar och skulder</t>
  </si>
  <si>
    <t>Verksamhetens intäkter</t>
  </si>
  <si>
    <t>Verksamhetens kostnader</t>
  </si>
  <si>
    <t>Kommunal regi</t>
  </si>
  <si>
    <t>Förskola, personalkostnad andel av total kostnad kommunal regi.</t>
  </si>
  <si>
    <t>Övriga insatser i ordinärt boende</t>
  </si>
  <si>
    <t>IB Anläggningstillgångar</t>
  </si>
  <si>
    <t>UB Anläggningstillgångar</t>
  </si>
  <si>
    <t>Insatser till personer med funktionsnedsättning (ej LSS/SFB)</t>
  </si>
  <si>
    <t>Insatser enligt LSS/SFB</t>
  </si>
  <si>
    <t>Fritidshem, personalkostnad andel av total kostnad kommunal regi.</t>
  </si>
  <si>
    <t>Förskoleklass, personalkostnad andel av total kostnad kommunal regi.</t>
  </si>
  <si>
    <t>Grundskola</t>
  </si>
  <si>
    <t>Grundläggande vuxenutbildning</t>
  </si>
  <si>
    <t>Gymnasial vuxen- och påbyggnadsutbildning</t>
  </si>
  <si>
    <t>251</t>
  </si>
  <si>
    <t>255</t>
  </si>
  <si>
    <t>257</t>
  </si>
  <si>
    <t>351</t>
  </si>
  <si>
    <t>355</t>
  </si>
  <si>
    <t>357</t>
  </si>
  <si>
    <t>35</t>
  </si>
  <si>
    <t>401</t>
  </si>
  <si>
    <t>402</t>
  </si>
  <si>
    <t>404</t>
  </si>
  <si>
    <t>405</t>
  </si>
  <si>
    <t>406</t>
  </si>
  <si>
    <t>408</t>
  </si>
  <si>
    <t>4081</t>
  </si>
  <si>
    <t>431</t>
  </si>
  <si>
    <t>435</t>
  </si>
  <si>
    <t>439</t>
  </si>
  <si>
    <t>07</t>
  </si>
  <si>
    <t>40</t>
  </si>
  <si>
    <t>43</t>
  </si>
  <si>
    <t>432</t>
  </si>
  <si>
    <t>434</t>
  </si>
  <si>
    <t>436</t>
  </si>
  <si>
    <t>437</t>
  </si>
  <si>
    <t>438</t>
  </si>
  <si>
    <t>4381</t>
  </si>
  <si>
    <t>50</t>
  </si>
  <si>
    <t>501</t>
  </si>
  <si>
    <t>502</t>
  </si>
  <si>
    <t>504</t>
  </si>
  <si>
    <t>506</t>
  </si>
  <si>
    <t>507</t>
  </si>
  <si>
    <t>508</t>
  </si>
  <si>
    <t>5081</t>
  </si>
  <si>
    <t>53</t>
  </si>
  <si>
    <t>531</t>
  </si>
  <si>
    <t>532</t>
  </si>
  <si>
    <t>534</t>
  </si>
  <si>
    <t>535</t>
  </si>
  <si>
    <t>536</t>
  </si>
  <si>
    <t>537</t>
  </si>
  <si>
    <t>538</t>
  </si>
  <si>
    <t>5381</t>
  </si>
  <si>
    <t>70</t>
  </si>
  <si>
    <t>701</t>
  </si>
  <si>
    <t>702</t>
  </si>
  <si>
    <t>706</t>
  </si>
  <si>
    <t>707</t>
  </si>
  <si>
    <t>708</t>
  </si>
  <si>
    <t>7081</t>
  </si>
  <si>
    <t>72</t>
  </si>
  <si>
    <t>721</t>
  </si>
  <si>
    <t>722</t>
  </si>
  <si>
    <t>726</t>
  </si>
  <si>
    <t>727</t>
  </si>
  <si>
    <t>728</t>
  </si>
  <si>
    <t>7281</t>
  </si>
  <si>
    <t>520</t>
  </si>
  <si>
    <t>510</t>
  </si>
  <si>
    <t>Hälso- o sjukvård, primärvård  (rad 500+505)</t>
  </si>
  <si>
    <t xml:space="preserve">Institutionsvård vuxna </t>
  </si>
  <si>
    <t>569</t>
  </si>
  <si>
    <t>559</t>
  </si>
  <si>
    <t>575</t>
  </si>
  <si>
    <t>571</t>
  </si>
  <si>
    <t xml:space="preserve">Korttidsboende </t>
  </si>
  <si>
    <t>Hemtjänst i ordinärt  boende</t>
  </si>
  <si>
    <t>Dagverksamhet,  ordinärt boende</t>
  </si>
  <si>
    <t>Hemtjänst i ordinärt boende</t>
  </si>
  <si>
    <t>Boendestöd i ordinärt boende</t>
  </si>
  <si>
    <t>585</t>
  </si>
  <si>
    <t>103</t>
  </si>
  <si>
    <t>Summering</t>
  </si>
  <si>
    <r>
      <t>Insatser enligt LSS/SFB</t>
    </r>
    <r>
      <rPr>
        <b/>
        <vertAlign val="superscript"/>
        <sz val="7"/>
        <rFont val="Helvetica"/>
        <family val="2"/>
      </rPr>
      <t>1</t>
    </r>
  </si>
  <si>
    <t xml:space="preserve">Insatser till personer med funktionneds. </t>
  </si>
  <si>
    <t>Övriga periodiseringar</t>
  </si>
  <si>
    <t>901</t>
  </si>
  <si>
    <t>Övrigt</t>
  </si>
  <si>
    <t>Verksamhet/skolform</t>
  </si>
  <si>
    <t/>
  </si>
  <si>
    <t>0799</t>
  </si>
  <si>
    <t>07991</t>
  </si>
  <si>
    <t>Därav avgifter för verksamhet i enskild regi</t>
  </si>
  <si>
    <t>Nyckeltal kr/inv</t>
  </si>
  <si>
    <t>Däravposter till kommunernas tillgångar</t>
  </si>
  <si>
    <t>Externa lokalhyror</t>
  </si>
  <si>
    <t>Interna köp och övriga interna kostnader</t>
  </si>
  <si>
    <t>Fördelad gemensam verksamhet</t>
  </si>
  <si>
    <t>Externa bostadshyror o lokalhyror</t>
  </si>
  <si>
    <t>Övriga externa intäkter</t>
  </si>
  <si>
    <t>Föreningar stiftelser</t>
  </si>
  <si>
    <t>Privata företag</t>
  </si>
  <si>
    <t>Staten och statl. myndigheter</t>
  </si>
  <si>
    <t>Driftbidrag från EU</t>
  </si>
  <si>
    <t>Markhyror och bidrag</t>
  </si>
  <si>
    <t>BRUTTO-KOSTNAD</t>
  </si>
  <si>
    <t>BRUTTO-INTÄKT</t>
  </si>
  <si>
    <t>Rad- nr</t>
  </si>
  <si>
    <t>440</t>
  </si>
  <si>
    <t>Förskoleklass</t>
  </si>
  <si>
    <t>Särskilt boende/annat boende</t>
  </si>
  <si>
    <t>Realiserade valutakursvinster</t>
  </si>
  <si>
    <t>986</t>
  </si>
  <si>
    <t>987</t>
  </si>
  <si>
    <t>988</t>
  </si>
  <si>
    <t>989</t>
  </si>
  <si>
    <t>470</t>
  </si>
  <si>
    <t>472</t>
  </si>
  <si>
    <t>Upplupna skatteintäkter</t>
  </si>
  <si>
    <t>Vård och omsorg om äldre</t>
  </si>
  <si>
    <t xml:space="preserve">Vård för vuxna med missbruksproblem </t>
  </si>
  <si>
    <t xml:space="preserve">Barn- och ungdomsvård </t>
  </si>
  <si>
    <t xml:space="preserve">Familjerätt och familjerådgivning </t>
  </si>
  <si>
    <t>Kommun-</t>
  </si>
  <si>
    <t>+ Reavinst</t>
  </si>
  <si>
    <t>Kommunägda företag</t>
  </si>
  <si>
    <t>Familjehemsvård för vuxna</t>
  </si>
  <si>
    <t xml:space="preserve"> Avgifter</t>
  </si>
  <si>
    <t>Kalkylerad personal-omkostnad</t>
  </si>
  <si>
    <t>Kalkylerade kapital-kostnader</t>
  </si>
  <si>
    <t>540</t>
  </si>
  <si>
    <t>519</t>
  </si>
  <si>
    <t>Insatser till personer med funktionsnedsättning totalt (inkl LSS)</t>
  </si>
  <si>
    <t>Från driftredovis-ningen</t>
  </si>
  <si>
    <t>Skolskjuts, reseersättning o inackordering</t>
  </si>
  <si>
    <t xml:space="preserve"> Fördelad gemensam verksamhet</t>
  </si>
  <si>
    <t>Undervisning</t>
  </si>
  <si>
    <t>Differens grundskolan</t>
  </si>
  <si>
    <t>Differens gymnasieskolan</t>
  </si>
  <si>
    <t>Differens grundläggande vuxenutbildning</t>
  </si>
  <si>
    <t>Differens gymnasial vuxenutbildning</t>
  </si>
  <si>
    <t>Differens mot drift-  redovisningen</t>
  </si>
  <si>
    <t>Vård och omsorg om äldre (från motpart)</t>
  </si>
  <si>
    <t>inv 21-64 år</t>
  </si>
  <si>
    <t>Summa familjerätt och familjerådgivning</t>
  </si>
  <si>
    <t>inv 0-20 år</t>
  </si>
  <si>
    <t>invånare</t>
  </si>
  <si>
    <t>inv 0-17 år</t>
  </si>
  <si>
    <t>inv 18-69 år</t>
  </si>
  <si>
    <t>Finansiella nyckeltal</t>
  </si>
  <si>
    <t>Försäljn.av anl.tillg. i % av skatteintäkter, generella statsbidrag o utj.</t>
  </si>
  <si>
    <t>Andel investeringar som finansieras med försäljn. av anl.tillg.</t>
  </si>
  <si>
    <t>Måltider</t>
  </si>
  <si>
    <t>Förskola, avgiftsfinansierringsgrad %</t>
  </si>
  <si>
    <t>Fritidshem, avgiftsfinansieringsgrad</t>
  </si>
  <si>
    <t>Soliditet, % enligt balansräkningen</t>
  </si>
  <si>
    <t>Soliditet, % inkl. pensionsåtaganden före 1998</t>
  </si>
  <si>
    <t>Långfristiga skulder exkl. utlåning till kommunägda bolag</t>
  </si>
  <si>
    <t>Verksamhetens självfinansieringsgrad</t>
  </si>
  <si>
    <t>Förs. expl.fastigheter, tomträtter [37]</t>
  </si>
  <si>
    <t>Interna lokal-kostnader</t>
  </si>
  <si>
    <t>Utlämnade lån till koncernföretag  (rad 088)</t>
  </si>
  <si>
    <t xml:space="preserve">Därav från gemensamma verksamheter  </t>
  </si>
  <si>
    <t xml:space="preserve">Boende enligt LSS för barn och unga </t>
  </si>
  <si>
    <t>Förskola, fritidshem och annan pedagogisk verksamhet</t>
  </si>
  <si>
    <t>Därav lokalkostnader</t>
  </si>
  <si>
    <t>Lokalkostnader</t>
  </si>
  <si>
    <t>Invånarantal 19 - 64</t>
  </si>
  <si>
    <t>Förskola, totalt</t>
  </si>
  <si>
    <t>Fritidshem, totalt</t>
  </si>
  <si>
    <t>Förskoleklass, totalt</t>
  </si>
  <si>
    <t>Grundskola, totalt</t>
  </si>
  <si>
    <t>Gymnasieskola, totalt</t>
  </si>
  <si>
    <t>Specificering av vissa intäkter (i kol.övr. externa intäkter)</t>
  </si>
  <si>
    <t>Grundläggande vuxenutbildning, totalt</t>
  </si>
  <si>
    <t>Gymnasial vuxen- och påbyggnadsutbildning, totalt</t>
  </si>
  <si>
    <t>1321</t>
  </si>
  <si>
    <t>Rad nr</t>
  </si>
  <si>
    <t>5731</t>
  </si>
  <si>
    <t>5732</t>
  </si>
  <si>
    <t>07911</t>
  </si>
  <si>
    <t>07912</t>
  </si>
  <si>
    <t>07951</t>
  </si>
  <si>
    <t>2599</t>
  </si>
  <si>
    <t>25991</t>
  </si>
  <si>
    <t>253</t>
  </si>
  <si>
    <t>3521</t>
  </si>
  <si>
    <t>3522</t>
  </si>
  <si>
    <t>4091</t>
  </si>
  <si>
    <t>4092</t>
  </si>
  <si>
    <t>4094</t>
  </si>
  <si>
    <t>4391</t>
  </si>
  <si>
    <t>4392</t>
  </si>
  <si>
    <t>4393</t>
  </si>
  <si>
    <t>4394</t>
  </si>
  <si>
    <t>3524</t>
  </si>
  <si>
    <t>2524</t>
  </si>
  <si>
    <t>0724</t>
  </si>
  <si>
    <t>5091</t>
  </si>
  <si>
    <t>5092</t>
  </si>
  <si>
    <t>5093</t>
  </si>
  <si>
    <t>5094</t>
  </si>
  <si>
    <t>5391</t>
  </si>
  <si>
    <t>5392</t>
  </si>
  <si>
    <t>5393</t>
  </si>
  <si>
    <t>5394</t>
  </si>
  <si>
    <t>Beteckning</t>
  </si>
  <si>
    <t>87</t>
  </si>
  <si>
    <t>25911</t>
  </si>
  <si>
    <t>25912</t>
  </si>
  <si>
    <t>25951</t>
  </si>
  <si>
    <t>88</t>
  </si>
  <si>
    <t>35911</t>
  </si>
  <si>
    <t>35912</t>
  </si>
  <si>
    <t>35951</t>
  </si>
  <si>
    <t>89</t>
  </si>
  <si>
    <t>80</t>
  </si>
  <si>
    <t>40911</t>
  </si>
  <si>
    <t>40912</t>
  </si>
  <si>
    <t>40931</t>
  </si>
  <si>
    <t>90</t>
  </si>
  <si>
    <t>81</t>
  </si>
  <si>
    <t>43911</t>
  </si>
  <si>
    <t>43912</t>
  </si>
  <si>
    <t>43921</t>
  </si>
  <si>
    <t>43931</t>
  </si>
  <si>
    <t>91</t>
  </si>
  <si>
    <t>82</t>
  </si>
  <si>
    <t>50911</t>
  </si>
  <si>
    <t>50912</t>
  </si>
  <si>
    <t>50921</t>
  </si>
  <si>
    <t>50931</t>
  </si>
  <si>
    <t>92</t>
  </si>
  <si>
    <t>83</t>
  </si>
  <si>
    <t>53911</t>
  </si>
  <si>
    <t>53912</t>
  </si>
  <si>
    <t>53921</t>
  </si>
  <si>
    <t>53931</t>
  </si>
  <si>
    <t>Kommentarer utbildning inkl. förskoleklass:</t>
  </si>
  <si>
    <r>
      <t>Summa insatser till personer med funktionsnedsättning (exkl LSS/SFB</t>
    </r>
    <r>
      <rPr>
        <b/>
        <vertAlign val="superscript"/>
        <sz val="7"/>
        <rFont val="Helvetica"/>
        <family val="2"/>
      </rPr>
      <t>1</t>
    </r>
    <r>
      <rPr>
        <b/>
        <sz val="7"/>
        <rFont val="Helvetica"/>
        <family val="2"/>
      </rPr>
      <t>)</t>
    </r>
  </si>
  <si>
    <r>
      <t xml:space="preserve">Insatser enligt LSS/SFB </t>
    </r>
    <r>
      <rPr>
        <b/>
        <sz val="7"/>
        <rFont val="Calibri"/>
        <family val="2"/>
      </rPr>
      <t>¹</t>
    </r>
    <r>
      <rPr>
        <b/>
        <vertAlign val="superscript"/>
        <sz val="7"/>
        <rFont val="Calibri"/>
        <family val="2"/>
      </rPr>
      <t>,2</t>
    </r>
    <r>
      <rPr>
        <b/>
        <sz val="7"/>
        <rFont val="Calibri"/>
        <family val="2"/>
      </rPr>
      <t>)</t>
    </r>
  </si>
  <si>
    <r>
      <t>Personlig assistans enl. LSS/SFB</t>
    </r>
    <r>
      <rPr>
        <vertAlign val="superscript"/>
        <sz val="7"/>
        <rFont val="Helvetica"/>
        <family val="2"/>
      </rPr>
      <t>1</t>
    </r>
  </si>
  <si>
    <r>
      <t>Summa insatser enligt LSS/SFB</t>
    </r>
    <r>
      <rPr>
        <b/>
        <vertAlign val="superscript"/>
        <sz val="7"/>
        <rFont val="Helvetica"/>
        <family val="2"/>
      </rPr>
      <t>1</t>
    </r>
  </si>
  <si>
    <t>2) Kostnaderna och intäkterna för LSS bruttoredovisas liksom övriga verksamheter</t>
  </si>
  <si>
    <t>1) De bestämmelser om personlig assistans som tidigare fanns i LASS är fr.o.m. år 2011 inordnade i Socialförsäkringsbalken (SFB, 51 kap.).</t>
  </si>
  <si>
    <r>
      <t>Omsättningstillgångar</t>
    </r>
    <r>
      <rPr>
        <sz val="7"/>
        <rFont val="Helvetica"/>
        <family val="2"/>
      </rPr>
      <t xml:space="preserve">                                       </t>
    </r>
  </si>
  <si>
    <t>Rad-</t>
  </si>
  <si>
    <t>Kommunen</t>
  </si>
  <si>
    <t>nr</t>
  </si>
  <si>
    <t>Verksamhetens nettokostnader</t>
  </si>
  <si>
    <t>Skatteintäkter</t>
  </si>
  <si>
    <t>Finansiella intäkter</t>
  </si>
  <si>
    <t>Finansiella kostnader</t>
  </si>
  <si>
    <t>Årets resultat</t>
  </si>
  <si>
    <t>Rad</t>
  </si>
  <si>
    <t>Anläggningstillgångar</t>
  </si>
  <si>
    <t>Immateriella anläggningstillgångar</t>
  </si>
  <si>
    <t>Mark, byggn. och tekn. anläggningar</t>
  </si>
  <si>
    <t>Maskiner och inventarier</t>
  </si>
  <si>
    <t>Aktier och andelar, bostadsrätter</t>
  </si>
  <si>
    <t>Långfristiga fordringar</t>
  </si>
  <si>
    <t>SUMMA ANLÄGGNINGSTILLGÅNGAR</t>
  </si>
  <si>
    <t>15</t>
  </si>
  <si>
    <t>Kundfordringar</t>
  </si>
  <si>
    <t>16</t>
  </si>
  <si>
    <t>Diverse kortfristiga fordringar</t>
  </si>
  <si>
    <t>165</t>
  </si>
  <si>
    <t>182</t>
  </si>
  <si>
    <t>183</t>
  </si>
  <si>
    <t>184</t>
  </si>
  <si>
    <t>Certifikat</t>
  </si>
  <si>
    <t>14-19</t>
  </si>
  <si>
    <t>10-19</t>
  </si>
  <si>
    <t>SUMMA TILLGÅNGAR</t>
  </si>
  <si>
    <t>221</t>
  </si>
  <si>
    <t>222</t>
  </si>
  <si>
    <t>225</t>
  </si>
  <si>
    <t>228</t>
  </si>
  <si>
    <t>Andra avsättningar</t>
  </si>
  <si>
    <t>2281</t>
  </si>
  <si>
    <t>SUMMA AVSÄTTNINGAR</t>
  </si>
  <si>
    <t>Långfristiga skulder till koncernföretag</t>
  </si>
  <si>
    <t>237</t>
  </si>
  <si>
    <t>Långfristig leasingskuld</t>
  </si>
  <si>
    <t>Långfristiga skulder, totalt</t>
  </si>
  <si>
    <t>24</t>
  </si>
  <si>
    <t>Kortfristiga skulder till kreditinstitut och kunder</t>
  </si>
  <si>
    <t>25</t>
  </si>
  <si>
    <t>Leverantörsskulder</t>
  </si>
  <si>
    <t>292</t>
  </si>
  <si>
    <t>Upplupna semesterlöner</t>
  </si>
  <si>
    <t>2933</t>
  </si>
  <si>
    <t>296</t>
  </si>
  <si>
    <t>Not 1</t>
  </si>
  <si>
    <t>Not 2</t>
  </si>
  <si>
    <t>Övriga kortfristiga skulder</t>
  </si>
  <si>
    <t>24-29</t>
  </si>
  <si>
    <t>Kortfristiga skulder, totalt</t>
  </si>
  <si>
    <t>23-29</t>
  </si>
  <si>
    <t>SUMMA SKULDER</t>
  </si>
  <si>
    <t>20,22-29</t>
  </si>
  <si>
    <t>Borgen o andra förpliktelser gentemot kommunala bostadsföretag</t>
  </si>
  <si>
    <t>Borgen o andra förpliktelser gentemot övriga kommunala företag</t>
  </si>
  <si>
    <t>SUMMA ANSVARSFÖRBINDELSER</t>
  </si>
  <si>
    <t>Förrättnings- och granskningsavgifter</t>
  </si>
  <si>
    <t>Taxor och avgifter, övrigt</t>
  </si>
  <si>
    <t>Taxor och avgifter</t>
  </si>
  <si>
    <t>Bostads- och lokalhyror</t>
  </si>
  <si>
    <t>Markhyror och arrenden mm.</t>
  </si>
  <si>
    <t>343-349</t>
  </si>
  <si>
    <t>Hyror och arrenden</t>
  </si>
  <si>
    <t>Bidrag</t>
  </si>
  <si>
    <t>Bidrag till enskilda</t>
  </si>
  <si>
    <t>Bostadssociala bidrag</t>
  </si>
  <si>
    <t>Löner mm.</t>
  </si>
  <si>
    <t>Personal</t>
  </si>
  <si>
    <t>Livsmedel</t>
  </si>
  <si>
    <t>Kontorsmaterial</t>
  </si>
  <si>
    <t>Material, övrigt</t>
  </si>
  <si>
    <t>Material</t>
  </si>
  <si>
    <t>Markhyror</t>
  </si>
  <si>
    <t>Tjänster, övrigt</t>
  </si>
  <si>
    <t>Tjänster, inkl köp av verksamhet</t>
  </si>
  <si>
    <t>Allmän kommunalskatt</t>
  </si>
  <si>
    <t>Inkomstutjämningsavgift</t>
  </si>
  <si>
    <t>Regleringsavgift</t>
  </si>
  <si>
    <t>Kostnadsutjämningsavgift</t>
  </si>
  <si>
    <t>Avgift till LSS-utjämningen</t>
  </si>
  <si>
    <t>Avgifter i utjämningssystemen</t>
  </si>
  <si>
    <t>Inkomstutjämningsbidrag</t>
  </si>
  <si>
    <t>Strukturbidrag</t>
  </si>
  <si>
    <t>Införandebidrag</t>
  </si>
  <si>
    <t>Regleringsbidrag</t>
  </si>
  <si>
    <t>Kostnadsutjämningsbidrag</t>
  </si>
  <si>
    <t>Bidrag för LSS-utjämning</t>
  </si>
  <si>
    <t>Bidrag från utjämningssystemen och generella statliga bidrag</t>
  </si>
  <si>
    <t>Utdelning på aktier och andelar</t>
  </si>
  <si>
    <t>Ränteintäkter</t>
  </si>
  <si>
    <t>Ränteintäkter på kundfordringar</t>
  </si>
  <si>
    <t>U</t>
  </si>
  <si>
    <t>V</t>
  </si>
  <si>
    <t>W</t>
  </si>
  <si>
    <t>X</t>
  </si>
  <si>
    <t>Z</t>
  </si>
  <si>
    <t>ZF</t>
  </si>
  <si>
    <t>ZM</t>
  </si>
  <si>
    <t>Y</t>
  </si>
  <si>
    <t>YJ</t>
  </si>
  <si>
    <t>Koncernen</t>
  </si>
  <si>
    <t xml:space="preserve">Orealiserade valutakursvinster  </t>
  </si>
  <si>
    <t>Tillgångar</t>
  </si>
  <si>
    <t>1351</t>
  </si>
  <si>
    <t>246</t>
  </si>
  <si>
    <t>Investeringar i % av skatteintäkter, generella statsbidrag och utj.</t>
  </si>
  <si>
    <t xml:space="preserve">Bidrag från utjämningssystemen och generella </t>
  </si>
  <si>
    <t>statliga bidrag</t>
  </si>
  <si>
    <t xml:space="preserve">Realiserade valutakursförluster </t>
  </si>
  <si>
    <t>Orealiserade valutakursförluster</t>
  </si>
  <si>
    <t xml:space="preserve">Verksamhetens intäkter </t>
  </si>
  <si>
    <t xml:space="preserve">Verksamhetens kostnader </t>
  </si>
  <si>
    <t>Däravposter till verksamhetens kostnader</t>
  </si>
  <si>
    <t>Förändring</t>
  </si>
  <si>
    <t>procent</t>
  </si>
  <si>
    <t>Borgensförbindelser och övriga ansvarsförbindelser</t>
  </si>
  <si>
    <t>Förskola, fritidshem o annan pedagogisk verksamhet, totalt</t>
  </si>
  <si>
    <t xml:space="preserve">Korttidsboende / Korttidsvård </t>
  </si>
  <si>
    <t>Elevhälsa</t>
  </si>
  <si>
    <t>563 [ej 5635]</t>
  </si>
  <si>
    <t>del av 15</t>
  </si>
  <si>
    <t>del av 25</t>
  </si>
  <si>
    <t>30, 369</t>
  </si>
  <si>
    <t>Övriga hyror och arrenden</t>
  </si>
  <si>
    <t>Däravposter till verksamhetens intäkter</t>
  </si>
  <si>
    <t>Försäljning av verksamhet, motpart kommun</t>
  </si>
  <si>
    <t>4541</t>
  </si>
  <si>
    <t>Försäljn. av verksamheter och tjänster</t>
  </si>
  <si>
    <t>Lämnade bidrag</t>
  </si>
  <si>
    <t>Pensionsförsäkringspremier</t>
  </si>
  <si>
    <t>Köp av huvudverksamhet</t>
  </si>
  <si>
    <t>Reparation och underhåll</t>
  </si>
  <si>
    <t>Avsättning för särskild löneskatt på pensioner</t>
  </si>
  <si>
    <t>Upplupen pensionskostnad avgiftsbestämd ålderspension</t>
  </si>
  <si>
    <t>761</t>
  </si>
  <si>
    <t>Kommunal fastighetsavgift</t>
  </si>
  <si>
    <t>Förbrukningsinventarier</t>
  </si>
  <si>
    <t>Räntekostnader</t>
  </si>
  <si>
    <t>Aktier, andelar och bostadsrätter [132, 137]</t>
  </si>
  <si>
    <t xml:space="preserve">Köp av huvud-verksamhet </t>
  </si>
  <si>
    <t>[30, 34 ej 341, 35-36</t>
  </si>
  <si>
    <t>Lämnade bidrag  [45]</t>
  </si>
  <si>
    <t>Mortpart 85</t>
  </si>
  <si>
    <t>Extern motpart, interv.5-7</t>
  </si>
  <si>
    <t>Motpart 87</t>
  </si>
  <si>
    <t>Motpart 82</t>
  </si>
  <si>
    <t>Motpart 84</t>
  </si>
  <si>
    <t>Motpart 81</t>
  </si>
  <si>
    <t>Motpart 86</t>
  </si>
  <si>
    <t>Motpart 83</t>
  </si>
  <si>
    <t>Extern motpart interv. 9</t>
  </si>
  <si>
    <t>[361]                       Motpart 84</t>
  </si>
  <si>
    <t>[351]                       Motpart 81</t>
  </si>
  <si>
    <t>Köp av huvud-</t>
  </si>
  <si>
    <t>238</t>
  </si>
  <si>
    <t>232, 239</t>
  </si>
  <si>
    <t>Upplupna sociala avgifter</t>
  </si>
  <si>
    <t>62, 691</t>
  </si>
  <si>
    <t>361, 363, 365</t>
  </si>
  <si>
    <t>Övriga främmande tjänster</t>
  </si>
  <si>
    <t>781, 782,784</t>
  </si>
  <si>
    <t>Pensionsutbetalningar intjänade fr.o.m.98</t>
  </si>
  <si>
    <t>[46]</t>
  </si>
  <si>
    <t>Köp av huvudverksamhet [46]</t>
  </si>
  <si>
    <t>verksamhet [46]</t>
  </si>
  <si>
    <t>617, 618</t>
  </si>
  <si>
    <t>63, 695</t>
  </si>
  <si>
    <t>361, 363</t>
  </si>
  <si>
    <t>361</t>
  </si>
  <si>
    <t>Därav köp av huvudverksamhet</t>
  </si>
  <si>
    <t>Motpartsredovisning av köp av huvudverksamhet [46]</t>
  </si>
  <si>
    <t>341</t>
  </si>
  <si>
    <t>651</t>
  </si>
  <si>
    <t>317</t>
  </si>
  <si>
    <t>327</t>
  </si>
  <si>
    <t>087</t>
  </si>
  <si>
    <t>062</t>
  </si>
  <si>
    <t>064</t>
  </si>
  <si>
    <t xml:space="preserve">6192, 692, 696 </t>
  </si>
  <si>
    <t>Differens mellan summan av rad 900-984 och RR rad 070</t>
  </si>
  <si>
    <t>Enskilda personer, hushåll</t>
  </si>
  <si>
    <t>Staten, statl. Myndigheter (inkl.FK)</t>
  </si>
  <si>
    <t xml:space="preserve"> [30, 34 ej 341, 35-36] </t>
  </si>
  <si>
    <t>Externa bostadshyror och lokalhyror</t>
  </si>
  <si>
    <t>inkomster</t>
  </si>
  <si>
    <t>Avsättningar för pensioner och liknande förpliktelser</t>
  </si>
  <si>
    <t>Avsättningar för särskild avtalspens, visstidspens.o liknande</t>
  </si>
  <si>
    <t>138</t>
  </si>
  <si>
    <t>Grundfondskapital</t>
  </si>
  <si>
    <t>133, 134</t>
  </si>
  <si>
    <t>132, 137</t>
  </si>
  <si>
    <t>104</t>
  </si>
  <si>
    <t>[31]</t>
  </si>
  <si>
    <t>Buss, bil och spårbundna persontransporter</t>
  </si>
  <si>
    <t>Väg- och järnvägsnät, parkering</t>
  </si>
  <si>
    <t xml:space="preserve">Lärverktyg </t>
  </si>
  <si>
    <t>Varor m.m.</t>
  </si>
  <si>
    <t>Kommun-                  nyckel</t>
  </si>
  <si>
    <t>SCB-             nyckel</t>
  </si>
  <si>
    <t xml:space="preserve">             Fördelning i kolumnen kommunnyckel </t>
  </si>
  <si>
    <t xml:space="preserve">             Fördelning i kolumnen SCB-nyckel</t>
  </si>
  <si>
    <t>20</t>
  </si>
  <si>
    <t>Invånarantal 1-5 år</t>
  </si>
  <si>
    <t>Invånarantal 6-12 år</t>
  </si>
  <si>
    <t>Invånarantal 6 år</t>
  </si>
  <si>
    <t>Invånarantal 7-15 år</t>
  </si>
  <si>
    <t>Invånarantal 16-18 år</t>
  </si>
  <si>
    <t>Förskola, kostnad per invånare 1-5 år</t>
  </si>
  <si>
    <t>Förskola, kostnad per invånare 1-5 år kommunal regi</t>
  </si>
  <si>
    <t>Förskola, kostnad för lokaler/invånare 1-5 år kommunal regi</t>
  </si>
  <si>
    <t>Förskola, köp av platser i annan kommun per invånare 1-5 år</t>
  </si>
  <si>
    <t>Förskola, försäljning av platser till annan kommun per invånare 1-5 år</t>
  </si>
  <si>
    <t>Förskola, köp av platser i enskild regi per invånare 1-5 år</t>
  </si>
  <si>
    <t>Kostnad per invånare 16-18 år kommunal regi.</t>
  </si>
  <si>
    <t>Kostnad per invånare 16-18 år för undervisning kommunal regi.</t>
  </si>
  <si>
    <t>Kostnad per invånare 16-18 år för lärverktyg kommunal regi.</t>
  </si>
  <si>
    <t>Kostnad per invånare 16-18 år för skolmåltider kommunal regi.</t>
  </si>
  <si>
    <t>Kostnad per invånare 16-18 år skolskjuts hemkommunen.</t>
  </si>
  <si>
    <t>Kostnad per invånare 16-18 år för elevhälsa kommunal regi.</t>
  </si>
  <si>
    <t>Lokalkostnad per invånare 16-18 år kommunal regi.</t>
  </si>
  <si>
    <t>Kostnad per invånare 16-18 år för övrigt kommunal regi.</t>
  </si>
  <si>
    <t>Kostnad per invånare 16-18 år för hemkommunen.</t>
  </si>
  <si>
    <t>Köp av platser i fristående skola per invånare 16-18 år</t>
  </si>
  <si>
    <t>Köp av platser i fristående skola per invånare 16-18 år.</t>
  </si>
  <si>
    <t>Kostnad per invånare 19-64 år kommunal regi</t>
  </si>
  <si>
    <t>Kostnad per invånare 19-64 år för undervisning.</t>
  </si>
  <si>
    <t>Kostnad per invånare 19-64 år för lärverktyg</t>
  </si>
  <si>
    <t>Kostnad per invånare 19-64 år för elevhälsa.</t>
  </si>
  <si>
    <t>Kostnad per invånare 19-64 år för lokaler.</t>
  </si>
  <si>
    <t>Kostnad per invånare 19-64 år för övigt.</t>
  </si>
  <si>
    <t>Kostnad per invånare 19-64 år för hemkommunen, grundläggande och gymnasial vuxenutbildning.</t>
  </si>
  <si>
    <t>Kostnad per invånare 7-15 år kommunal regi.</t>
  </si>
  <si>
    <t>Kostnad per  invånare 7-15 år för undervisning kommunal regi.</t>
  </si>
  <si>
    <t>Kostnad per  invånare 7-15 år för lärverktyg kommunal regi.</t>
  </si>
  <si>
    <t>Kostnad per  invånare 7-15 år för skolmåltider kommunal regi.</t>
  </si>
  <si>
    <t>Kostnad per  invånare 7-15 år för skolskjuts hemkommun.</t>
  </si>
  <si>
    <t>Kostnad per  invånare 7-15 år för elevhälsa kommunal regi.</t>
  </si>
  <si>
    <t>Kostnad per  invånare 7-15 år för lokaler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</si>
  <si>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</si>
  <si>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</si>
  <si>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</si>
  <si>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</si>
  <si>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</si>
  <si>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Förskoleklass, kostnad per invånare 6 år för hemkommunen</t>
  </si>
  <si>
    <t>Förskoleklass, kostnad per invånare 6 år kommunal regi</t>
  </si>
  <si>
    <t>Förskolklass, kostnad för lokaler/invånare 6 år i kommunal regi.</t>
  </si>
  <si>
    <t>Förskoleklass, köp av platser i annan kommun per invånare 6 år</t>
  </si>
  <si>
    <t>Förskoleklass, försäljning av platser till annan kommun per invånare 6 år.</t>
  </si>
  <si>
    <t>Förskoleklass, köp av platser i enskild regi per invånare 6 år.</t>
  </si>
  <si>
    <t>Fritidshem, kostnad per invånare 6-12 år för hemkommunen</t>
  </si>
  <si>
    <t>Fritidshem, kostnad per invånare 6-12 år kommunal regi</t>
  </si>
  <si>
    <t>Fritidshem, kostnad för lokaler/invånare 6-12 år kommunal regi</t>
  </si>
  <si>
    <t>Fritidshem, köp av platser i annan kommun per invånare 6-12 år</t>
  </si>
  <si>
    <t>Fritidshem, försäljning av platser till annan kommun per invånare 6-12 år</t>
  </si>
  <si>
    <t>Fritidshem, köp av platser i enskild regi per invånare 6-12 år</t>
  </si>
  <si>
    <t>147</t>
  </si>
  <si>
    <t>+ Inköp / nyanskaffning inklusive pågående arbeten</t>
  </si>
  <si>
    <t>(Reavinst vid) försäljning av anläggningstillgångar</t>
  </si>
  <si>
    <t>Inköp av maskiner o</t>
  </si>
  <si>
    <t>Inköp av mark, byggn.</t>
  </si>
  <si>
    <t>Investerings-</t>
  </si>
  <si>
    <t>utgifter</t>
  </si>
  <si>
    <t>Därav borgensåtaganden för lån</t>
  </si>
  <si>
    <t>042</t>
  </si>
  <si>
    <t xml:space="preserve">           varav  för lån av offentligt ägda bolag</t>
  </si>
  <si>
    <t>Återbet borgensåt.</t>
  </si>
  <si>
    <t>161</t>
  </si>
  <si>
    <t>162</t>
  </si>
  <si>
    <t>Kostnad per invånare 7-15 år för undervisning kommunal regi.</t>
  </si>
  <si>
    <t>Kostnad per invånare 7-15 år för lärverktyg kommunal regi.</t>
  </si>
  <si>
    <t>Kostnad per invånare 7-15 år för skolmåltider kommunal regi.</t>
  </si>
  <si>
    <t>Kostnad per invånare 7-15 år skolskjuts hemkommunen.</t>
  </si>
  <si>
    <t>Kostnad per invånare 7-15 år för elevhälsa kommunal regi.</t>
  </si>
  <si>
    <t>Lokalkostnad per invånare 7-15 år kommunal regi.</t>
  </si>
  <si>
    <t>Kostnad per invånare 7-15 år för övrigt kommunal regi.</t>
  </si>
  <si>
    <t>Kostnad per invånare 7-15 år för hemkommunen.</t>
  </si>
  <si>
    <t>Köp av platser i annan kommun per invånare 7-15 år.</t>
  </si>
  <si>
    <t>Försäljning av platser till annan kommun per invånare 7-15 år.</t>
  </si>
  <si>
    <t>Köp av platser i fristående skola per invånare 7-15 år.</t>
  </si>
  <si>
    <t>Pensionsutbetalningar</t>
  </si>
  <si>
    <t>Uppdragsutbildning m.m.</t>
  </si>
  <si>
    <t>Avgifter till utjämningssystemen</t>
  </si>
  <si>
    <t>(Reavinst vid) Försälj. av anl.tillg.[38]</t>
  </si>
  <si>
    <t>Nyckeltal kostnad kr per invånare eller andel av verksamhet</t>
  </si>
  <si>
    <t>Bidrag till infrastruktur</t>
  </si>
  <si>
    <t>Kostnadsföring bidrag till infrastruktur</t>
  </si>
  <si>
    <t>Upplösning aktiverat bidrag till infrastruktur</t>
  </si>
  <si>
    <t>Däravposter till finansiella intäkter</t>
  </si>
  <si>
    <t>733,734, 765</t>
  </si>
  <si>
    <t>Kostnad för eget åtagande</t>
  </si>
  <si>
    <t>Kostnad för</t>
  </si>
  <si>
    <t xml:space="preserve">Kostnad för </t>
  </si>
  <si>
    <t xml:space="preserve">BRUTTO- 
</t>
  </si>
  <si>
    <t>Begravningsavgift (Stockholm och Tranås)</t>
  </si>
  <si>
    <t>Netto-kostnad</t>
  </si>
  <si>
    <t xml:space="preserve">Produktions-kostnad </t>
  </si>
  <si>
    <t>Bruttokostnad ./. Bruttointäkt</t>
  </si>
  <si>
    <t>Bruttokostnad ./. Köp av huvud-verksamhet ./. Lämnade bidrag ./. Interna intäkter</t>
  </si>
  <si>
    <t xml:space="preserve">        kronor / invånare</t>
  </si>
  <si>
    <t xml:space="preserve">           Nyckeltal</t>
  </si>
  <si>
    <t>Bruttokostnad ./. Interna</t>
  </si>
  <si>
    <t xml:space="preserve">            Nyckeltal </t>
  </si>
  <si>
    <t>808, 809</t>
  </si>
  <si>
    <t>Kostnader för eget åtagande</t>
  </si>
  <si>
    <t>åtagande</t>
  </si>
  <si>
    <t>eget</t>
  </si>
  <si>
    <t>Kommentarer flyktingmott. o arbetsm.åtg:</t>
  </si>
  <si>
    <t>Kommentarer kultur o fritids-verksamhet:</t>
  </si>
  <si>
    <t>Kommentarer förskola, fritids-hem o annan ped.verks.:</t>
  </si>
  <si>
    <t xml:space="preserve">Kommentarer affärs-verksamhet: </t>
  </si>
  <si>
    <t>Kommentarer infrastruktur och skydd:</t>
  </si>
  <si>
    <t>Statsbidrag maxtaxa kolumn AB 
Statsbidrag kvalitetssäkran-de åtgärder kolumn AC</t>
  </si>
  <si>
    <r>
      <t xml:space="preserve">Nyckeltal, kronor / invånare
</t>
    </r>
    <r>
      <rPr>
        <sz val="7"/>
        <rFont val="Helvetica"/>
        <family val="2"/>
      </rPr>
      <t>och Kommentarrutor</t>
    </r>
  </si>
  <si>
    <t>Kommentarer VoO inkl. IFO</t>
  </si>
  <si>
    <t>342</t>
  </si>
  <si>
    <t>Avskrivningar, inklusive nedskrivningar</t>
  </si>
  <si>
    <t>bindelser (inklusive borgens- o förlustansvar                   småhus)</t>
  </si>
  <si>
    <t>Pensionsförplikt.    Inkl. löneskatt på</t>
  </si>
  <si>
    <t xml:space="preserve"> som inte har upptagits bland skulder el. avsättningar                pensionsförpliktelse</t>
  </si>
  <si>
    <t xml:space="preserve">Entrepren., Konsulter </t>
  </si>
  <si>
    <t>[617,618,74,75]</t>
  </si>
  <si>
    <t>[402]</t>
  </si>
  <si>
    <t>[403]</t>
  </si>
  <si>
    <t>Samtliga invest. entrepr. och  invest.konsulter ingår)</t>
  </si>
  <si>
    <t>067</t>
  </si>
  <si>
    <t>15-17</t>
  </si>
  <si>
    <t>Summa kortfristiga fordringar</t>
  </si>
  <si>
    <t>18</t>
  </si>
  <si>
    <t>131</t>
  </si>
  <si>
    <t>132</t>
  </si>
  <si>
    <t>133</t>
  </si>
  <si>
    <t>134</t>
  </si>
  <si>
    <t>242</t>
  </si>
  <si>
    <r>
      <rPr>
        <b/>
        <sz val="7"/>
        <rFont val="Helvetica"/>
        <family val="2"/>
      </rPr>
      <t>Kommun</t>
    </r>
    <r>
      <rPr>
        <sz val="7"/>
        <rFont val="Helvetica"/>
        <family val="2"/>
      </rPr>
      <t xml:space="preserve">
Maskiner och inventarier [12]</t>
    </r>
  </si>
  <si>
    <t xml:space="preserve">
Därav</t>
  </si>
  <si>
    <r>
      <t xml:space="preserve">Koncern
</t>
    </r>
    <r>
      <rPr>
        <sz val="7"/>
        <color indexed="8"/>
        <rFont val="Helvetica"/>
        <family val="2"/>
      </rPr>
      <t>Materiella anläggningstillg.[11,12]</t>
    </r>
  </si>
  <si>
    <t>Rad-nr</t>
  </si>
  <si>
    <t>Inköp och försäljning av mark oavsett bokfört som omsättningstillgång eller anläggningstillgång</t>
  </si>
  <si>
    <t xml:space="preserve">Vid redovisning av försäljning av mark ska enbart själva markens inkomst redovisas.  </t>
  </si>
  <si>
    <t>715</t>
  </si>
  <si>
    <t>720</t>
  </si>
  <si>
    <t>725</t>
  </si>
  <si>
    <t xml:space="preserve">Beloppen ska delas in utifrån den verksamhet som företagen klassificeras som enligt de alternativ som finns nedan.  T ex ska 50 % av ett bostadsföretags investeringsbelopp, som ägs </t>
  </si>
  <si>
    <t>Bransch</t>
  </si>
  <si>
    <t>Företagen/    dotterbolagen</t>
  </si>
  <si>
    <t>730</t>
  </si>
  <si>
    <t>Fastighetsverksamhet</t>
  </si>
  <si>
    <t>735</t>
  </si>
  <si>
    <t>Energi och vatten</t>
  </si>
  <si>
    <t>740</t>
  </si>
  <si>
    <t>Transport och kommunikation</t>
  </si>
  <si>
    <t>745</t>
  </si>
  <si>
    <t>Övriga</t>
  </si>
  <si>
    <t>750</t>
  </si>
  <si>
    <t>Summa</t>
  </si>
  <si>
    <t>(exkl. förs. av anl.tillgångar)</t>
  </si>
  <si>
    <t>Intäkter till Kolada</t>
  </si>
  <si>
    <t>Bruttointäkt minus Interna intäkter och försäljning till andra kommuner och landsting</t>
  </si>
  <si>
    <t>Därav personal-kostnader</t>
  </si>
  <si>
    <t>Netto-</t>
  </si>
  <si>
    <t>Dagverksamhet, ordinärt boende</t>
  </si>
  <si>
    <t>del av 453   [ej 4538]</t>
  </si>
  <si>
    <t>- Försäljningspris / avyttringsbelopp</t>
  </si>
  <si>
    <t>Däravposter till avsättningar och skulder</t>
  </si>
  <si>
    <t>Därav köp av huvudverk-samhet</t>
  </si>
  <si>
    <r>
      <t>Bidrag motpart staten och statliga myndigheter</t>
    </r>
    <r>
      <rPr>
        <b/>
        <sz val="7"/>
        <rFont val="Helvetica"/>
        <family val="2"/>
      </rPr>
      <t xml:space="preserve"> exkl.</t>
    </r>
    <r>
      <rPr>
        <sz val="7"/>
        <rFont val="Helvetica"/>
        <family val="2"/>
      </rPr>
      <t xml:space="preserve"> ersättning till FK för pers.assistenter</t>
    </r>
  </si>
  <si>
    <t xml:space="preserve">   därav investeringsbidrag från staten o statl.myndigheter</t>
  </si>
  <si>
    <t xml:space="preserve">   därav investeringsbidrag från EU</t>
  </si>
  <si>
    <t>del av 238</t>
  </si>
  <si>
    <t>del av 23</t>
  </si>
  <si>
    <t>755</t>
  </si>
  <si>
    <t>lämnas nedan</t>
  </si>
  <si>
    <t xml:space="preserve">Uppgifterna för koncernen </t>
  </si>
  <si>
    <t>Checkkredit, övriga långfristiga skulder</t>
  </si>
  <si>
    <t>Om ingen exakt uppdelning finns mellan mark och eventuell byggnad/anläggning så får en uppskattning med utgångspunkt ur bokfört värde göras.</t>
  </si>
  <si>
    <r>
      <t xml:space="preserve">Det som avses är de investeringar som har gjorts av de företag/bolag/stiftelser/kommunalförbund som konsolideras i den sammanställda redovisningen. </t>
    </r>
    <r>
      <rPr>
        <b/>
        <sz val="8"/>
        <rFont val="Helvetica"/>
        <family val="2"/>
      </rPr>
      <t xml:space="preserve">Endast kommunens andel  anges. </t>
    </r>
  </si>
  <si>
    <t>- Förlust vid avyttring och utrangering av anl.tillgångar</t>
  </si>
  <si>
    <t>Hälso- och sjukvård, övrigt (utöver den hemsjukvård som ingår på radnr 510, 520 eller 513)</t>
  </si>
  <si>
    <t>Totalt (exklusive försäljning av anl.tillg.)</t>
  </si>
  <si>
    <r>
      <t>Infrastruktur, skydd m.m.</t>
    </r>
    <r>
      <rPr>
        <sz val="7"/>
        <rFont val="Helvetica"/>
        <family val="2"/>
      </rPr>
      <t xml:space="preserve">                                                      Fysisk o. teknisk planering, bostadsförbättr.</t>
    </r>
  </si>
  <si>
    <t>inv. 65-w år</t>
  </si>
  <si>
    <t>inv. 0-64 år</t>
  </si>
  <si>
    <t>inv. 23-w år</t>
  </si>
  <si>
    <t>inv. 0-22 år</t>
  </si>
  <si>
    <t>inv. 23-64 år</t>
  </si>
  <si>
    <t>Enligt Verksamhetens intäkter och kostnader</t>
  </si>
  <si>
    <t>Därav                                köp av huvud-verksamhet</t>
  </si>
  <si>
    <t>Differens mellan summan av rad 800-844 och RR rad 060:</t>
  </si>
  <si>
    <t>Självrisker</t>
  </si>
  <si>
    <t>Infriad borgen</t>
  </si>
  <si>
    <t>Avgifter</t>
  </si>
  <si>
    <t>Nämnare nyckeltal och kommentar till kontroller</t>
  </si>
  <si>
    <t>Följande jämförelsestörande poster ingår i Resultaträkningen ovan:</t>
  </si>
  <si>
    <t>170</t>
  </si>
  <si>
    <t>175</t>
  </si>
  <si>
    <t>180</t>
  </si>
  <si>
    <t>del av 16</t>
  </si>
  <si>
    <t>Fördelad gemensam verksamhet (rad 920)</t>
  </si>
  <si>
    <t>735, 736, 738, 739</t>
  </si>
  <si>
    <t>utgifter i mat.</t>
  </si>
  <si>
    <r>
      <t xml:space="preserve">o immat. anl.    tillg.              </t>
    </r>
    <r>
      <rPr>
        <sz val="7"/>
        <rFont val="Helvetica"/>
        <family val="2"/>
      </rPr>
      <t xml:space="preserve">  (före konsolidering)</t>
    </r>
  </si>
  <si>
    <t>2019</t>
  </si>
  <si>
    <t>Generella statsbidrag och utjämning</t>
  </si>
  <si>
    <t>Resultat efter finansiella poster</t>
  </si>
  <si>
    <t>Extraordinära poster (netto)</t>
  </si>
  <si>
    <t>Kommunal borgensavgift</t>
  </si>
  <si>
    <t>Regioner</t>
  </si>
  <si>
    <t>[361]                      Motpart 82 och 83</t>
  </si>
  <si>
    <t>Försälj.av v-het o konsult- o andra tjänster, MP kommun</t>
  </si>
  <si>
    <t>Försälj.av v-het o konsult- o andra tjänster, MP kommunalförbund</t>
  </si>
  <si>
    <t>Försäljning av verksamhet, motpart region</t>
  </si>
  <si>
    <t>Summa kortfristiga placeringar (i värdepapper)</t>
  </si>
  <si>
    <t>Kassa och bank</t>
  </si>
  <si>
    <t>Transporter/resor, ej anställda o förtroendevalda</t>
  </si>
  <si>
    <t>Lokal- och bostadshyror</t>
  </si>
  <si>
    <r>
      <rPr>
        <strike/>
        <sz val="7"/>
        <rFont val="Helvetica"/>
        <family val="2"/>
      </rPr>
      <t>I</t>
    </r>
    <r>
      <rPr>
        <sz val="7"/>
        <rFont val="Helvetica"/>
        <family val="2"/>
      </rPr>
      <t>nhyrd personal</t>
    </r>
  </si>
  <si>
    <r>
      <t>Försäkrings</t>
    </r>
    <r>
      <rPr>
        <sz val="7"/>
        <rFont val="Helvetica"/>
        <family val="2"/>
      </rPr>
      <t>premier</t>
    </r>
  </si>
  <si>
    <t>6192, 692, 696, 73, 76</t>
  </si>
  <si>
    <t>kommunalförb.</t>
  </si>
  <si>
    <t>och regioner</t>
  </si>
  <si>
    <r>
      <t>Därav försäljn. av v-het till kommuner, kommunalförb. och</t>
    </r>
    <r>
      <rPr>
        <strike/>
        <sz val="7"/>
        <color rgb="FFFF0000"/>
        <rFont val="Helvetica"/>
        <family val="2"/>
      </rPr>
      <t xml:space="preserve"> </t>
    </r>
    <r>
      <rPr>
        <sz val="7"/>
        <rFont val="Helvetica"/>
        <family val="2"/>
      </rPr>
      <t>regioner</t>
    </r>
  </si>
  <si>
    <t>intäkter o förs.</t>
  </si>
  <si>
    <t>till andra kommuner</t>
  </si>
  <si>
    <t>361 motpart 82, 83, 84</t>
  </si>
  <si>
    <t>[361] motpart 82, 83, 84</t>
  </si>
  <si>
    <t>Försäljning av verksamhet till andra kommuner, kommunalförb. och regioner</t>
  </si>
  <si>
    <t>Bruttokostnad ./. Interna intäkter o.</t>
  </si>
  <si>
    <t>förs. av v-samhet</t>
  </si>
  <si>
    <t>regioner</t>
  </si>
  <si>
    <t>kommunalförb och</t>
  </si>
  <si>
    <t>Bruttokostnad  ./. Interna intäkter och försäljning till andra kommuner, kommunalförb. och regioner</t>
  </si>
  <si>
    <t>Övriga finansiella intäkter</t>
  </si>
  <si>
    <t>Övriga finansiella kostnader</t>
  </si>
  <si>
    <t>Förlust vid avyttring o värdering, finansiella oms.tillg.</t>
  </si>
  <si>
    <t>0731</t>
  </si>
  <si>
    <t>524</t>
  </si>
  <si>
    <t>328</t>
  </si>
  <si>
    <t>Försälj.av v-het o konsult- o andra tjänster, MP region</t>
  </si>
  <si>
    <r>
      <t>Därav personal</t>
    </r>
    <r>
      <rPr>
        <sz val="7"/>
        <rFont val="Helvetica"/>
        <family val="2"/>
      </rPr>
      <t>kostnad</t>
    </r>
  </si>
  <si>
    <t>Därav personalkostnad</t>
  </si>
  <si>
    <t>577</t>
  </si>
  <si>
    <t>Likvida medel (kassa, bank)  i % av externa driftkostnader</t>
  </si>
  <si>
    <t>[50-51, 53, 54, 55x2, 5598, 591 samt PO]</t>
  </si>
  <si>
    <t>[50-51, 53, 54, 55x2, 5598, 591] samt PO</t>
  </si>
  <si>
    <t>Skuld för avgifter samt offentliga bidrag (investeringar)</t>
  </si>
  <si>
    <t>Anslutnings- och anläggningsavg. (investeringar)</t>
  </si>
  <si>
    <t>Offentliga bidrag (investeringar)</t>
  </si>
  <si>
    <t>50, 51, 53, 54, 55x2, 5598</t>
  </si>
  <si>
    <t>56 [ej 5635]</t>
  </si>
  <si>
    <t>572, 5635</t>
  </si>
  <si>
    <t>Verksamhetens resultat</t>
  </si>
  <si>
    <t>Därav försäljn. av verksamhet till annan kommun/kommunalförbund</t>
  </si>
  <si>
    <t>Försäljning av platser till annan kommun/kommunalförb. per invånare 16-18 år.</t>
  </si>
  <si>
    <t>Köp av platser i annan kommun/kommunalförb. per invånare 16-18 år.</t>
  </si>
  <si>
    <t>Köp av platser från region per invånare 7-15 år.</t>
  </si>
  <si>
    <t>Köp av plater från region per invånare 16-18 år.</t>
  </si>
  <si>
    <t>Kommunalförbund och SKR</t>
  </si>
  <si>
    <t>Kostn.ers. o rikt bidrag, MP Arbetsförmedlingen</t>
  </si>
  <si>
    <t>Kostn.ers. o rikt.bidrag, MP kommuner, komm.förb. o region</t>
  </si>
  <si>
    <t>Kostn.ers. o rikt. bidrag, MP staten o statl. myndigh exkl AF, ej invest</t>
  </si>
  <si>
    <t>Förs. av v-het. till region</t>
  </si>
  <si>
    <t xml:space="preserve">Investeringar fördelade på verksamheter </t>
  </si>
  <si>
    <t xml:space="preserve">Tilläggsuppgifter avseende kommunens investeringsredovisning </t>
  </si>
  <si>
    <t xml:space="preserve">Tilläggsuppgifter avseende investeringar i företag/bolag/stiftelser/kommunalförbund som konsolideras i den sammanställda redovisningen </t>
  </si>
  <si>
    <t>Skulder för statsbidrag, fastighetsavgift, fastighetsskatt mm.</t>
  </si>
  <si>
    <t>fordringar för statliga bidrag och kostnadsers.</t>
  </si>
  <si>
    <t>del av 24</t>
  </si>
  <si>
    <t>352</t>
  </si>
  <si>
    <t>352, 359</t>
  </si>
  <si>
    <t>Återvunna, tidigare avskrivna kundfordringar</t>
  </si>
  <si>
    <t>Intäkter från exploateringsverksamhet sam försälj. av OT</t>
  </si>
  <si>
    <t>22</t>
  </si>
  <si>
    <t>231</t>
  </si>
  <si>
    <t>Övriga ersättningar, exploateringsverksamhet</t>
  </si>
  <si>
    <t xml:space="preserve">   därav investeringsinkomster från företag</t>
  </si>
  <si>
    <t xml:space="preserve">   därav övriga investeringsinkomster</t>
  </si>
  <si>
    <t>329</t>
  </si>
  <si>
    <t>105</t>
  </si>
  <si>
    <t>Investeringsinkomster som utbetalats till kommunen eller som kommunen erhållit, under året</t>
  </si>
  <si>
    <t>Bidrag/gåvor från privata aktörer</t>
  </si>
  <si>
    <t xml:space="preserve">På rad 740 borde det finnas ett belopp eller beloppet borde vara högre.
</t>
  </si>
  <si>
    <t>Försäljning och värdering, finans. omsättningstillg.</t>
  </si>
  <si>
    <t>Försäljning och värdering, finans. anläggningstillg.</t>
  </si>
  <si>
    <t>Aktier samt andelar i finansiella instrument</t>
  </si>
  <si>
    <t>Ersättningar från FK för personliga assistenter</t>
  </si>
  <si>
    <t>Bidrag till juridiska personer</t>
  </si>
  <si>
    <t>Ersättning till FK för personliga assistenter</t>
  </si>
  <si>
    <t>Anskaffningskostnad, såld exploateringsfastighet</t>
  </si>
  <si>
    <t>Anskaff.kostnad, såld exploat.fastig [418]</t>
  </si>
  <si>
    <t>[342, 351 [ej mp 81], 352, 354, 356, 357, 359]</t>
  </si>
  <si>
    <t>Obligationer och andra värdepapper (exkl certifikat)</t>
  </si>
  <si>
    <t>[601 (interna poster)]</t>
  </si>
  <si>
    <t xml:space="preserve">Försäljning av mark, brutto </t>
  </si>
  <si>
    <t>79,                  852 (interna poster) ]</t>
  </si>
  <si>
    <t>+/- Omklassificeringar mellan kontogrupper</t>
  </si>
  <si>
    <t>2341</t>
  </si>
  <si>
    <t>2342</t>
  </si>
  <si>
    <t>Lån i banker och kreditinstitut utländsk valuta</t>
  </si>
  <si>
    <t>Lagstadgade sociala avgifter och särskild löneskatt</t>
  </si>
  <si>
    <t>Not 1: 26-27 (ej 271-272), 289, 29 (ej 292, 293, 296, 298)</t>
  </si>
  <si>
    <t>Inköp av mark (inköpspris)</t>
  </si>
  <si>
    <t>Nyckeltal kr/inv
Kommunen</t>
  </si>
  <si>
    <t>Rad
nr</t>
  </si>
  <si>
    <t>102</t>
  </si>
  <si>
    <t>Kostn.ers. o rikt.bidrag, MP föreningar och stiftelser</t>
  </si>
  <si>
    <r>
      <rPr>
        <b/>
        <sz val="7"/>
        <rFont val="Helvetica"/>
        <family val="2"/>
      </rPr>
      <t>Därav</t>
    </r>
    <r>
      <rPr>
        <sz val="7"/>
        <rFont val="Helvetica"/>
        <family val="2"/>
      </rPr>
      <t xml:space="preserve"> jämförelsestörande intäkter </t>
    </r>
    <r>
      <rPr>
        <b/>
        <sz val="7"/>
        <rFont val="Helvetica"/>
        <family val="2"/>
      </rPr>
      <t>på rad 010</t>
    </r>
  </si>
  <si>
    <r>
      <rPr>
        <b/>
        <sz val="7"/>
        <rFont val="Helvetica"/>
        <family val="2"/>
      </rPr>
      <t>Därav</t>
    </r>
    <r>
      <rPr>
        <sz val="7"/>
        <rFont val="Helvetica"/>
        <family val="2"/>
      </rPr>
      <t xml:space="preserve"> jämförelsestörande kostnader </t>
    </r>
    <r>
      <rPr>
        <b/>
        <sz val="7"/>
        <rFont val="Helvetica"/>
        <family val="2"/>
      </rPr>
      <t xml:space="preserve">på rad 020 </t>
    </r>
    <r>
      <rPr>
        <sz val="7"/>
        <rFont val="Helvetica"/>
        <family val="2"/>
      </rPr>
      <t xml:space="preserve"> </t>
    </r>
  </si>
  <si>
    <r>
      <rPr>
        <b/>
        <sz val="7"/>
        <rFont val="Helvetica"/>
        <family val="2"/>
      </rPr>
      <t>Därav</t>
    </r>
    <r>
      <rPr>
        <sz val="7"/>
        <rFont val="Helvetica"/>
        <family val="2"/>
      </rPr>
      <t xml:space="preserve"> jämförelsestörande av-/nedskrivningar </t>
    </r>
    <r>
      <rPr>
        <b/>
        <sz val="7"/>
        <rFont val="Helvetica"/>
        <family val="2"/>
      </rPr>
      <t>på rad 025</t>
    </r>
  </si>
  <si>
    <r>
      <rPr>
        <b/>
        <sz val="7"/>
        <rFont val="Helvetica"/>
        <family val="2"/>
      </rPr>
      <t xml:space="preserve">Därav </t>
    </r>
    <r>
      <rPr>
        <sz val="7"/>
        <rFont val="Helvetica"/>
        <family val="2"/>
      </rPr>
      <t>jämförelsestörande finansiella kostnader</t>
    </r>
    <r>
      <rPr>
        <b/>
        <sz val="7"/>
        <rFont val="Helvetica"/>
        <family val="2"/>
      </rPr>
      <t xml:space="preserve"> på rad 070</t>
    </r>
  </si>
  <si>
    <r>
      <rPr>
        <b/>
        <sz val="7"/>
        <rFont val="Helvetica"/>
        <family val="2"/>
      </rPr>
      <t>Därav</t>
    </r>
    <r>
      <rPr>
        <sz val="7"/>
        <rFont val="Helvetica"/>
        <family val="2"/>
      </rPr>
      <t xml:space="preserve"> jämförelsestörande finansiella intäkter</t>
    </r>
    <r>
      <rPr>
        <b/>
        <sz val="7"/>
        <rFont val="Helvetica"/>
        <family val="2"/>
      </rPr>
      <t xml:space="preserve"> på rad 060</t>
    </r>
  </si>
  <si>
    <t>Summa materiella anläggningstillgångar</t>
  </si>
  <si>
    <t>Summa finansiella anläggningstillgångar</t>
  </si>
  <si>
    <t>Förråd, lager, exploateringsfastigheter</t>
  </si>
  <si>
    <t>Förutbet. kost. o upplupna intäkter, exkl. upplupna skatteint.</t>
  </si>
  <si>
    <t>exploateringsfastigheter (avser kommun)</t>
  </si>
  <si>
    <t>SUMMA OMSÄTTNINGSTILLGÅNGAR</t>
  </si>
  <si>
    <t>Lån i banker och kreditinstitut svenska kronor</t>
  </si>
  <si>
    <t>Justering av eget kapital, ingående värde</t>
  </si>
  <si>
    <t>SKULDER, AVSÄTTNINGAR O. EGET KAPITAL</t>
  </si>
  <si>
    <t>avsättning för återställ. av deponier/soptippar</t>
  </si>
  <si>
    <t>avsättning bidrag till infrastruktur</t>
  </si>
  <si>
    <t>uppbokade offentliga bidrag (investeringar)</t>
  </si>
  <si>
    <t>nyupptagna långfristiga lån</t>
  </si>
  <si>
    <t xml:space="preserve">kortfristiga skulder till koncernföretag </t>
  </si>
  <si>
    <t>kortfristig del av långfristig skuld</t>
  </si>
  <si>
    <t>lev.skulder till kommunens koncernföretag</t>
  </si>
  <si>
    <t>för vidareutlåning till koncernföretag</t>
  </si>
  <si>
    <t>lån för vidarutlåning till koncernföretag</t>
  </si>
  <si>
    <t>upplupen särsk. löneskatt avgiftsbest. ålderspension</t>
  </si>
  <si>
    <t xml:space="preserve">                                varav kortfristig del av långfristig skuld</t>
  </si>
  <si>
    <r>
      <rPr>
        <b/>
        <sz val="7"/>
        <rFont val="Helvetica"/>
        <family val="2"/>
      </rPr>
      <t xml:space="preserve">koncern: </t>
    </r>
    <r>
      <rPr>
        <sz val="7"/>
        <rFont val="Helvetica"/>
        <family val="2"/>
      </rPr>
      <t>kortfristiga skulder till kreditinstitut och kunder</t>
    </r>
  </si>
  <si>
    <t>Borgen o andra förplikt. gentemot övriga bostadsföretag och bostadsrättsför.</t>
  </si>
  <si>
    <t>Övr. ansvarsför-  för egnahem o</t>
  </si>
  <si>
    <t>Bidrag/gåvor från privata aktörer och övriga bidrag</t>
  </si>
  <si>
    <t>SUMMERING AV VERKSAMHETENS INTÄKTER</t>
  </si>
  <si>
    <t>SUMMERING AV VERKSAMHETENS KOSTNADER</t>
  </si>
  <si>
    <t>Försäljning av verksamhet, motpart kommunalför.</t>
  </si>
  <si>
    <t>Förs. intäkter,  övriga ersättningar och intäkter</t>
  </si>
  <si>
    <t>Särskild momsersättning vid köp av ej skattepliktig verksamhet</t>
  </si>
  <si>
    <t>Försälj.av v-het o konsult- o andra tjänster, MP övr., återv. kundfo.</t>
  </si>
  <si>
    <t>Aktivering av eget arbete vid utveckling av anläggningstillgångar</t>
  </si>
  <si>
    <t>Förändring pensionsavs. inkl. särskild löneskatt på avsättning pens.</t>
  </si>
  <si>
    <t>Bränsle, energi och vatten, drivmedel</t>
  </si>
  <si>
    <t>Fastighets-, anläggnings- och reparationsentreprenader</t>
  </si>
  <si>
    <t>Operationell leasing/hyra av mask., invent., bilar o transp.medel</t>
  </si>
  <si>
    <t>Tele-, IT-kommunikation o. postbefordran</t>
  </si>
  <si>
    <t>Fastighetsskatt och fastighetsavgift, fordons- o trängselskatt, försäkringspremier o riskkostnader, diverse kostnader</t>
  </si>
  <si>
    <t>Förlust vid avyttring o utrangering av mat. o. immat. anl.tillgångar</t>
  </si>
  <si>
    <t>Kostnadsers.o.rikt. bidrag motpart regioner</t>
  </si>
  <si>
    <t>Pensionsutbetalningar intjänade före 98</t>
  </si>
  <si>
    <t>Pensionsutbet. särsk. avtalspens., visstidspens.</t>
  </si>
  <si>
    <t>Larm o bevakning, brandskydd, avgifter för kurser m.m.</t>
  </si>
  <si>
    <t>Kundförluster, straffavgifter m.m., förluster på kortfr.fordringar, övr. riskkostnader</t>
  </si>
  <si>
    <t>Fastighetsskatt o -avgift, fordons- o. trängselskatt</t>
  </si>
  <si>
    <t>Verksamhetens nettokostnader / Skatteintäkter, generella statsbidrag och utjämning</t>
  </si>
  <si>
    <t>Finansnetto / Skatteintäkter, generella statsbidrag och utjämning</t>
  </si>
  <si>
    <t>Resultat efter finansiella poster / Skatteintäkter, generella statsbidrag och utjämning</t>
  </si>
  <si>
    <t>Årets resultat / Skatteintäkter, generella statsbidrag och utjämning</t>
  </si>
  <si>
    <t>Särsk. löneskatt, exkl. särsk.löneskatt på avs. pens.</t>
  </si>
  <si>
    <t>Finansiell kostnad, förändring av pensionsavs.</t>
  </si>
  <si>
    <t>Förlust vid avyttring o värdering, finansiella anl.tillg</t>
  </si>
  <si>
    <t>Utdeln.aktier, andelar i konc.ftg.</t>
  </si>
  <si>
    <t xml:space="preserve">Mellankommunal kostn.utj., övriga skatter </t>
  </si>
  <si>
    <r>
      <rPr>
        <b/>
        <sz val="7"/>
        <rFont val="Helvetica"/>
        <family val="2"/>
      </rPr>
      <t>Kommun</t>
    </r>
    <r>
      <rPr>
        <sz val="7"/>
        <rFont val="Helvetica"/>
        <family val="2"/>
      </rPr>
      <t xml:space="preserve">
Mark, byggn. och tekn. anläggningar [11]</t>
    </r>
  </si>
  <si>
    <r>
      <rPr>
        <b/>
        <sz val="7"/>
        <rFont val="Helvetica"/>
        <family val="2"/>
      </rPr>
      <t>Kommun</t>
    </r>
    <r>
      <rPr>
        <sz val="7"/>
        <rFont val="Helvetica"/>
        <family val="2"/>
      </rPr>
      <t xml:space="preserve">
Finansiella anläggnings-tillgångar              [13 ej 139]</t>
    </r>
  </si>
  <si>
    <r>
      <t xml:space="preserve">Koncern
</t>
    </r>
    <r>
      <rPr>
        <sz val="7"/>
        <color indexed="8"/>
        <rFont val="Helvetica"/>
        <family val="2"/>
      </rPr>
      <t>Finansiella anläggningstillg. [13, ej 139]</t>
    </r>
  </si>
  <si>
    <r>
      <t xml:space="preserve">till 50 % av kommunen, anges på raden för fastighetsverksamhet. I beloppet ska bolagets samtliga investeringsutgifter/inkomster </t>
    </r>
    <r>
      <rPr>
        <i/>
        <sz val="8"/>
        <color rgb="FFFF0000"/>
        <rFont val="Helvetica"/>
        <family val="2"/>
      </rPr>
      <t>avseende materiella och immateriella anläggningstillgångar</t>
    </r>
    <r>
      <rPr>
        <sz val="8"/>
        <rFont val="Helvetica"/>
        <family val="2"/>
      </rPr>
      <t xml:space="preserve"> ingå, dvs. inte enbart fastighetsinvesteringar.</t>
    </r>
  </si>
  <si>
    <r>
      <rPr>
        <b/>
        <sz val="7"/>
        <rFont val="Helvetica"/>
        <family val="2"/>
      </rPr>
      <t xml:space="preserve">AFFÄRSVERKSAMHET  </t>
    </r>
    <r>
      <rPr>
        <sz val="7"/>
        <rFont val="Helvetica"/>
        <family val="2"/>
      </rPr>
      <t xml:space="preserve">                          
</t>
    </r>
    <r>
      <rPr>
        <b/>
        <sz val="7"/>
        <rFont val="Helvetica"/>
        <family val="2"/>
      </rPr>
      <t xml:space="preserve">Näringsliv och bostäder                                 </t>
    </r>
    <r>
      <rPr>
        <sz val="7"/>
        <rFont val="Helvetica"/>
        <family val="2"/>
      </rPr>
      <t>Arbetsområden och lokaler</t>
    </r>
  </si>
  <si>
    <t>Förskola, fritidshem o annan ped.verksamhet tot.</t>
  </si>
  <si>
    <r>
      <t>Därav utdebiterat till verksamheterna (raderna)</t>
    </r>
    <r>
      <rPr>
        <sz val="7"/>
        <color rgb="FFFFFFCC"/>
        <rFont val="Helvetica"/>
        <family val="2"/>
      </rPr>
      <t xml:space="preserve"> …………..</t>
    </r>
    <r>
      <rPr>
        <sz val="7"/>
        <rFont val="Helvetica"/>
        <family val="2"/>
      </rPr>
      <t xml:space="preserve">100-910 i regel i kol.M </t>
    </r>
  </si>
  <si>
    <t>Div. förluster, övr.risk. [735,736,737,738,739]</t>
  </si>
  <si>
    <t>Förs. av v-het. till annan kommun o kom.förbund</t>
  </si>
  <si>
    <t>Driftbidrag fr. staten, statl. mynd. inkl. AF</t>
  </si>
  <si>
    <t>Nedan fördelas summan av beloppen i kol. C och D på rad 987, inköp/nyansk. inkl. pågående arbeten och nyanskaffad finansiell leasing. Investeringar i immateriella anl.tillg. ska ingå. Finansiella anläggningstillgångar ska ej ingå.</t>
  </si>
  <si>
    <t>Anpassad grundskola, totalt</t>
  </si>
  <si>
    <t>Anpassad gymnasieskola, totalt</t>
  </si>
  <si>
    <t>Anpassad grundskola</t>
  </si>
  <si>
    <t>Anpassad gymnasieskola</t>
  </si>
  <si>
    <t>Differens anpassad grundskola</t>
  </si>
  <si>
    <t>Differens anpassad gymnasieskolan</t>
  </si>
  <si>
    <r>
      <rPr>
        <b/>
        <sz val="7"/>
        <rFont val="Helvetica"/>
        <family val="2"/>
      </rPr>
      <t>Not 1:</t>
    </r>
    <r>
      <rPr>
        <sz val="7"/>
        <rFont val="Helvetica"/>
        <family val="2"/>
      </rPr>
      <t xml:space="preserve"> 41, 43, 64 ej 644, 654, 655  </t>
    </r>
  </si>
  <si>
    <r>
      <rPr>
        <b/>
        <sz val="7"/>
        <rFont val="Helvetica"/>
        <family val="2"/>
      </rPr>
      <t>Not 2</t>
    </r>
    <r>
      <rPr>
        <sz val="7"/>
        <rFont val="Helvetica"/>
        <family val="2"/>
      </rPr>
      <t>: 55x1, 5597, 61 ej [617, 618, 6192], 699, 705, 71-72</t>
    </r>
  </si>
  <si>
    <t>Räntekostnader för leverantörsskulder</t>
  </si>
  <si>
    <t>Komvux, anpassad utbildning</t>
  </si>
  <si>
    <t>Grundskola inkl förskoleklass och anpassad grundskola</t>
  </si>
  <si>
    <t>Gymnasieskola inkl anpassad gymnasieskola</t>
  </si>
  <si>
    <t>Svenska för invandrare</t>
  </si>
  <si>
    <t>Differens svenska för invandrare</t>
  </si>
  <si>
    <t xml:space="preserve">Särskilt boende </t>
  </si>
  <si>
    <t>Annat boende</t>
  </si>
  <si>
    <t>[41"ej 418", 43, 617, 618, 62, 64-65, 691]</t>
  </si>
  <si>
    <t>476</t>
  </si>
  <si>
    <t>4761</t>
  </si>
  <si>
    <t>4762</t>
  </si>
  <si>
    <t>4766</t>
  </si>
  <si>
    <t>4767</t>
  </si>
  <si>
    <t>4768</t>
  </si>
  <si>
    <t>47681</t>
  </si>
  <si>
    <t>59 [ej 591]</t>
  </si>
  <si>
    <t>Övriga lönejusteringar</t>
  </si>
  <si>
    <t>[55x1, 5597, 60,"ej 601", 61"ej 617,618", 63, 66, 68, 69"ej 691", 70-72, 731-734, 74, 75, 76]</t>
  </si>
  <si>
    <t>Särskilt boende</t>
  </si>
  <si>
    <t>Obligationsprogram och förlagslån</t>
  </si>
  <si>
    <t>2282</t>
  </si>
  <si>
    <t>Generella bidrag från staten.</t>
  </si>
  <si>
    <t>Reaförluster o div. period. [78]</t>
  </si>
  <si>
    <t>varav för lån</t>
  </si>
  <si>
    <t xml:space="preserve">Rad nr </t>
  </si>
  <si>
    <t xml:space="preserve">        varav resultatreserv </t>
  </si>
  <si>
    <t xml:space="preserve">        varav resultatutjämningsreserv</t>
  </si>
  <si>
    <t>Förändr.pens.avs.[572] o.särsk.lönesk.pens.avs.[5635], del av 59</t>
  </si>
  <si>
    <t>Invånarantal 16 - w</t>
  </si>
  <si>
    <t>Kostnad per invånare 16-w år kommunal regi</t>
  </si>
  <si>
    <t>Kostnad per invånare 16-w år för undervisning.</t>
  </si>
  <si>
    <t>Kostnad per invånare 16-w år för lärverktyg</t>
  </si>
  <si>
    <t>Kostnad per invånare 16-w år för elevhälsa.</t>
  </si>
  <si>
    <t>Kostnad per invånare 16-w år för lokaler.</t>
  </si>
  <si>
    <t>Kostnad per invånare 16-w år för övigt.</t>
  </si>
  <si>
    <t>Kostnad per invånare 16-w år för hemkommunen, svenska för invandrare.</t>
  </si>
  <si>
    <t>061</t>
  </si>
  <si>
    <t>0732</t>
  </si>
  <si>
    <t>0733</t>
  </si>
  <si>
    <t>Övriga kortfristiga placeringar</t>
  </si>
  <si>
    <t>057</t>
  </si>
  <si>
    <t xml:space="preserve">        varav resultatreserv</t>
  </si>
  <si>
    <t>Eget kapital vid årets början</t>
  </si>
  <si>
    <t>EGET KAPITAL VID ÅRETS SLUT</t>
  </si>
  <si>
    <t>Åberopar synnerliga skäl för att inte återställa hela eller delar av årets negativa balanskravsresultat - ange belopp!</t>
  </si>
  <si>
    <t>Ackumulerat negativt balanskravsresultat att återställa</t>
  </si>
  <si>
    <t>Åberopar synnerliga skäl för att återställa årets negativa balanskravsresultat på fler än tre år - ange antal år!</t>
  </si>
  <si>
    <t>Årets balanskravsresultat att återställa, efter synnerliga skäl</t>
  </si>
  <si>
    <t>Synnerliga skäl (årets balanskravsresultat)</t>
  </si>
  <si>
    <t>Negativt balanskravsresultat att återställa från tidigare år</t>
  </si>
  <si>
    <t>Ackumulerat ej återställt negativt balanskravsresultat (från tidigare år inkl. årets ev negativa balanskravsresultat)</t>
  </si>
  <si>
    <t>Övriga justeringar i eget kapital</t>
  </si>
  <si>
    <t>Soc.avg o pens.utbet./kostn. [56 "ej 5635", del av 59, 57 "ej 572"]</t>
  </si>
  <si>
    <t>[50-51, 53, 54, 55x2, 5598, del av 59]</t>
  </si>
  <si>
    <t>RIKSTOTAL</t>
  </si>
  <si>
    <t>Kommunernas finanser</t>
  </si>
  <si>
    <t>Räkenskapssammandraget 2024</t>
  </si>
  <si>
    <t>Värde Mnkr</t>
  </si>
  <si>
    <t>Därav interna intäkter</t>
  </si>
  <si>
    <t>Publiceringsdatum: 250617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</si>
</sst>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kr&quot;#,##0_);[Red]\(&quot;kr&quot;#,##0\)"/>
    <numFmt numFmtId="165" formatCode="_(* #,##0.00_);_(* \(#,##0.00\);_(* &quot;-&quot;??_);_(@_)"/>
    <numFmt numFmtId="166" formatCode="000"/>
    <numFmt numFmtId="167" formatCode="###,###,###"/>
    <numFmt numFmtId="168" formatCode=";;;"/>
    <numFmt numFmtId="169" formatCode="#,##0.0000"/>
    <numFmt numFmtId="170" formatCode="###,##0"/>
    <numFmt numFmtId="171" formatCode="#,###"/>
    <numFmt numFmtId="172" formatCode="#,##0.0000000"/>
    <numFmt numFmtId="173" formatCode="#\ ##0"/>
  </numFmts>
  <fonts count="150">
    <font>
      <sz val="10"/>
      <name val="Arial"/>
    </font>
    <font>
      <sz val="11"/>
      <color theme="1"/>
      <name val="Calibri"/>
      <family val="2"/>
      <scheme val="minor"/>
    </font>
    <font>
      <sz val="10"/>
      <name val="Helvetica"/>
      <family val="2"/>
    </font>
    <font>
      <sz val="8"/>
      <name val="Helvetica"/>
      <family val="2"/>
    </font>
    <font>
      <sz val="7"/>
      <name val="Helvetica"/>
      <family val="2"/>
    </font>
    <font>
      <b/>
      <sz val="8"/>
      <name val="Helvetica"/>
      <family val="2"/>
    </font>
    <font>
      <b/>
      <sz val="7"/>
      <name val="Helvetica"/>
      <family val="2"/>
    </font>
    <font>
      <b/>
      <sz val="11"/>
      <name val="Helvetica"/>
      <family val="2"/>
    </font>
    <font>
      <sz val="7"/>
      <name val="Arial"/>
      <family val="2"/>
    </font>
    <font>
      <sz val="7"/>
      <name val="Helvetica"/>
      <family val="2"/>
    </font>
    <font>
      <sz val="8"/>
      <name val="Arial"/>
      <family val="2"/>
    </font>
    <font>
      <sz val="8"/>
      <color indexed="8"/>
      <name val="Helvetica"/>
      <family val="2"/>
    </font>
    <font>
      <sz val="7"/>
      <name val="Arial"/>
      <family val="2"/>
    </font>
    <font>
      <b/>
      <sz val="7"/>
      <name val="Arial"/>
      <family val="2"/>
    </font>
    <font>
      <sz val="8"/>
      <name val="Helvetica"/>
      <family val="2"/>
    </font>
    <font>
      <b/>
      <sz val="8"/>
      <color indexed="81"/>
      <name val="Tahoma"/>
      <family val="2"/>
    </font>
    <font>
      <sz val="8"/>
      <color indexed="81"/>
      <name val="Tahoma"/>
      <family val="2"/>
    </font>
    <font>
      <b/>
      <sz val="7"/>
      <name val="Helvetica"/>
      <family val="2"/>
    </font>
    <font>
      <b/>
      <sz val="10"/>
      <name val="Helvetica"/>
      <family val="2"/>
    </font>
    <font>
      <sz val="7"/>
      <color indexed="8"/>
      <name val="Helvetica"/>
      <family val="2"/>
    </font>
    <font>
      <sz val="12"/>
      <name val="Times New Roman"/>
      <family val="1"/>
    </font>
    <font>
      <b/>
      <sz val="12"/>
      <name val="Helvetica"/>
      <family val="2"/>
    </font>
    <font>
      <b/>
      <sz val="8"/>
      <name val="Arial"/>
      <family val="2"/>
    </font>
    <font>
      <sz val="12"/>
      <name val="Helvetica"/>
      <family val="2"/>
    </font>
    <font>
      <sz val="10"/>
      <name val="MS Sans Serif"/>
      <family val="2"/>
    </font>
    <font>
      <sz val="10"/>
      <name val="Arial"/>
      <family val="2"/>
    </font>
    <font>
      <sz val="8"/>
      <name val="Arial"/>
      <family val="2"/>
    </font>
    <font>
      <b/>
      <sz val="9"/>
      <name val="Helvetica"/>
      <family val="2"/>
    </font>
    <font>
      <b/>
      <sz val="7"/>
      <name val="Coronet"/>
      <family val="2"/>
    </font>
    <font>
      <b/>
      <sz val="8"/>
      <name val="Coronet"/>
      <family val="2"/>
    </font>
    <font>
      <b/>
      <sz val="11"/>
      <name val="Coronet"/>
      <family val="2"/>
    </font>
    <font>
      <b/>
      <sz val="12"/>
      <color indexed="9"/>
      <name val="Arial Black"/>
      <family val="2"/>
    </font>
    <font>
      <sz val="10"/>
      <color indexed="9"/>
      <name val="Coronet"/>
      <family val="2"/>
    </font>
    <font>
      <b/>
      <sz val="9"/>
      <color indexed="9"/>
      <name val="Coronet"/>
      <family val="2"/>
    </font>
    <font>
      <b/>
      <sz val="16"/>
      <color indexed="9"/>
      <name val="Arial"/>
      <family val="2"/>
    </font>
    <font>
      <sz val="10"/>
      <name val="Arial"/>
      <family val="2"/>
    </font>
    <font>
      <sz val="10"/>
      <name val="Helvetica"/>
      <family val="2"/>
    </font>
    <font>
      <sz val="7"/>
      <color indexed="10"/>
      <name val="Helvetica"/>
      <family val="2"/>
    </font>
    <font>
      <sz val="8"/>
      <color indexed="10"/>
      <name val="Helvetica"/>
      <family val="2"/>
    </font>
    <font>
      <sz val="7"/>
      <color indexed="10"/>
      <name val="Arial"/>
      <family val="2"/>
    </font>
    <font>
      <sz val="9"/>
      <name val="Helvetica"/>
      <family val="2"/>
    </font>
    <font>
      <sz val="10"/>
      <color indexed="9"/>
      <name val="Arial"/>
      <family val="2"/>
    </font>
    <font>
      <sz val="7"/>
      <color indexed="37"/>
      <name val="Helvetica"/>
      <family val="2"/>
    </font>
    <font>
      <sz val="8"/>
      <color indexed="37"/>
      <name val="Helvetica"/>
      <family val="2"/>
    </font>
    <font>
      <sz val="7"/>
      <color indexed="8"/>
      <name val="Arial"/>
      <family val="2"/>
    </font>
    <font>
      <sz val="10"/>
      <color indexed="39"/>
      <name val="Arial"/>
      <family val="2"/>
    </font>
    <font>
      <sz val="8"/>
      <color indexed="39"/>
      <name val="Helvetica"/>
      <family val="2"/>
    </font>
    <font>
      <b/>
      <sz val="7"/>
      <color indexed="10"/>
      <name val="Helvetica"/>
      <family val="2"/>
    </font>
    <font>
      <sz val="7"/>
      <color indexed="39"/>
      <name val="Arial"/>
      <family val="2"/>
    </font>
    <font>
      <sz val="8"/>
      <color indexed="12"/>
      <name val="Helvetica"/>
      <family val="2"/>
    </font>
    <font>
      <sz val="8"/>
      <color indexed="39"/>
      <name val="Arial"/>
      <family val="2"/>
    </font>
    <font>
      <b/>
      <sz val="7"/>
      <color indexed="10"/>
      <name val="Arial"/>
      <family val="2"/>
    </font>
    <font>
      <b/>
      <sz val="10"/>
      <name val="Arial"/>
      <family val="2"/>
    </font>
    <font>
      <sz val="9"/>
      <color indexed="39"/>
      <name val="Helvetica"/>
      <family val="2"/>
    </font>
    <font>
      <b/>
      <sz val="10"/>
      <color indexed="37"/>
      <name val="Helvetica"/>
      <family val="2"/>
    </font>
    <font>
      <b/>
      <sz val="9"/>
      <color indexed="8"/>
      <name val="Arial Black"/>
      <family val="2"/>
    </font>
    <font>
      <b/>
      <sz val="12"/>
      <name val="Arial"/>
      <family val="2"/>
    </font>
    <font>
      <b/>
      <sz val="10"/>
      <color indexed="37"/>
      <name val="Arial"/>
      <family val="2"/>
    </font>
    <font>
      <u/>
      <sz val="10"/>
      <color indexed="36"/>
      <name val="Arial"/>
      <family val="2"/>
    </font>
    <font>
      <sz val="7"/>
      <color indexed="10"/>
      <name val="Helvetica"/>
      <family val="2"/>
    </font>
    <font>
      <sz val="11"/>
      <color indexed="9"/>
      <name val="Calibri"/>
      <family val="2"/>
    </font>
    <font>
      <sz val="10"/>
      <color indexed="9"/>
      <name val="Helvetica"/>
      <family val="2"/>
    </font>
    <font>
      <b/>
      <sz val="9"/>
      <color indexed="9"/>
      <name val="Helvetica"/>
      <family val="2"/>
    </font>
    <font>
      <sz val="7"/>
      <color indexed="8"/>
      <name val="Helvetica"/>
      <family val="2"/>
    </font>
    <font>
      <b/>
      <sz val="8"/>
      <color indexed="8"/>
      <name val="Helvetica"/>
      <family val="2"/>
    </font>
    <font>
      <sz val="7"/>
      <color indexed="8"/>
      <name val="Calibri"/>
      <family val="2"/>
    </font>
    <font>
      <b/>
      <sz val="7"/>
      <color indexed="8"/>
      <name val="Helvetica"/>
      <family val="2"/>
    </font>
    <font>
      <sz val="10"/>
      <color indexed="8"/>
      <name val="Arial"/>
      <family val="2"/>
    </font>
    <font>
      <sz val="10"/>
      <color indexed="8"/>
      <name val="Helvetica"/>
      <family val="2"/>
    </font>
    <font>
      <sz val="7"/>
      <color indexed="10"/>
      <name val="Times New Roman"/>
      <family val="1"/>
    </font>
    <font>
      <sz val="8"/>
      <color indexed="10"/>
      <name val="Times New Roman"/>
      <family val="1"/>
    </font>
    <font>
      <sz val="8"/>
      <color indexed="10"/>
      <name val="Helvetica"/>
      <family val="2"/>
    </font>
    <font>
      <b/>
      <sz val="12"/>
      <color indexed="8"/>
      <name val="Arial"/>
      <family val="2"/>
    </font>
    <font>
      <b/>
      <sz val="8"/>
      <color indexed="8"/>
      <name val="Helvetica"/>
      <family val="2"/>
    </font>
    <font>
      <b/>
      <sz val="7"/>
      <name val="Calibri"/>
      <family val="2"/>
    </font>
    <font>
      <b/>
      <sz val="12"/>
      <color indexed="8"/>
      <name val="Helvetica"/>
      <family val="2"/>
    </font>
    <font>
      <b/>
      <sz val="11"/>
      <color indexed="8"/>
      <name val="Helvetica"/>
      <family val="2"/>
    </font>
    <font>
      <b/>
      <sz val="10"/>
      <color indexed="8"/>
      <name val="Helvetica"/>
      <family val="2"/>
    </font>
    <font>
      <sz val="8"/>
      <color indexed="9"/>
      <name val="Helvetica"/>
      <family val="2"/>
    </font>
    <font>
      <b/>
      <sz val="16"/>
      <color indexed="10"/>
      <name val="Arial"/>
      <family val="2"/>
    </font>
    <font>
      <sz val="10"/>
      <color indexed="10"/>
      <name val="Arial"/>
      <family val="2"/>
    </font>
    <font>
      <sz val="8"/>
      <color indexed="10"/>
      <name val="Arial"/>
      <family val="2"/>
    </font>
    <font>
      <b/>
      <sz val="8"/>
      <color indexed="10"/>
      <name val="Helvetica"/>
      <family val="2"/>
    </font>
    <font>
      <sz val="7"/>
      <color indexed="16"/>
      <name val="Helvetica"/>
      <family val="2"/>
    </font>
    <font>
      <sz val="10"/>
      <color indexed="16"/>
      <name val="Cambria"/>
      <family val="1"/>
    </font>
    <font>
      <b/>
      <sz val="7"/>
      <color indexed="9"/>
      <name val="Helvetica"/>
      <family val="2"/>
    </font>
    <font>
      <b/>
      <vertAlign val="superscript"/>
      <sz val="7"/>
      <name val="Helvetica"/>
      <family val="2"/>
    </font>
    <font>
      <b/>
      <vertAlign val="superscript"/>
      <sz val="7"/>
      <name val="Calibri"/>
      <family val="2"/>
    </font>
    <font>
      <vertAlign val="superscript"/>
      <sz val="7"/>
      <name val="Helvetica"/>
      <family val="2"/>
    </font>
    <font>
      <sz val="8"/>
      <name val="Arial"/>
      <family val="2"/>
    </font>
    <font>
      <b/>
      <sz val="8"/>
      <name val="Arial"/>
      <family val="2"/>
    </font>
    <font>
      <sz val="10"/>
      <color indexed="39"/>
      <name val="Helvetica"/>
      <family val="2"/>
    </font>
    <font>
      <b/>
      <sz val="9"/>
      <name val="Arial"/>
      <family val="2"/>
    </font>
    <font>
      <sz val="10"/>
      <color indexed="9"/>
      <name val="Arial"/>
      <family val="2"/>
    </font>
    <font>
      <sz val="10"/>
      <color indexed="9"/>
      <name val="Arial"/>
      <family val="2"/>
    </font>
    <font>
      <b/>
      <sz val="12"/>
      <color indexed="9"/>
      <name val="Arial"/>
      <family val="2"/>
    </font>
    <font>
      <b/>
      <sz val="10"/>
      <color indexed="9"/>
      <name val="Arial"/>
      <family val="2"/>
    </font>
    <font>
      <b/>
      <sz val="12"/>
      <color indexed="9"/>
      <name val="Arial"/>
      <family val="2"/>
    </font>
    <font>
      <sz val="14"/>
      <name val="Arial"/>
      <family val="2"/>
    </font>
    <font>
      <sz val="10"/>
      <color indexed="39"/>
      <name val="Arial"/>
      <family val="2"/>
    </font>
    <font>
      <sz val="6"/>
      <color indexed="10"/>
      <name val="Helvetica"/>
      <family val="2"/>
    </font>
    <font>
      <sz val="7"/>
      <name val="Helvetica "/>
    </font>
    <font>
      <sz val="8"/>
      <color indexed="9"/>
      <name val="Helvetica"/>
      <family val="2"/>
    </font>
    <font>
      <sz val="8"/>
      <color indexed="9"/>
      <name val="Cambria"/>
      <family val="1"/>
    </font>
    <font>
      <sz val="10"/>
      <color indexed="9"/>
      <name val="Cambria"/>
      <family val="1"/>
    </font>
    <font>
      <sz val="7"/>
      <name val="Cambria"/>
      <family val="1"/>
    </font>
    <font>
      <u/>
      <sz val="10"/>
      <name val="Arial"/>
      <family val="2"/>
    </font>
    <font>
      <sz val="6.5"/>
      <name val="Helvetica"/>
      <family val="2"/>
    </font>
    <font>
      <sz val="9"/>
      <color indexed="81"/>
      <name val="Tahoma"/>
      <family val="2"/>
    </font>
    <font>
      <b/>
      <sz val="9"/>
      <color indexed="81"/>
      <name val="Tahoma"/>
      <family val="2"/>
    </font>
    <font>
      <sz val="11"/>
      <color theme="1"/>
      <name val="Calibri"/>
      <family val="2"/>
      <scheme val="minor"/>
    </font>
    <font>
      <sz val="11"/>
      <color rgb="FF9C0006"/>
      <name val="Calibri"/>
      <family val="2"/>
      <scheme val="minor"/>
    </font>
    <font>
      <sz val="7"/>
      <color rgb="FFFF0000"/>
      <name val="Helvetica"/>
      <family val="2"/>
    </font>
    <font>
      <sz val="7"/>
      <color rgb="FFFF0000"/>
      <name val="Arial"/>
      <family val="2"/>
    </font>
    <font>
      <sz val="8"/>
      <color rgb="FFFF0000"/>
      <name val="Arial"/>
      <family val="2"/>
    </font>
    <font>
      <sz val="8"/>
      <color rgb="FFFF0000"/>
      <name val="Helvetica"/>
      <family val="2"/>
    </font>
    <font>
      <b/>
      <sz val="11"/>
      <color theme="0"/>
      <name val="Arial"/>
      <family val="2"/>
    </font>
    <font>
      <sz val="7"/>
      <color theme="0"/>
      <name val="Helvetica"/>
      <family val="2"/>
    </font>
    <font>
      <sz val="7"/>
      <color rgb="FFFFFFCC"/>
      <name val="Helvetica"/>
      <family val="2"/>
    </font>
    <font>
      <sz val="10"/>
      <color rgb="FFFFFFCC"/>
      <name val="Arial"/>
      <family val="2"/>
    </font>
    <font>
      <sz val="2"/>
      <color theme="0"/>
      <name val="Helvetica"/>
      <family val="2"/>
    </font>
    <font>
      <sz val="8"/>
      <color rgb="FF00B050"/>
      <name val="Helvetica"/>
      <family val="2"/>
    </font>
    <font>
      <sz val="8"/>
      <color theme="1"/>
      <name val="Helvetica"/>
      <family val="2"/>
    </font>
    <font>
      <b/>
      <sz val="7"/>
      <color theme="1"/>
      <name val="Helvetica"/>
      <family val="2"/>
    </font>
    <font>
      <b/>
      <sz val="8"/>
      <color theme="1"/>
      <name val="Helvetica"/>
      <family val="2"/>
    </font>
    <font>
      <sz val="8"/>
      <color rgb="FFFFFFCC"/>
      <name val="Helvetica"/>
      <family val="2"/>
    </font>
    <font>
      <b/>
      <sz val="7"/>
      <color rgb="FFFFFFCC"/>
      <name val="Helvetica"/>
      <family val="2"/>
    </font>
    <font>
      <sz val="7"/>
      <color rgb="FFFF0000"/>
      <name val="Helvetica"/>
      <family val="2"/>
    </font>
    <font>
      <sz val="7"/>
      <name val="Helvetica"/>
      <family val="2"/>
    </font>
    <font>
      <b/>
      <sz val="7"/>
      <name val="Helvetica"/>
      <family val="2"/>
    </font>
    <font>
      <b/>
      <sz val="7"/>
      <color rgb="FFFFFFCC"/>
      <name val="Helvetica"/>
      <family val="2"/>
    </font>
    <font>
      <sz val="7"/>
      <color rgb="FFFFFFCC"/>
      <name val="Helvetica"/>
      <family val="2"/>
    </font>
    <font>
      <sz val="7"/>
      <color rgb="FFFFFFCC"/>
      <name val="Arial"/>
      <family val="2"/>
    </font>
    <font>
      <sz val="7"/>
      <color rgb="FFFFFFCC"/>
      <name val="Helvetia"/>
    </font>
    <font>
      <sz val="7"/>
      <name val="Helvetia"/>
    </font>
    <font>
      <sz val="8"/>
      <color theme="0"/>
      <name val="Arial"/>
      <family val="2"/>
    </font>
    <font>
      <i/>
      <sz val="8"/>
      <color rgb="FFFF0000"/>
      <name val="Helvetica"/>
      <family val="2"/>
    </font>
    <font>
      <sz val="10"/>
      <color theme="0"/>
      <name val="Arial"/>
      <family val="2"/>
    </font>
    <font>
      <sz val="8"/>
      <color theme="0"/>
      <name val="Helvetica"/>
      <family val="2"/>
    </font>
    <font>
      <strike/>
      <sz val="7"/>
      <color rgb="FFFF0000"/>
      <name val="Helvetica"/>
      <family val="2"/>
    </font>
    <font>
      <strike/>
      <sz val="7"/>
      <name val="Helvetica"/>
      <family val="2"/>
    </font>
    <font>
      <b/>
      <sz val="7"/>
      <color theme="0"/>
      <name val="Helvetica"/>
      <family val="2"/>
    </font>
    <font>
      <b/>
      <sz val="8"/>
      <color indexed="10"/>
      <name val="Tahoma"/>
      <family val="2"/>
    </font>
    <font>
      <sz val="7"/>
      <color rgb="FFFF0000"/>
      <name val="Helvetica"/>
      <family val="2"/>
    </font>
    <font>
      <sz val="7"/>
      <color rgb="FFFF0000"/>
      <name val="Calibri"/>
      <family val="2"/>
      <scheme val="minor"/>
    </font>
    <font>
      <sz val="10"/>
      <name val="Arial"/>
      <family val="2"/>
    </font>
    <font>
      <b/>
      <sz val="7"/>
      <name val="Helvetica"/>
      <family val="2"/>
    </font>
    <font>
      <i/>
      <sz val="10"/>
      <name val="Arial"/>
      <family val="2"/>
    </font>
    <font>
      <b/>
      <sz val="10"/>
      <color rgb="FFFFFFC0"/>
      <name val="Helvetica"/>
      <family val="2"/>
    </font>
    <font>
      <sz val="26"/>
      <name val="Arial"/>
      <family val="2"/>
    </font>
  </fonts>
  <fills count="39">
    <fill>
      <patternFill patternType="none"/>
    </fill>
    <fill>
      <patternFill patternType="gray125"/>
    </fill>
    <fill>
      <patternFill patternType="solid">
        <fgColor indexed="9"/>
        <bgColor indexed="64"/>
      </patternFill>
    </fill>
    <fill>
      <patternFill patternType="gray125">
        <fgColor indexed="22"/>
        <bgColor indexed="9"/>
      </patternFill>
    </fill>
    <fill>
      <patternFill patternType="solid">
        <fgColor indexed="9"/>
        <bgColor indexed="9"/>
      </patternFill>
    </fill>
    <fill>
      <patternFill patternType="gray125">
        <fgColor indexed="9"/>
        <bgColor indexed="9"/>
      </patternFill>
    </fill>
    <fill>
      <patternFill patternType="solid">
        <fgColor indexed="9"/>
        <bgColor indexed="22"/>
      </patternFill>
    </fill>
    <fill>
      <patternFill patternType="solid">
        <fgColor indexed="56"/>
        <bgColor indexed="64"/>
      </patternFill>
    </fill>
    <fill>
      <patternFill patternType="lightGray">
        <fgColor indexed="22"/>
        <bgColor indexed="9"/>
      </patternFill>
    </fill>
    <fill>
      <patternFill patternType="lightGray">
        <fgColor indexed="40"/>
        <bgColor indexed="9"/>
      </patternFill>
    </fill>
    <fill>
      <patternFill patternType="solid">
        <fgColor indexed="26"/>
        <bgColor indexed="64"/>
      </patternFill>
    </fill>
    <fill>
      <patternFill patternType="solid">
        <fgColor indexed="65"/>
        <bgColor indexed="31"/>
      </patternFill>
    </fill>
    <fill>
      <patternFill patternType="lightGray">
        <fgColor indexed="22"/>
      </patternFill>
    </fill>
    <fill>
      <patternFill patternType="solid">
        <fgColor indexed="11"/>
        <bgColor indexed="22"/>
      </patternFill>
    </fill>
    <fill>
      <patternFill patternType="gray125">
        <fgColor indexed="22"/>
      </patternFill>
    </fill>
    <fill>
      <patternFill patternType="solid">
        <fgColor indexed="65"/>
        <bgColor indexed="64"/>
      </patternFill>
    </fill>
    <fill>
      <patternFill patternType="lightDown">
        <fgColor indexed="9"/>
        <bgColor indexed="26"/>
      </patternFill>
    </fill>
    <fill>
      <patternFill patternType="solid">
        <fgColor indexed="26"/>
        <bgColor indexed="22"/>
      </patternFill>
    </fill>
    <fill>
      <patternFill patternType="solid">
        <fgColor indexed="65"/>
        <bgColor indexed="22"/>
      </patternFill>
    </fill>
    <fill>
      <patternFill patternType="solid">
        <fgColor rgb="FFFFFFCC"/>
      </patternFill>
    </fill>
    <fill>
      <patternFill patternType="solid">
        <fgColor rgb="FFFFC7CE"/>
      </patternFill>
    </fill>
    <fill>
      <patternFill patternType="solid">
        <fgColor rgb="FFFFFFCC"/>
        <bgColor indexed="64"/>
      </patternFill>
    </fill>
    <fill>
      <patternFill patternType="solid">
        <fgColor rgb="FFFFFFCC"/>
        <bgColor indexed="22"/>
      </patternFill>
    </fill>
    <fill>
      <patternFill patternType="solid">
        <fgColor rgb="FFFFFFCC"/>
        <bgColor indexed="55"/>
      </patternFill>
    </fill>
    <fill>
      <patternFill patternType="solid">
        <fgColor rgb="FFFFFFCC"/>
        <bgColor indexed="31"/>
      </patternFill>
    </fill>
    <fill>
      <patternFill patternType="solid">
        <fgColor rgb="FFFFFFCC"/>
        <bgColor indexed="40"/>
      </patternFill>
    </fill>
    <fill>
      <patternFill patternType="gray125">
        <fgColor indexed="22"/>
        <bgColor rgb="FFFFFFFF"/>
      </patternFill>
    </fill>
    <fill>
      <patternFill patternType="lightGray">
        <fgColor indexed="40"/>
        <bgColor theme="0"/>
      </patternFill>
    </fill>
    <fill>
      <patternFill patternType="gray125">
        <fgColor indexed="22"/>
        <bgColor theme="0"/>
      </patternFill>
    </fill>
    <fill>
      <patternFill patternType="solid">
        <fgColor theme="0"/>
        <bgColor indexed="64"/>
      </patternFill>
    </fill>
    <fill>
      <patternFill patternType="solid">
        <fgColor rgb="FFFFFFE5"/>
        <bgColor indexed="64"/>
      </patternFill>
    </fill>
    <fill>
      <patternFill patternType="solid">
        <fgColor theme="0" tint="-0.14999847407452621"/>
        <bgColor indexed="64"/>
      </patternFill>
    </fill>
    <fill>
      <patternFill patternType="solid">
        <fgColor rgb="FFFFFFCC"/>
        <bgColor indexed="26"/>
      </patternFill>
    </fill>
    <fill>
      <patternFill patternType="solid">
        <fgColor rgb="FFFFFFCC"/>
        <bgColor rgb="FFFFFFCC"/>
      </patternFill>
    </fill>
    <fill>
      <patternFill patternType="gray125">
        <fgColor rgb="FFC0C0C0"/>
        <bgColor indexed="9"/>
      </patternFill>
    </fill>
    <fill>
      <patternFill patternType="solid">
        <fgColor rgb="FFFFFFFF"/>
        <bgColor indexed="64"/>
      </patternFill>
    </fill>
    <fill>
      <patternFill patternType="solid">
        <fgColor rgb="FFFFFFCC"/>
        <bgColor rgb="FFFFFFFF"/>
      </patternFill>
    </fill>
    <fill>
      <patternFill patternType="solid">
        <fgColor rgb="FFFFFFFF"/>
        <bgColor rgb="FFFFFFFF"/>
      </patternFill>
    </fill>
    <fill>
      <patternFill patternType="lightGray">
        <fgColor rgb="FF00CCFF"/>
        <bgColor rgb="FFFFFFFF"/>
      </patternFill>
    </fill>
  </fills>
  <borders count="312">
    <border>
      <left/>
      <right/>
      <top/>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hair">
        <color indexed="64"/>
      </top>
      <bottom/>
      <diagonal/>
    </border>
    <border>
      <left/>
      <right/>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diagonal/>
    </border>
    <border>
      <left style="hair">
        <color indexed="64"/>
      </left>
      <right style="medium">
        <color indexed="64"/>
      </right>
      <top style="medium">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hair">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hair">
        <color indexed="64"/>
      </top>
      <bottom/>
      <diagonal/>
    </border>
    <border>
      <left/>
      <right/>
      <top style="medium">
        <color indexed="64"/>
      </top>
      <bottom/>
      <diagonal/>
    </border>
    <border>
      <left style="medium">
        <color indexed="64"/>
      </left>
      <right/>
      <top style="thin">
        <color indexed="64"/>
      </top>
      <bottom style="hair">
        <color indexed="64"/>
      </bottom>
      <diagonal/>
    </border>
    <border>
      <left/>
      <right style="thin">
        <color indexed="64"/>
      </right>
      <top style="thin">
        <color indexed="64"/>
      </top>
      <bottom/>
      <diagonal/>
    </border>
    <border>
      <left style="medium">
        <color indexed="64"/>
      </left>
      <right style="hair">
        <color indexed="64"/>
      </right>
      <top/>
      <bottom/>
      <diagonal/>
    </border>
    <border>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hair">
        <color indexed="64"/>
      </left>
      <right style="hair">
        <color indexed="64"/>
      </right>
      <top style="thin">
        <color indexed="39"/>
      </top>
      <bottom/>
      <diagonal/>
    </border>
    <border>
      <left style="medium">
        <color indexed="64"/>
      </left>
      <right style="hair">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thin">
        <color indexed="39"/>
      </top>
      <bottom/>
      <diagonal/>
    </border>
    <border>
      <left style="hair">
        <color indexed="64"/>
      </left>
      <right style="medium">
        <color indexed="64"/>
      </right>
      <top style="thin">
        <color indexed="39"/>
      </top>
      <bottom/>
      <diagonal/>
    </border>
    <border>
      <left style="thin">
        <color indexed="64"/>
      </left>
      <right style="hair">
        <color indexed="64"/>
      </right>
      <top/>
      <bottom style="thin">
        <color indexed="64"/>
      </bottom>
      <diagonal/>
    </border>
    <border>
      <left style="hair">
        <color indexed="64"/>
      </left>
      <right style="hair">
        <color indexed="64"/>
      </right>
      <top style="medium">
        <color indexed="12"/>
      </top>
      <bottom style="medium">
        <color indexed="64"/>
      </bottom>
      <diagonal/>
    </border>
    <border>
      <left style="medium">
        <color indexed="64"/>
      </left>
      <right style="medium">
        <color indexed="64"/>
      </right>
      <top/>
      <bottom style="medium">
        <color indexed="64"/>
      </bottom>
      <diagonal/>
    </border>
    <border>
      <left/>
      <right style="hair">
        <color indexed="64"/>
      </right>
      <top/>
      <bottom/>
      <diagonal/>
    </border>
    <border>
      <left/>
      <right style="hair">
        <color indexed="64"/>
      </right>
      <top style="hair">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hair">
        <color indexed="64"/>
      </top>
      <bottom/>
      <diagonal/>
    </border>
    <border>
      <left style="medium">
        <color indexed="64"/>
      </left>
      <right style="thin">
        <color indexed="64"/>
      </right>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hair">
        <color indexed="64"/>
      </left>
      <right/>
      <top style="hair">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bottom style="hair">
        <color indexed="64"/>
      </bottom>
      <diagonal/>
    </border>
    <border>
      <left style="hair">
        <color indexed="64"/>
      </left>
      <right style="medium">
        <color indexed="64"/>
      </right>
      <top style="thin">
        <color indexed="64"/>
      </top>
      <bottom/>
      <diagonal/>
    </border>
    <border>
      <left style="hair">
        <color indexed="64"/>
      </left>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top style="thin">
        <color indexed="64"/>
      </top>
      <bottom style="thin">
        <color indexed="64"/>
      </bottom>
      <diagonal/>
    </border>
    <border>
      <left style="thin">
        <color indexed="64"/>
      </left>
      <right style="medium">
        <color indexed="64"/>
      </right>
      <top style="hair">
        <color indexed="64"/>
      </top>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hair">
        <color indexed="64"/>
      </top>
      <bottom style="thick">
        <color indexed="64"/>
      </bottom>
      <diagonal/>
    </border>
    <border>
      <left/>
      <right/>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dotted">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medium">
        <color rgb="FF000000"/>
      </right>
      <top/>
      <bottom/>
      <diagonal/>
    </border>
    <border>
      <left/>
      <right/>
      <top/>
      <bottom style="medium">
        <color rgb="FF000000"/>
      </bottom>
      <diagonal/>
    </border>
    <border>
      <left style="medium">
        <color rgb="FF000000"/>
      </left>
      <right style="medium">
        <color indexed="64"/>
      </right>
      <top style="hair">
        <color indexed="64"/>
      </top>
      <bottom style="medium">
        <color rgb="FF000000"/>
      </bottom>
      <diagonal/>
    </border>
    <border>
      <left style="thin">
        <color indexed="64"/>
      </left>
      <right style="medium">
        <color rgb="FF000000"/>
      </right>
      <top style="medium">
        <color indexed="64"/>
      </top>
      <bottom/>
      <diagonal/>
    </border>
    <border>
      <left style="thin">
        <color indexed="64"/>
      </left>
      <right style="medium">
        <color rgb="FF000000"/>
      </right>
      <top/>
      <bottom/>
      <diagonal/>
    </border>
    <border>
      <left style="hair">
        <color indexed="64"/>
      </left>
      <right style="medium">
        <color rgb="FF000000"/>
      </right>
      <top style="medium">
        <color indexed="64"/>
      </top>
      <bottom/>
      <diagonal/>
    </border>
    <border>
      <left style="hair">
        <color indexed="64"/>
      </left>
      <right style="medium">
        <color rgb="FF000000"/>
      </right>
      <top/>
      <bottom/>
      <diagonal/>
    </border>
    <border>
      <left style="hair">
        <color indexed="64"/>
      </left>
      <right style="medium">
        <color rgb="FF000000"/>
      </right>
      <top/>
      <bottom style="hair">
        <color indexed="64"/>
      </bottom>
      <diagonal/>
    </border>
    <border>
      <left style="hair">
        <color indexed="64"/>
      </left>
      <right style="medium">
        <color rgb="FF000000"/>
      </right>
      <top style="hair">
        <color indexed="64"/>
      </top>
      <bottom style="medium">
        <color indexed="64"/>
      </bottom>
      <diagonal/>
    </border>
    <border>
      <left style="hair">
        <color indexed="64"/>
      </left>
      <right style="medium">
        <color rgb="FF000000"/>
      </right>
      <top style="hair">
        <color indexed="64"/>
      </top>
      <bottom style="hair">
        <color indexed="64"/>
      </bottom>
      <diagonal/>
    </border>
    <border>
      <left style="hair">
        <color indexed="64"/>
      </left>
      <right style="medium">
        <color rgb="FF000000"/>
      </right>
      <top style="hair">
        <color indexed="64"/>
      </top>
      <bottom/>
      <diagonal/>
    </border>
    <border>
      <left style="hair">
        <color indexed="64"/>
      </left>
      <right style="medium">
        <color rgb="FF000000"/>
      </right>
      <top/>
      <bottom style="medium">
        <color indexed="64"/>
      </bottom>
      <diagonal/>
    </border>
    <border>
      <left style="hair">
        <color indexed="64"/>
      </left>
      <right/>
      <top style="thin">
        <color indexed="64"/>
      </top>
      <bottom style="medium">
        <color indexed="64"/>
      </bottom>
      <diagonal/>
    </border>
    <border>
      <left style="hair">
        <color indexed="64"/>
      </left>
      <right style="medium">
        <color rgb="FF000000"/>
      </right>
      <top/>
      <bottom style="thin">
        <color indexed="64"/>
      </bottom>
      <diagonal/>
    </border>
    <border>
      <left style="hair">
        <color indexed="64"/>
      </left>
      <right style="medium">
        <color rgb="FF000000"/>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style="hair">
        <color indexed="64"/>
      </left>
      <right style="medium">
        <color rgb="FF000000"/>
      </right>
      <top style="hair">
        <color indexed="64"/>
      </top>
      <bottom style="thin">
        <color indexed="64"/>
      </bottom>
      <diagonal/>
    </border>
    <border>
      <left/>
      <right style="medium">
        <color rgb="FF000000"/>
      </right>
      <top style="hair">
        <color indexed="64"/>
      </top>
      <bottom style="medium">
        <color indexed="64"/>
      </bottom>
      <diagonal/>
    </border>
    <border>
      <left style="hair">
        <color indexed="64"/>
      </left>
      <right style="medium">
        <color rgb="FF000000"/>
      </right>
      <top style="thin">
        <color indexed="64"/>
      </top>
      <bottom style="thin">
        <color indexed="64"/>
      </bottom>
      <diagonal/>
    </border>
    <border>
      <left style="hair">
        <color indexed="64"/>
      </left>
      <right style="medium">
        <color rgb="FF000000"/>
      </right>
      <top style="medium">
        <color indexed="64"/>
      </top>
      <bottom style="hair">
        <color indexed="64"/>
      </bottom>
      <diagonal/>
    </border>
    <border>
      <left/>
      <right style="medium">
        <color rgb="FF000000"/>
      </right>
      <top style="medium">
        <color indexed="64"/>
      </top>
      <bottom style="hair">
        <color indexed="64"/>
      </bottom>
      <diagonal/>
    </border>
    <border>
      <left/>
      <right style="medium">
        <color rgb="FF000000"/>
      </right>
      <top/>
      <bottom style="hair">
        <color indexed="64"/>
      </bottom>
      <diagonal/>
    </border>
    <border>
      <left/>
      <right style="medium">
        <color rgb="FF000000"/>
      </right>
      <top style="hair">
        <color indexed="64"/>
      </top>
      <bottom/>
      <diagonal/>
    </border>
    <border>
      <left/>
      <right style="medium">
        <color rgb="FF000000"/>
      </right>
      <top/>
      <bottom style="medium">
        <color indexed="64"/>
      </bottom>
      <diagonal/>
    </border>
    <border>
      <left style="thin">
        <color indexed="64"/>
      </left>
      <right/>
      <top style="medium">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style="hair">
        <color indexed="64"/>
      </top>
      <bottom style="hair">
        <color indexed="64"/>
      </bottom>
      <diagonal/>
    </border>
    <border>
      <left style="medium">
        <color rgb="FF000000"/>
      </left>
      <right style="thin">
        <color indexed="64"/>
      </right>
      <top style="hair">
        <color indexed="64"/>
      </top>
      <bottom style="medium">
        <color indexed="64"/>
      </bottom>
      <diagonal/>
    </border>
    <border>
      <left style="medium">
        <color rgb="FF000000"/>
      </left>
      <right style="thin">
        <color indexed="64"/>
      </right>
      <top style="medium">
        <color indexed="64"/>
      </top>
      <bottom style="hair">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style="hair">
        <color indexed="64"/>
      </bottom>
      <diagonal/>
    </border>
    <border>
      <left style="medium">
        <color rgb="FF000000"/>
      </left>
      <right style="thin">
        <color indexed="64"/>
      </right>
      <top style="hair">
        <color indexed="64"/>
      </top>
      <bottom/>
      <diagonal/>
    </border>
    <border>
      <left style="medium">
        <color rgb="FF000000"/>
      </left>
      <right style="thin">
        <color indexed="64"/>
      </right>
      <top style="medium">
        <color indexed="64"/>
      </top>
      <bottom style="medium">
        <color indexed="64"/>
      </bottom>
      <diagonal/>
    </border>
    <border>
      <left style="medium">
        <color rgb="FF000000"/>
      </left>
      <right style="thin">
        <color indexed="64"/>
      </right>
      <top/>
      <bottom style="medium">
        <color indexed="64"/>
      </bottom>
      <diagonal/>
    </border>
    <border>
      <left style="medium">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style="thin">
        <color indexed="64"/>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style="medium">
        <color indexed="64"/>
      </right>
      <top style="hair">
        <color indexed="64"/>
      </top>
      <bottom style="medium">
        <color rgb="FF000000"/>
      </bottom>
      <diagonal/>
    </border>
    <border>
      <left/>
      <right style="hair">
        <color indexed="64"/>
      </right>
      <top style="hair">
        <color indexed="64"/>
      </top>
      <bottom style="medium">
        <color rgb="FF000000"/>
      </bottom>
      <diagonal/>
    </border>
    <border>
      <left style="hair">
        <color rgb="FF000000"/>
      </left>
      <right style="hair">
        <color rgb="FF000000"/>
      </right>
      <top/>
      <bottom/>
      <diagonal/>
    </border>
    <border>
      <left/>
      <right style="hair">
        <color rgb="FF000000"/>
      </right>
      <top/>
      <bottom/>
      <diagonal/>
    </border>
    <border>
      <left style="medium">
        <color rgb="FF000000"/>
      </left>
      <right style="medium">
        <color rgb="FF000000"/>
      </right>
      <top style="hair">
        <color indexed="64"/>
      </top>
      <bottom/>
      <diagonal/>
    </border>
    <border>
      <left style="medium">
        <color rgb="FF000000"/>
      </left>
      <right style="medium">
        <color rgb="FF000000"/>
      </right>
      <top style="hair">
        <color indexed="64"/>
      </top>
      <bottom style="thick">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thin">
        <color indexed="64"/>
      </bottom>
      <diagonal/>
    </border>
    <border>
      <left style="medium">
        <color indexed="64"/>
      </left>
      <right style="medium">
        <color rgb="FF000000"/>
      </right>
      <top style="thin">
        <color indexed="64"/>
      </top>
      <bottom style="hair">
        <color indexed="64"/>
      </bottom>
      <diagonal/>
    </border>
    <border>
      <left style="medium">
        <color indexed="64"/>
      </left>
      <right style="medium">
        <color rgb="FF000000"/>
      </right>
      <top style="hair">
        <color indexed="64"/>
      </top>
      <bottom style="hair">
        <color indexed="64"/>
      </bottom>
      <diagonal/>
    </border>
    <border>
      <left style="medium">
        <color indexed="64"/>
      </left>
      <right style="medium">
        <color rgb="FF000000"/>
      </right>
      <top style="medium">
        <color indexed="64"/>
      </top>
      <bottom style="hair">
        <color indexed="64"/>
      </bottom>
      <diagonal/>
    </border>
    <border>
      <left style="medium">
        <color indexed="64"/>
      </left>
      <right style="medium">
        <color rgb="FF000000"/>
      </right>
      <top/>
      <bottom style="hair">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style="hair">
        <color indexed="64"/>
      </top>
      <bottom/>
      <diagonal/>
    </border>
    <border>
      <left style="medium">
        <color indexed="64"/>
      </left>
      <right style="medium">
        <color rgb="FF000000"/>
      </right>
      <top style="hair">
        <color indexed="64"/>
      </top>
      <bottom style="medium">
        <color indexed="64"/>
      </bottom>
      <diagonal/>
    </border>
    <border>
      <left style="medium">
        <color indexed="64"/>
      </left>
      <right style="medium">
        <color rgb="FF000000"/>
      </right>
      <top style="hair">
        <color indexed="64"/>
      </top>
      <bottom style="thick">
        <color indexed="64"/>
      </bottom>
      <diagonal/>
    </border>
    <border>
      <left style="medium">
        <color rgb="FF000000"/>
      </left>
      <right style="medium">
        <color indexed="64"/>
      </right>
      <top/>
      <bottom/>
      <diagonal/>
    </border>
    <border>
      <left style="medium">
        <color rgb="FF000000"/>
      </left>
      <right style="medium">
        <color indexed="64"/>
      </right>
      <top/>
      <bottom style="thick">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hair">
        <color indexed="64"/>
      </left>
      <right style="medium">
        <color rgb="FF000000"/>
      </right>
      <top style="thin">
        <color indexed="64"/>
      </top>
      <bottom style="hair">
        <color indexed="64"/>
      </bottom>
      <diagonal/>
    </border>
    <border>
      <left style="hair">
        <color indexed="64"/>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medium">
        <color indexed="64"/>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thin">
        <color indexed="64"/>
      </bottom>
      <diagonal/>
    </border>
    <border>
      <left style="medium">
        <color rgb="FF000000"/>
      </left>
      <right/>
      <top style="thin">
        <color indexed="64"/>
      </top>
      <bottom/>
      <diagonal/>
    </border>
    <border>
      <left/>
      <right style="medium">
        <color rgb="FF000000"/>
      </right>
      <top style="medium">
        <color indexed="64"/>
      </top>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bottom style="medium">
        <color indexed="64"/>
      </bottom>
      <diagonal/>
    </border>
    <border>
      <left style="medium">
        <color rgb="FF000000"/>
      </left>
      <right/>
      <top style="hair">
        <color indexed="64"/>
      </top>
      <bottom style="medium">
        <color rgb="FF000000"/>
      </bottom>
      <diagonal/>
    </border>
    <border>
      <left style="medium">
        <color rgb="FF000000"/>
      </left>
      <right style="hair">
        <color indexed="64"/>
      </right>
      <top/>
      <bottom style="hair">
        <color indexed="64"/>
      </bottom>
      <diagonal/>
    </border>
    <border>
      <left style="medium">
        <color rgb="FF000000"/>
      </left>
      <right/>
      <top/>
      <bottom style="medium">
        <color rgb="FF000000"/>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bottom style="medium">
        <color rgb="FF000000"/>
      </bottom>
      <diagonal/>
    </border>
    <border>
      <left style="thin">
        <color indexed="64"/>
      </left>
      <right style="medium">
        <color rgb="FF000000"/>
      </right>
      <top/>
      <bottom style="thin">
        <color indexed="64"/>
      </bottom>
      <diagonal/>
    </border>
    <border>
      <left/>
      <right style="medium">
        <color rgb="FF000000"/>
      </right>
      <top/>
      <bottom style="medium">
        <color rgb="FF000000"/>
      </bottom>
      <diagonal/>
    </border>
    <border>
      <left style="hair">
        <color indexed="64"/>
      </left>
      <right style="medium">
        <color rgb="FF000000"/>
      </right>
      <top style="hair">
        <color indexed="64"/>
      </top>
      <bottom style="medium">
        <color rgb="FF000000"/>
      </bottom>
      <diagonal/>
    </border>
    <border>
      <left style="medium">
        <color rgb="FF000000"/>
      </left>
      <right/>
      <top style="medium">
        <color rgb="FF000000"/>
      </top>
      <bottom style="hair">
        <color indexed="64"/>
      </bottom>
      <diagonal/>
    </border>
    <border>
      <left style="medium">
        <color rgb="FF000000"/>
      </left>
      <right/>
      <top/>
      <bottom style="hair">
        <color indexed="64"/>
      </bottom>
      <diagonal/>
    </border>
    <border>
      <left/>
      <right style="medium">
        <color rgb="FF000000"/>
      </right>
      <top style="thin">
        <color indexed="64"/>
      </top>
      <bottom/>
      <diagonal/>
    </border>
    <border>
      <left/>
      <right style="medium">
        <color rgb="FF000000"/>
      </right>
      <top style="medium">
        <color rgb="FF000000"/>
      </top>
      <bottom style="hair">
        <color indexed="64"/>
      </bottom>
      <diagonal/>
    </border>
  </borders>
  <cellStyleXfs count="23">
    <xf numFmtId="0" fontId="0" fillId="0" borderId="0"/>
    <xf numFmtId="0" fontId="110" fillId="19" borderId="217" applyNumberFormat="0" applyFont="0" applyAlignment="0" applyProtection="0"/>
    <xf numFmtId="0" fontId="110" fillId="19" borderId="217" applyNumberFormat="0" applyFont="0" applyAlignment="0" applyProtection="0"/>
    <xf numFmtId="0" fontId="111" fillId="20" borderId="0" applyNumberFormat="0" applyBorder="0" applyAlignment="0" applyProtection="0"/>
    <xf numFmtId="0" fontId="58" fillId="0" borderId="0" applyNumberFormat="0" applyFill="0" applyBorder="0" applyAlignment="0" applyProtection="0">
      <alignment vertical="top"/>
      <protection locked="0"/>
    </xf>
    <xf numFmtId="0" fontId="25" fillId="0" borderId="0"/>
    <xf numFmtId="0" fontId="25" fillId="0" borderId="0"/>
    <xf numFmtId="0" fontId="110" fillId="0" borderId="0"/>
    <xf numFmtId="0" fontId="110" fillId="0" borderId="0"/>
    <xf numFmtId="0" fontId="20" fillId="0" borderId="0"/>
    <xf numFmtId="0" fontId="36" fillId="0" borderId="0"/>
    <xf numFmtId="0" fontId="2" fillId="0" borderId="0"/>
    <xf numFmtId="9" fontId="35" fillId="0" borderId="0" applyFont="0" applyFill="0" applyBorder="0" applyAlignment="0" applyProtection="0"/>
    <xf numFmtId="9" fontId="25" fillId="0" borderId="0" applyFont="0" applyFill="0" applyBorder="0" applyAlignment="0" applyProtection="0"/>
    <xf numFmtId="38" fontId="24" fillId="0" borderId="0" applyFont="0" applyFill="0" applyBorder="0" applyAlignment="0" applyProtection="0"/>
    <xf numFmtId="164" fontId="24" fillId="0" borderId="0" applyFont="0" applyFill="0" applyBorder="0" applyAlignment="0" applyProtection="0"/>
    <xf numFmtId="165" fontId="145" fillId="0" borderId="0" applyFont="0" applyFill="0" applyBorder="0" applyAlignment="0" applyProtection="0"/>
    <xf numFmtId="0" fontId="1" fillId="19" borderId="217" applyNumberFormat="0" applyFont="0" applyAlignment="0" applyProtection="0"/>
    <xf numFmtId="0" fontId="1" fillId="19" borderId="217" applyNumberFormat="0" applyFont="0" applyAlignment="0" applyProtection="0"/>
    <xf numFmtId="0" fontId="1" fillId="0" borderId="0"/>
    <xf numFmtId="0" fontId="1" fillId="0" borderId="0"/>
    <xf numFmtId="165" fontId="25" fillId="0" borderId="0" applyFont="0" applyFill="0" applyBorder="0" applyAlignment="0" applyProtection="0"/>
    <xf numFmtId="0" fontId="1" fillId="0" borderId="0"/>
  </cellStyleXfs>
  <cellXfs count="2666">
    <xf numFmtId="0" fontId="0" fillId="0" borderId="0" xfId="0"/>
    <xf numFmtId="0" fontId="2" fillId="0" borderId="0" xfId="0" applyFont="1" applyProtection="1"/>
    <xf numFmtId="0" fontId="21" fillId="2" borderId="0" xfId="0" applyFont="1" applyFill="1" applyBorder="1" applyAlignment="1" applyProtection="1">
      <alignment horizontal="left"/>
    </xf>
    <xf numFmtId="0" fontId="6" fillId="2" borderId="0" xfId="0" applyFont="1" applyFill="1" applyBorder="1" applyAlignment="1" applyProtection="1">
      <alignment horizontal="right"/>
    </xf>
    <xf numFmtId="0" fontId="0" fillId="2" borderId="0" xfId="0" applyFill="1" applyProtection="1"/>
    <xf numFmtId="0" fontId="2" fillId="2" borderId="0" xfId="0" applyFont="1" applyFill="1" applyProtection="1"/>
    <xf numFmtId="1" fontId="4" fillId="2" borderId="0" xfId="0" applyNumberFormat="1" applyFont="1" applyFill="1" applyBorder="1" applyAlignment="1" applyProtection="1">
      <alignment horizontal="left"/>
    </xf>
    <xf numFmtId="0" fontId="4" fillId="2" borderId="0" xfId="0" applyFont="1" applyFill="1" applyBorder="1" applyProtection="1"/>
    <xf numFmtId="0" fontId="8" fillId="2" borderId="0" xfId="0" applyFont="1" applyFill="1" applyBorder="1" applyProtection="1"/>
    <xf numFmtId="0" fontId="9" fillId="2" borderId="0" xfId="0" applyFont="1" applyFill="1" applyBorder="1" applyProtection="1"/>
    <xf numFmtId="0" fontId="2" fillId="2" borderId="0" xfId="0" applyFont="1" applyFill="1" applyBorder="1" applyProtection="1"/>
    <xf numFmtId="0" fontId="9" fillId="2" borderId="0" xfId="0" applyFont="1" applyFill="1" applyProtection="1"/>
    <xf numFmtId="3" fontId="5" fillId="2" borderId="0" xfId="0" applyNumberFormat="1" applyFont="1" applyFill="1" applyBorder="1" applyProtection="1"/>
    <xf numFmtId="166" fontId="12" fillId="0" borderId="1" xfId="0" applyNumberFormat="1" applyFont="1" applyFill="1" applyBorder="1" applyAlignment="1" applyProtection="1">
      <alignment horizontal="center" vertical="center"/>
    </xf>
    <xf numFmtId="0" fontId="14" fillId="2" borderId="0" xfId="0" applyFont="1" applyFill="1" applyBorder="1" applyAlignment="1" applyProtection="1">
      <alignment horizontal="left"/>
    </xf>
    <xf numFmtId="1" fontId="17" fillId="0" borderId="0" xfId="0" applyNumberFormat="1" applyFont="1" applyFill="1" applyBorder="1" applyAlignment="1" applyProtection="1">
      <alignment horizontal="center"/>
    </xf>
    <xf numFmtId="0" fontId="17" fillId="0" borderId="0" xfId="0" applyFont="1" applyFill="1" applyBorder="1" applyProtection="1"/>
    <xf numFmtId="3" fontId="14" fillId="0" borderId="0" xfId="0" applyNumberFormat="1" applyFont="1" applyFill="1" applyBorder="1" applyProtection="1"/>
    <xf numFmtId="3" fontId="14" fillId="2" borderId="2" xfId="0" applyNumberFormat="1" applyFont="1" applyFill="1" applyBorder="1" applyAlignment="1" applyProtection="1">
      <alignment horizontal="right"/>
      <protection locked="0"/>
    </xf>
    <xf numFmtId="3" fontId="14" fillId="2" borderId="3" xfId="0" applyNumberFormat="1" applyFont="1" applyFill="1" applyBorder="1" applyAlignment="1" applyProtection="1">
      <alignment horizontal="right"/>
      <protection locked="0"/>
    </xf>
    <xf numFmtId="3" fontId="14" fillId="2" borderId="4" xfId="0" applyNumberFormat="1" applyFont="1" applyFill="1" applyBorder="1" applyAlignment="1" applyProtection="1">
      <alignment horizontal="right"/>
      <protection locked="0"/>
    </xf>
    <xf numFmtId="3" fontId="14" fillId="2" borderId="5" xfId="0" applyNumberFormat="1" applyFont="1" applyFill="1" applyBorder="1" applyAlignment="1" applyProtection="1">
      <alignment horizontal="right"/>
      <protection locked="0"/>
    </xf>
    <xf numFmtId="3" fontId="14" fillId="2" borderId="6" xfId="0" applyNumberFormat="1" applyFont="1" applyFill="1" applyBorder="1" applyAlignment="1" applyProtection="1">
      <alignment horizontal="right"/>
      <protection locked="0"/>
    </xf>
    <xf numFmtId="3" fontId="14" fillId="2" borderId="7" xfId="0" applyNumberFormat="1" applyFont="1" applyFill="1" applyBorder="1" applyAlignment="1" applyProtection="1">
      <alignment horizontal="right"/>
      <protection locked="0"/>
    </xf>
    <xf numFmtId="3" fontId="14" fillId="3" borderId="6" xfId="0" applyNumberFormat="1" applyFont="1" applyFill="1" applyBorder="1" applyAlignment="1" applyProtection="1">
      <alignment horizontal="right"/>
    </xf>
    <xf numFmtId="3" fontId="14" fillId="2" borderId="8" xfId="0" applyNumberFormat="1" applyFont="1" applyFill="1" applyBorder="1" applyAlignment="1" applyProtection="1">
      <alignment horizontal="right"/>
      <protection locked="0"/>
    </xf>
    <xf numFmtId="3" fontId="14" fillId="2" borderId="9" xfId="0" applyNumberFormat="1" applyFont="1" applyFill="1" applyBorder="1" applyAlignment="1" applyProtection="1">
      <alignment horizontal="right"/>
      <protection locked="0"/>
    </xf>
    <xf numFmtId="3" fontId="14" fillId="2" borderId="10" xfId="0" applyNumberFormat="1" applyFont="1" applyFill="1" applyBorder="1" applyAlignment="1" applyProtection="1">
      <alignment horizontal="right"/>
      <protection locked="0"/>
    </xf>
    <xf numFmtId="3" fontId="14" fillId="2" borderId="0" xfId="0" applyNumberFormat="1" applyFont="1" applyFill="1" applyBorder="1" applyProtection="1"/>
    <xf numFmtId="3" fontId="14" fillId="2" borderId="0" xfId="0" applyNumberFormat="1" applyFont="1" applyFill="1" applyBorder="1" applyAlignment="1" applyProtection="1">
      <alignment horizontal="right"/>
    </xf>
    <xf numFmtId="0" fontId="26" fillId="2" borderId="0" xfId="0" applyFont="1" applyFill="1" applyBorder="1" applyProtection="1"/>
    <xf numFmtId="3" fontId="9" fillId="2" borderId="0" xfId="0" applyNumberFormat="1" applyFont="1" applyFill="1" applyBorder="1" applyProtection="1"/>
    <xf numFmtId="3" fontId="9" fillId="2" borderId="0" xfId="0" applyNumberFormat="1" applyFont="1" applyFill="1" applyBorder="1" applyAlignment="1" applyProtection="1"/>
    <xf numFmtId="0" fontId="26" fillId="2" borderId="0" xfId="0" applyFont="1" applyFill="1" applyProtection="1"/>
    <xf numFmtId="0" fontId="56" fillId="2" borderId="0" xfId="0" applyFont="1" applyFill="1" applyBorder="1" applyAlignment="1" applyProtection="1">
      <alignment vertical="top"/>
    </xf>
    <xf numFmtId="168" fontId="9" fillId="2" borderId="0" xfId="0" applyNumberFormat="1" applyFont="1" applyFill="1" applyBorder="1" applyProtection="1"/>
    <xf numFmtId="3" fontId="14" fillId="2" borderId="0" xfId="0" applyNumberFormat="1" applyFont="1" applyFill="1" applyBorder="1" applyAlignment="1" applyProtection="1">
      <alignment horizontal="left"/>
    </xf>
    <xf numFmtId="3" fontId="6" fillId="2" borderId="0" xfId="0" applyNumberFormat="1" applyFont="1" applyFill="1" applyBorder="1" applyProtection="1"/>
    <xf numFmtId="0" fontId="14" fillId="2" borderId="0" xfId="0" applyFont="1" applyFill="1" applyBorder="1" applyProtection="1"/>
    <xf numFmtId="1" fontId="40" fillId="2" borderId="0" xfId="0" applyNumberFormat="1" applyFont="1" applyFill="1" applyBorder="1" applyAlignment="1" applyProtection="1">
      <alignment horizontal="left"/>
    </xf>
    <xf numFmtId="167" fontId="47" fillId="2" borderId="0" xfId="0" applyNumberFormat="1" applyFont="1" applyFill="1" applyBorder="1" applyProtection="1"/>
    <xf numFmtId="3" fontId="37" fillId="2" borderId="0" xfId="0" applyNumberFormat="1" applyFont="1" applyFill="1" applyProtection="1"/>
    <xf numFmtId="0" fontId="8" fillId="2" borderId="0" xfId="0" applyFont="1" applyFill="1" applyProtection="1"/>
    <xf numFmtId="0" fontId="4" fillId="2" borderId="0" xfId="0" applyFont="1" applyFill="1" applyProtection="1"/>
    <xf numFmtId="3" fontId="8" fillId="2" borderId="0" xfId="0" applyNumberFormat="1" applyFont="1" applyFill="1" applyBorder="1" applyProtection="1"/>
    <xf numFmtId="3" fontId="9" fillId="4" borderId="0" xfId="0" applyNumberFormat="1" applyFont="1" applyFill="1" applyBorder="1" applyProtection="1"/>
    <xf numFmtId="3" fontId="14" fillId="5"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right"/>
    </xf>
    <xf numFmtId="3" fontId="14" fillId="4" borderId="0" xfId="0" applyNumberFormat="1" applyFont="1" applyFill="1" applyBorder="1" applyAlignment="1" applyProtection="1">
      <alignment horizontal="left"/>
    </xf>
    <xf numFmtId="3" fontId="14" fillId="5" borderId="0" xfId="0" applyNumberFormat="1" applyFont="1" applyFill="1" applyBorder="1" applyAlignment="1" applyProtection="1"/>
    <xf numFmtId="3" fontId="3" fillId="2" borderId="5" xfId="0" applyNumberFormat="1" applyFont="1" applyFill="1" applyBorder="1" applyAlignment="1" applyProtection="1">
      <alignment horizontal="right"/>
      <protection locked="0"/>
    </xf>
    <xf numFmtId="3" fontId="3" fillId="2" borderId="12" xfId="0" applyNumberFormat="1" applyFont="1" applyFill="1" applyBorder="1" applyAlignment="1" applyProtection="1">
      <alignment horizontal="right"/>
      <protection locked="0"/>
    </xf>
    <xf numFmtId="3" fontId="53" fillId="2" borderId="0" xfId="0" applyNumberFormat="1" applyFont="1" applyFill="1" applyBorder="1" applyProtection="1"/>
    <xf numFmtId="3" fontId="14" fillId="6" borderId="0" xfId="0" applyNumberFormat="1" applyFont="1" applyFill="1" applyBorder="1" applyAlignment="1" applyProtection="1">
      <alignment horizontal="right"/>
    </xf>
    <xf numFmtId="3" fontId="14" fillId="6" borderId="0" xfId="0" applyNumberFormat="1" applyFont="1" applyFill="1" applyBorder="1" applyAlignment="1" applyProtection="1"/>
    <xf numFmtId="0" fontId="64" fillId="2" borderId="0" xfId="0" applyFont="1" applyFill="1" applyBorder="1" applyAlignment="1" applyProtection="1"/>
    <xf numFmtId="0" fontId="66" fillId="2" borderId="0" xfId="0" quotePrefix="1" applyFont="1" applyFill="1" applyBorder="1" applyAlignment="1" applyProtection="1"/>
    <xf numFmtId="0" fontId="67" fillId="2" borderId="0" xfId="0" applyNumberFormat="1" applyFont="1" applyFill="1" applyProtection="1">
      <protection hidden="1"/>
    </xf>
    <xf numFmtId="0" fontId="67" fillId="2" borderId="0" xfId="0" applyNumberFormat="1" applyFont="1" applyFill="1" applyProtection="1"/>
    <xf numFmtId="0" fontId="68" fillId="2" borderId="0" xfId="0" applyNumberFormat="1" applyFont="1" applyFill="1" applyProtection="1"/>
    <xf numFmtId="0" fontId="68" fillId="2" borderId="0" xfId="0" applyFont="1" applyFill="1" applyProtection="1"/>
    <xf numFmtId="3" fontId="4" fillId="2" borderId="0" xfId="0" applyNumberFormat="1" applyFont="1" applyFill="1" applyBorder="1" applyProtection="1"/>
    <xf numFmtId="3" fontId="3" fillId="2" borderId="2" xfId="0" applyNumberFormat="1" applyFont="1" applyFill="1" applyBorder="1" applyAlignment="1" applyProtection="1">
      <alignment horizontal="right"/>
      <protection locked="0"/>
    </xf>
    <xf numFmtId="0" fontId="10" fillId="2" borderId="0" xfId="0" applyFont="1" applyFill="1" applyProtection="1"/>
    <xf numFmtId="168" fontId="10" fillId="2" borderId="0" xfId="0" applyNumberFormat="1" applyFont="1" applyFill="1" applyProtection="1"/>
    <xf numFmtId="0" fontId="38" fillId="2" borderId="0" xfId="0" applyFont="1" applyFill="1" applyProtection="1"/>
    <xf numFmtId="0" fontId="69" fillId="2" borderId="0" xfId="0" applyFont="1" applyFill="1" applyProtection="1"/>
    <xf numFmtId="0" fontId="37" fillId="2" borderId="0" xfId="0" applyFont="1" applyFill="1" applyBorder="1" applyAlignment="1" applyProtection="1">
      <alignment horizontal="left" vertical="top"/>
    </xf>
    <xf numFmtId="3" fontId="3" fillId="0" borderId="0" xfId="0" applyNumberFormat="1" applyFont="1" applyFill="1" applyBorder="1" applyAlignment="1" applyProtection="1">
      <alignment horizontal="right"/>
    </xf>
    <xf numFmtId="3" fontId="6" fillId="4" borderId="0" xfId="0" applyNumberFormat="1" applyFont="1" applyFill="1" applyBorder="1" applyProtection="1"/>
    <xf numFmtId="0" fontId="56" fillId="2" borderId="0" xfId="0" applyFont="1" applyFill="1" applyAlignment="1" applyProtection="1">
      <alignment vertical="top"/>
    </xf>
    <xf numFmtId="0" fontId="52" fillId="2" borderId="0" xfId="0" applyFont="1" applyFill="1" applyAlignment="1" applyProtection="1"/>
    <xf numFmtId="0" fontId="52" fillId="2" borderId="0" xfId="0" applyFont="1" applyFill="1" applyAlignment="1" applyProtection="1">
      <alignment vertical="top"/>
    </xf>
    <xf numFmtId="0" fontId="34" fillId="7" borderId="0" xfId="0" applyFont="1" applyFill="1" applyBorder="1" applyAlignment="1" applyProtection="1">
      <alignment horizontal="left"/>
    </xf>
    <xf numFmtId="0" fontId="31" fillId="7" borderId="0" xfId="0" applyFont="1" applyFill="1" applyBorder="1" applyAlignment="1" applyProtection="1">
      <alignment horizontal="left"/>
    </xf>
    <xf numFmtId="0" fontId="4" fillId="0" borderId="0" xfId="0" applyFont="1" applyFill="1" applyProtection="1"/>
    <xf numFmtId="3" fontId="3" fillId="8" borderId="13" xfId="0" applyNumberFormat="1" applyFont="1" applyFill="1" applyBorder="1" applyAlignment="1" applyProtection="1">
      <alignment horizontal="right"/>
    </xf>
    <xf numFmtId="3" fontId="3" fillId="9" borderId="14" xfId="0" applyNumberFormat="1" applyFont="1" applyFill="1" applyBorder="1" applyAlignment="1" applyProtection="1">
      <alignment horizontal="right"/>
    </xf>
    <xf numFmtId="3" fontId="3" fillId="9" borderId="9" xfId="0" applyNumberFormat="1" applyFont="1" applyFill="1" applyBorder="1" applyAlignment="1" applyProtection="1">
      <alignment horizontal="right"/>
    </xf>
    <xf numFmtId="3" fontId="3" fillId="9" borderId="7" xfId="0" applyNumberFormat="1" applyFont="1" applyFill="1" applyBorder="1" applyAlignment="1" applyProtection="1">
      <alignment horizontal="right"/>
    </xf>
    <xf numFmtId="3" fontId="3" fillId="9" borderId="15" xfId="0" applyNumberFormat="1" applyFont="1" applyFill="1" applyBorder="1" applyAlignment="1" applyProtection="1">
      <alignment horizontal="right"/>
    </xf>
    <xf numFmtId="3" fontId="3" fillId="9" borderId="17" xfId="0" applyNumberFormat="1" applyFont="1" applyFill="1" applyBorder="1" applyAlignment="1" applyProtection="1">
      <alignment horizontal="right"/>
    </xf>
    <xf numFmtId="3" fontId="3" fillId="9" borderId="5" xfId="0" applyNumberFormat="1" applyFont="1" applyFill="1" applyBorder="1" applyAlignment="1" applyProtection="1">
      <alignment horizontal="right"/>
    </xf>
    <xf numFmtId="0" fontId="6" fillId="0" borderId="0" xfId="0" applyFont="1" applyFill="1" applyBorder="1" applyAlignment="1" applyProtection="1">
      <alignment horizontal="left"/>
    </xf>
    <xf numFmtId="0" fontId="6" fillId="0" borderId="0" xfId="0" applyFont="1" applyFill="1" applyBorder="1" applyProtection="1"/>
    <xf numFmtId="0" fontId="4" fillId="0" borderId="0" xfId="0" applyFont="1" applyFill="1" applyBorder="1" applyAlignment="1" applyProtection="1">
      <alignment horizontal="left"/>
    </xf>
    <xf numFmtId="0" fontId="34" fillId="7" borderId="0" xfId="0" applyFont="1" applyFill="1" applyAlignment="1" applyProtection="1">
      <alignment vertical="top"/>
    </xf>
    <xf numFmtId="0" fontId="32" fillId="7" borderId="0" xfId="0" applyFont="1" applyFill="1" applyProtection="1"/>
    <xf numFmtId="0" fontId="33" fillId="7" borderId="0" xfId="0" applyFont="1" applyFill="1" applyProtection="1"/>
    <xf numFmtId="0" fontId="34" fillId="7" borderId="0" xfId="0" quotePrefix="1" applyFont="1" applyFill="1" applyBorder="1" applyAlignment="1" applyProtection="1">
      <alignment horizontal="left"/>
    </xf>
    <xf numFmtId="0" fontId="61" fillId="7" borderId="0" xfId="0" applyFont="1" applyFill="1" applyProtection="1"/>
    <xf numFmtId="0" fontId="62" fillId="7" borderId="0" xfId="0" applyFont="1" applyFill="1" applyProtection="1"/>
    <xf numFmtId="168" fontId="62" fillId="7" borderId="0" xfId="0" applyNumberFormat="1" applyFont="1" applyFill="1" applyProtection="1"/>
    <xf numFmtId="3" fontId="3" fillId="9" borderId="9" xfId="0" applyNumberFormat="1" applyFont="1" applyFill="1" applyBorder="1" applyProtection="1"/>
    <xf numFmtId="3" fontId="3" fillId="9" borderId="5" xfId="0" applyNumberFormat="1" applyFont="1" applyFill="1" applyBorder="1" applyProtection="1"/>
    <xf numFmtId="3" fontId="3" fillId="2" borderId="18" xfId="0" applyNumberFormat="1" applyFont="1" applyFill="1" applyBorder="1" applyAlignment="1" applyProtection="1">
      <alignment horizontal="right"/>
      <protection locked="0"/>
    </xf>
    <xf numFmtId="3" fontId="14" fillId="2" borderId="18" xfId="0" applyNumberFormat="1" applyFont="1" applyFill="1" applyBorder="1" applyAlignment="1" applyProtection="1">
      <alignment horizontal="right"/>
      <protection locked="0"/>
    </xf>
    <xf numFmtId="3" fontId="14" fillId="2" borderId="19" xfId="0" applyNumberFormat="1" applyFont="1" applyFill="1" applyBorder="1" applyAlignment="1" applyProtection="1">
      <alignment horizontal="right"/>
      <protection locked="0"/>
    </xf>
    <xf numFmtId="3" fontId="14" fillId="2" borderId="20" xfId="0" applyNumberFormat="1" applyFont="1" applyFill="1" applyBorder="1" applyAlignment="1" applyProtection="1">
      <alignment horizontal="right"/>
      <protection locked="0"/>
    </xf>
    <xf numFmtId="3" fontId="14" fillId="2" borderId="21" xfId="0" applyNumberFormat="1" applyFont="1" applyFill="1" applyBorder="1" applyAlignment="1" applyProtection="1">
      <alignment horizontal="right"/>
      <protection locked="0"/>
    </xf>
    <xf numFmtId="3" fontId="14" fillId="2" borderId="22" xfId="0" applyNumberFormat="1" applyFont="1" applyFill="1" applyBorder="1" applyAlignment="1" applyProtection="1">
      <alignment horizontal="right"/>
      <protection locked="0"/>
    </xf>
    <xf numFmtId="3" fontId="14" fillId="3" borderId="19" xfId="0" applyNumberFormat="1" applyFont="1" applyFill="1" applyBorder="1" applyAlignment="1" applyProtection="1">
      <alignment horizontal="right"/>
    </xf>
    <xf numFmtId="3" fontId="14" fillId="2" borderId="23" xfId="0" applyNumberFormat="1" applyFont="1" applyFill="1" applyBorder="1" applyAlignment="1" applyProtection="1">
      <alignment horizontal="right"/>
      <protection locked="0"/>
    </xf>
    <xf numFmtId="3" fontId="14" fillId="2" borderId="24" xfId="0" applyNumberFormat="1" applyFont="1" applyFill="1" applyBorder="1" applyAlignment="1" applyProtection="1">
      <alignment horizontal="right"/>
      <protection locked="0"/>
    </xf>
    <xf numFmtId="3" fontId="14" fillId="2" borderId="25" xfId="0" applyNumberFormat="1" applyFont="1" applyFill="1" applyBorder="1" applyAlignment="1" applyProtection="1">
      <alignment horizontal="right"/>
      <protection locked="0"/>
    </xf>
    <xf numFmtId="3" fontId="14" fillId="2" borderId="26" xfId="0" applyNumberFormat="1" applyFont="1" applyFill="1" applyBorder="1" applyAlignment="1" applyProtection="1">
      <alignment horizontal="right"/>
      <protection locked="0"/>
    </xf>
    <xf numFmtId="0" fontId="6" fillId="2" borderId="0" xfId="0" applyFont="1" applyFill="1" applyBorder="1" applyProtection="1"/>
    <xf numFmtId="0" fontId="9" fillId="4" borderId="0" xfId="0" applyFont="1" applyFill="1" applyBorder="1" applyProtection="1"/>
    <xf numFmtId="3" fontId="14" fillId="5" borderId="27" xfId="0" applyNumberFormat="1" applyFont="1" applyFill="1" applyBorder="1" applyAlignment="1" applyProtection="1">
      <alignment horizontal="right"/>
    </xf>
    <xf numFmtId="3" fontId="14" fillId="2" borderId="28" xfId="0" applyNumberFormat="1" applyFont="1" applyFill="1" applyBorder="1" applyAlignment="1" applyProtection="1">
      <alignment horizontal="right"/>
      <protection locked="0"/>
    </xf>
    <xf numFmtId="3" fontId="14" fillId="2" borderId="29" xfId="0" applyNumberFormat="1" applyFont="1" applyFill="1" applyBorder="1" applyAlignment="1" applyProtection="1">
      <alignment horizontal="right"/>
      <protection locked="0"/>
    </xf>
    <xf numFmtId="3" fontId="14" fillId="2" borderId="30" xfId="0" applyNumberFormat="1" applyFont="1" applyFill="1" applyBorder="1" applyAlignment="1" applyProtection="1">
      <alignment horizontal="right"/>
      <protection locked="0"/>
    </xf>
    <xf numFmtId="3" fontId="14" fillId="3" borderId="31" xfId="0" applyNumberFormat="1" applyFont="1" applyFill="1" applyBorder="1" applyAlignment="1" applyProtection="1">
      <alignment horizontal="right"/>
    </xf>
    <xf numFmtId="3" fontId="14" fillId="3" borderId="29" xfId="0" applyNumberFormat="1" applyFont="1" applyFill="1" applyBorder="1" applyAlignment="1" applyProtection="1">
      <alignment horizontal="right"/>
    </xf>
    <xf numFmtId="3" fontId="14" fillId="3" borderId="32" xfId="0" applyNumberFormat="1" applyFont="1" applyFill="1" applyBorder="1" applyAlignment="1" applyProtection="1">
      <alignment horizontal="right"/>
    </xf>
    <xf numFmtId="3" fontId="14" fillId="2" borderId="32" xfId="0" applyNumberFormat="1" applyFont="1" applyFill="1" applyBorder="1" applyAlignment="1" applyProtection="1">
      <alignment horizontal="right"/>
      <protection locked="0"/>
    </xf>
    <xf numFmtId="3" fontId="3" fillId="9" borderId="33" xfId="0" applyNumberFormat="1" applyFont="1" applyFill="1" applyBorder="1" applyProtection="1"/>
    <xf numFmtId="3" fontId="3" fillId="9" borderId="34" xfId="0" applyNumberFormat="1" applyFont="1" applyFill="1" applyBorder="1" applyAlignment="1" applyProtection="1">
      <alignment horizontal="right"/>
    </xf>
    <xf numFmtId="3" fontId="3" fillId="9" borderId="35" xfId="0" applyNumberFormat="1" applyFont="1" applyFill="1" applyBorder="1" applyAlignment="1" applyProtection="1">
      <alignment horizontal="right"/>
    </xf>
    <xf numFmtId="0" fontId="4" fillId="10" borderId="37" xfId="0" applyFont="1" applyFill="1" applyBorder="1" applyAlignment="1" applyProtection="1">
      <alignment horizontal="center"/>
    </xf>
    <xf numFmtId="0" fontId="37" fillId="2" borderId="0" xfId="0" applyFont="1" applyFill="1" applyBorder="1" applyProtection="1"/>
    <xf numFmtId="3" fontId="8" fillId="2" borderId="38" xfId="0" applyNumberFormat="1" applyFont="1" applyFill="1" applyBorder="1" applyProtection="1"/>
    <xf numFmtId="3" fontId="39" fillId="2" borderId="38" xfId="0" applyNumberFormat="1" applyFont="1" applyFill="1" applyBorder="1" applyAlignment="1" applyProtection="1">
      <alignment horizontal="left"/>
    </xf>
    <xf numFmtId="3" fontId="3" fillId="9" borderId="39" xfId="0" applyNumberFormat="1" applyFont="1" applyFill="1" applyBorder="1" applyAlignment="1" applyProtection="1">
      <alignment horizontal="right"/>
    </xf>
    <xf numFmtId="3" fontId="3" fillId="9" borderId="20" xfId="0" applyNumberFormat="1" applyFont="1" applyFill="1" applyBorder="1" applyAlignment="1" applyProtection="1">
      <alignment horizontal="right"/>
    </xf>
    <xf numFmtId="3" fontId="3" fillId="9" borderId="40" xfId="0" applyNumberFormat="1" applyFont="1" applyFill="1" applyBorder="1" applyAlignment="1" applyProtection="1">
      <alignment horizontal="right"/>
    </xf>
    <xf numFmtId="0" fontId="34" fillId="7" borderId="0" xfId="5" applyFont="1" applyFill="1" applyBorder="1" applyAlignment="1" applyProtection="1">
      <alignment horizontal="left"/>
    </xf>
    <xf numFmtId="0" fontId="31" fillId="7" borderId="0" xfId="5" applyFont="1" applyFill="1" applyBorder="1" applyAlignment="1" applyProtection="1">
      <alignment horizontal="left"/>
    </xf>
    <xf numFmtId="3" fontId="3" fillId="2" borderId="5" xfId="5" applyNumberFormat="1" applyFont="1" applyFill="1" applyBorder="1" applyAlignment="1" applyProtection="1">
      <alignment horizontal="right"/>
      <protection locked="0"/>
    </xf>
    <xf numFmtId="3" fontId="3" fillId="9" borderId="5" xfId="5" applyNumberFormat="1" applyFont="1" applyFill="1" applyBorder="1" applyAlignment="1" applyProtection="1">
      <alignment horizontal="right"/>
    </xf>
    <xf numFmtId="3" fontId="38" fillId="8" borderId="5" xfId="5" applyNumberFormat="1" applyFont="1" applyFill="1" applyBorder="1" applyProtection="1"/>
    <xf numFmtId="3" fontId="38" fillId="8" borderId="2" xfId="5" applyNumberFormat="1" applyFont="1" applyFill="1" applyBorder="1" applyProtection="1"/>
    <xf numFmtId="3" fontId="38" fillId="8" borderId="41" xfId="5" applyNumberFormat="1" applyFont="1" applyFill="1" applyBorder="1" applyProtection="1"/>
    <xf numFmtId="0" fontId="79" fillId="7" borderId="0" xfId="0" applyFont="1" applyFill="1" applyBorder="1" applyAlignment="1" applyProtection="1">
      <alignment horizontal="left"/>
    </xf>
    <xf numFmtId="3" fontId="59" fillId="2" borderId="0" xfId="0" applyNumberFormat="1" applyFont="1" applyFill="1" applyBorder="1" applyAlignment="1" applyProtection="1"/>
    <xf numFmtId="3" fontId="37" fillId="0" borderId="0" xfId="0" applyNumberFormat="1" applyFont="1" applyFill="1" applyBorder="1" applyProtection="1"/>
    <xf numFmtId="49" fontId="6" fillId="0" borderId="0" xfId="0" applyNumberFormat="1" applyFont="1" applyFill="1" applyBorder="1" applyAlignment="1" applyProtection="1">
      <alignment horizontal="left"/>
    </xf>
    <xf numFmtId="0" fontId="2" fillId="0" borderId="0" xfId="0" applyFont="1" applyFill="1" applyBorder="1" applyProtection="1"/>
    <xf numFmtId="0" fontId="8" fillId="0" borderId="0" xfId="0" applyFont="1" applyFill="1" applyBorder="1" applyProtection="1"/>
    <xf numFmtId="3" fontId="4" fillId="0" borderId="0" xfId="0" applyNumberFormat="1" applyFont="1" applyFill="1" applyBorder="1" applyProtection="1"/>
    <xf numFmtId="0" fontId="4" fillId="0" borderId="0" xfId="0" applyFont="1" applyFill="1" applyBorder="1" applyProtection="1"/>
    <xf numFmtId="3" fontId="14" fillId="0" borderId="0" xfId="0" applyNumberFormat="1" applyFont="1" applyFill="1" applyBorder="1" applyAlignment="1" applyProtection="1">
      <alignment horizontal="right"/>
    </xf>
    <xf numFmtId="3" fontId="14" fillId="0" borderId="0" xfId="0" applyNumberFormat="1" applyFont="1" applyFill="1" applyBorder="1" applyAlignment="1" applyProtection="1"/>
    <xf numFmtId="49" fontId="3" fillId="10" borderId="43" xfId="0" applyNumberFormat="1" applyFont="1" applyFill="1" applyBorder="1" applyAlignment="1" applyProtection="1"/>
    <xf numFmtId="49" fontId="3" fillId="10" borderId="28" xfId="0" applyNumberFormat="1" applyFont="1" applyFill="1" applyBorder="1" applyAlignment="1" applyProtection="1"/>
    <xf numFmtId="49" fontId="3" fillId="10" borderId="29" xfId="0" applyNumberFormat="1" applyFont="1" applyFill="1" applyBorder="1" applyAlignment="1" applyProtection="1"/>
    <xf numFmtId="49" fontId="3" fillId="10" borderId="44" xfId="0" applyNumberFormat="1" applyFont="1" applyFill="1" applyBorder="1" applyAlignment="1" applyProtection="1"/>
    <xf numFmtId="49" fontId="3" fillId="10" borderId="45" xfId="0" applyNumberFormat="1" applyFont="1" applyFill="1" applyBorder="1" applyAlignment="1" applyProtection="1"/>
    <xf numFmtId="49" fontId="3" fillId="10" borderId="46" xfId="0" applyNumberFormat="1" applyFont="1" applyFill="1" applyBorder="1" applyAlignment="1" applyProtection="1"/>
    <xf numFmtId="49" fontId="3" fillId="10" borderId="30" xfId="0" applyNumberFormat="1" applyFont="1" applyFill="1" applyBorder="1" applyAlignment="1" applyProtection="1"/>
    <xf numFmtId="3" fontId="83" fillId="0" borderId="0" xfId="0" applyNumberFormat="1" applyFont="1" applyFill="1" applyBorder="1" applyProtection="1"/>
    <xf numFmtId="0" fontId="63" fillId="2" borderId="0" xfId="0" applyFont="1" applyFill="1" applyProtection="1"/>
    <xf numFmtId="0" fontId="85" fillId="7" borderId="0" xfId="0" applyFont="1" applyFill="1" applyProtection="1"/>
    <xf numFmtId="0" fontId="63" fillId="2" borderId="0" xfId="0" applyNumberFormat="1" applyFont="1" applyFill="1" applyBorder="1" applyProtection="1"/>
    <xf numFmtId="170" fontId="83" fillId="2" borderId="0" xfId="0" applyNumberFormat="1" applyFont="1" applyFill="1" applyBorder="1" applyAlignment="1" applyProtection="1">
      <alignment horizontal="left"/>
    </xf>
    <xf numFmtId="3" fontId="83" fillId="2" borderId="0" xfId="0" applyNumberFormat="1" applyFont="1" applyFill="1" applyBorder="1" applyProtection="1"/>
    <xf numFmtId="0" fontId="83" fillId="2" borderId="0" xfId="0" applyFont="1" applyFill="1" applyProtection="1"/>
    <xf numFmtId="3" fontId="3" fillId="9" borderId="47" xfId="0" applyNumberFormat="1" applyFont="1" applyFill="1" applyBorder="1" applyAlignment="1" applyProtection="1">
      <alignment horizontal="right"/>
    </xf>
    <xf numFmtId="3" fontId="3" fillId="9" borderId="48" xfId="0" applyNumberFormat="1" applyFont="1" applyFill="1" applyBorder="1" applyAlignment="1" applyProtection="1">
      <alignment horizontal="right"/>
    </xf>
    <xf numFmtId="49" fontId="3" fillId="10" borderId="0" xfId="0" applyNumberFormat="1" applyFont="1" applyFill="1" applyBorder="1" applyAlignment="1" applyProtection="1"/>
    <xf numFmtId="49" fontId="3" fillId="10" borderId="49" xfId="0" applyNumberFormat="1" applyFont="1" applyFill="1" applyBorder="1" applyAlignment="1" applyProtection="1"/>
    <xf numFmtId="49" fontId="3" fillId="10" borderId="50" xfId="0" applyNumberFormat="1" applyFont="1" applyFill="1" applyBorder="1" applyAlignment="1" applyProtection="1"/>
    <xf numFmtId="0" fontId="0" fillId="7" borderId="0" xfId="0" applyFill="1" applyProtection="1"/>
    <xf numFmtId="0" fontId="0" fillId="0" borderId="0" xfId="0" applyFill="1" applyBorder="1" applyProtection="1"/>
    <xf numFmtId="0" fontId="0" fillId="0" borderId="0" xfId="0" applyProtection="1"/>
    <xf numFmtId="0" fontId="0" fillId="2" borderId="0" xfId="0" applyFill="1" applyBorder="1" applyProtection="1"/>
    <xf numFmtId="0" fontId="3" fillId="2" borderId="0" xfId="0" applyFont="1" applyFill="1" applyBorder="1" applyProtection="1"/>
    <xf numFmtId="0" fontId="0" fillId="0" borderId="0" xfId="0" applyBorder="1" applyAlignment="1" applyProtection="1"/>
    <xf numFmtId="3" fontId="3" fillId="0" borderId="5" xfId="0" applyNumberFormat="1" applyFont="1" applyFill="1" applyBorder="1" applyAlignment="1" applyProtection="1">
      <alignment horizontal="right"/>
      <protection locked="0"/>
    </xf>
    <xf numFmtId="3" fontId="3" fillId="0" borderId="51" xfId="0" applyNumberFormat="1" applyFont="1" applyFill="1" applyBorder="1" applyAlignment="1" applyProtection="1">
      <alignment horizontal="right"/>
      <protection locked="0"/>
    </xf>
    <xf numFmtId="3" fontId="3" fillId="2" borderId="52" xfId="0" applyNumberFormat="1" applyFont="1" applyFill="1" applyBorder="1" applyAlignment="1" applyProtection="1">
      <alignment horizontal="right"/>
      <protection locked="0"/>
    </xf>
    <xf numFmtId="3" fontId="3" fillId="2" borderId="19" xfId="0" applyNumberFormat="1" applyFont="1" applyFill="1" applyBorder="1" applyAlignment="1" applyProtection="1">
      <alignment horizontal="right"/>
      <protection locked="0"/>
    </xf>
    <xf numFmtId="0" fontId="37" fillId="2" borderId="0" xfId="0" applyFont="1" applyFill="1" applyProtection="1"/>
    <xf numFmtId="0" fontId="37" fillId="2" borderId="0" xfId="0" applyFont="1" applyFill="1" applyBorder="1" applyAlignment="1" applyProtection="1">
      <alignment horizontal="left"/>
    </xf>
    <xf numFmtId="0" fontId="52" fillId="2" borderId="0" xfId="0" applyFont="1" applyFill="1" applyProtection="1"/>
    <xf numFmtId="0" fontId="52" fillId="0" borderId="0" xfId="0" applyFont="1" applyFill="1" applyBorder="1" applyProtection="1"/>
    <xf numFmtId="49" fontId="0" fillId="2" borderId="0" xfId="0" applyNumberFormat="1" applyFill="1" applyProtection="1"/>
    <xf numFmtId="0" fontId="84" fillId="2" borderId="0" xfId="0" applyFont="1" applyFill="1" applyProtection="1"/>
    <xf numFmtId="0" fontId="25" fillId="2" borderId="0" xfId="0" applyFont="1" applyFill="1" applyProtection="1"/>
    <xf numFmtId="3" fontId="3" fillId="2" borderId="53" xfId="0" applyNumberFormat="1" applyFont="1" applyFill="1" applyBorder="1" applyAlignment="1" applyProtection="1">
      <alignment horizontal="right"/>
      <protection locked="0"/>
    </xf>
    <xf numFmtId="3" fontId="3" fillId="6" borderId="18" xfId="0" applyNumberFormat="1" applyFont="1" applyFill="1" applyBorder="1" applyAlignment="1" applyProtection="1">
      <alignment horizontal="right"/>
      <protection locked="0"/>
    </xf>
    <xf numFmtId="3" fontId="3" fillId="2" borderId="54" xfId="0" applyNumberFormat="1" applyFont="1" applyFill="1" applyBorder="1" applyAlignment="1" applyProtection="1">
      <alignment horizontal="right"/>
      <protection locked="0"/>
    </xf>
    <xf numFmtId="3" fontId="3" fillId="6" borderId="19" xfId="0" applyNumberFormat="1" applyFont="1" applyFill="1" applyBorder="1" applyAlignment="1" applyProtection="1">
      <alignment horizontal="right"/>
      <protection locked="0"/>
    </xf>
    <xf numFmtId="3" fontId="3" fillId="11" borderId="18" xfId="0" applyNumberFormat="1" applyFont="1" applyFill="1" applyBorder="1" applyAlignment="1" applyProtection="1">
      <alignment horizontal="right"/>
      <protection locked="0"/>
    </xf>
    <xf numFmtId="3" fontId="3" fillId="6" borderId="53" xfId="0" applyNumberFormat="1" applyFont="1" applyFill="1" applyBorder="1" applyAlignment="1" applyProtection="1">
      <alignment horizontal="right"/>
      <protection locked="0"/>
    </xf>
    <xf numFmtId="3" fontId="3" fillId="6" borderId="12" xfId="0" applyNumberFormat="1" applyFont="1" applyFill="1" applyBorder="1" applyAlignment="1" applyProtection="1">
      <alignment horizontal="right"/>
      <protection locked="0"/>
    </xf>
    <xf numFmtId="3" fontId="3" fillId="6" borderId="55" xfId="0" applyNumberFormat="1" applyFont="1" applyFill="1" applyBorder="1" applyAlignment="1" applyProtection="1">
      <alignment horizontal="right"/>
      <protection locked="0"/>
    </xf>
    <xf numFmtId="0" fontId="0" fillId="7" borderId="0" xfId="0" applyFill="1" applyBorder="1" applyProtection="1"/>
    <xf numFmtId="0" fontId="25" fillId="2" borderId="0" xfId="0" applyFont="1" applyFill="1" applyBorder="1" applyProtection="1"/>
    <xf numFmtId="0" fontId="55" fillId="2" borderId="0" xfId="0" quotePrefix="1" applyFont="1" applyFill="1" applyAlignment="1" applyProtection="1">
      <alignment horizontal="left"/>
    </xf>
    <xf numFmtId="0" fontId="41" fillId="0" borderId="0" xfId="0" applyFont="1" applyFill="1" applyBorder="1" applyProtection="1"/>
    <xf numFmtId="0" fontId="52" fillId="0" borderId="0" xfId="0" applyFont="1" applyFill="1" applyProtection="1"/>
    <xf numFmtId="0" fontId="0" fillId="0" borderId="0" xfId="0" applyFill="1" applyProtection="1"/>
    <xf numFmtId="0" fontId="12" fillId="4" borderId="0" xfId="0" applyFont="1" applyFill="1" applyBorder="1" applyProtection="1"/>
    <xf numFmtId="49" fontId="12" fillId="0" borderId="57" xfId="0" applyNumberFormat="1" applyFont="1" applyFill="1" applyBorder="1" applyProtection="1"/>
    <xf numFmtId="0" fontId="25" fillId="0" borderId="0" xfId="0" applyFont="1" applyFill="1" applyBorder="1" applyProtection="1"/>
    <xf numFmtId="0" fontId="26" fillId="4" borderId="0" xfId="0" applyFont="1" applyFill="1" applyBorder="1" applyProtection="1"/>
    <xf numFmtId="3" fontId="14" fillId="4" borderId="0" xfId="0" applyNumberFormat="1" applyFont="1" applyFill="1" applyBorder="1" applyProtection="1"/>
    <xf numFmtId="0" fontId="52" fillId="2" borderId="0" xfId="0" applyFont="1" applyFill="1" applyBorder="1" applyProtection="1"/>
    <xf numFmtId="0" fontId="22" fillId="2" borderId="0" xfId="0" applyFont="1" applyFill="1" applyBorder="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0" fillId="2" borderId="0" xfId="0" applyFill="1" applyBorder="1" applyAlignment="1" applyProtection="1"/>
    <xf numFmtId="0" fontId="25" fillId="0" borderId="0" xfId="0" applyFont="1" applyProtection="1"/>
    <xf numFmtId="0" fontId="25" fillId="0" borderId="0" xfId="0" applyFont="1" applyBorder="1" applyProtection="1"/>
    <xf numFmtId="0" fontId="81" fillId="0" borderId="0" xfId="0" applyFont="1" applyFill="1" applyBorder="1" applyProtection="1"/>
    <xf numFmtId="3" fontId="3" fillId="0" borderId="32" xfId="0" applyNumberFormat="1" applyFont="1" applyFill="1" applyBorder="1" applyAlignment="1" applyProtection="1">
      <alignment horizontal="right"/>
      <protection locked="0"/>
    </xf>
    <xf numFmtId="0" fontId="10" fillId="2" borderId="0" xfId="0" applyFont="1" applyFill="1" applyBorder="1" applyProtection="1"/>
    <xf numFmtId="0" fontId="10" fillId="2" borderId="1" xfId="0" applyFont="1" applyFill="1" applyBorder="1" applyProtection="1"/>
    <xf numFmtId="0" fontId="22" fillId="2" borderId="0" xfId="0" applyFont="1" applyFill="1" applyProtection="1"/>
    <xf numFmtId="0" fontId="10" fillId="0" borderId="0" xfId="0" applyFont="1" applyFill="1" applyBorder="1" applyProtection="1"/>
    <xf numFmtId="3" fontId="3" fillId="2" borderId="58" xfId="0" applyNumberFormat="1" applyFont="1" applyFill="1" applyBorder="1" applyAlignment="1" applyProtection="1">
      <alignment horizontal="right"/>
      <protection locked="0"/>
    </xf>
    <xf numFmtId="3" fontId="14" fillId="2" borderId="52" xfId="0" applyNumberFormat="1" applyFont="1" applyFill="1" applyBorder="1" applyAlignment="1" applyProtection="1">
      <alignment horizontal="right"/>
      <protection locked="0"/>
    </xf>
    <xf numFmtId="3" fontId="14" fillId="0" borderId="20" xfId="0" applyNumberFormat="1" applyFont="1" applyFill="1" applyBorder="1" applyAlignment="1" applyProtection="1">
      <alignment horizontal="right"/>
      <protection locked="0"/>
    </xf>
    <xf numFmtId="3" fontId="14" fillId="0" borderId="19" xfId="0" applyNumberFormat="1" applyFont="1" applyFill="1" applyBorder="1" applyAlignment="1" applyProtection="1">
      <alignment horizontal="right"/>
      <protection locked="0"/>
    </xf>
    <xf numFmtId="3" fontId="3" fillId="2" borderId="59" xfId="0" applyNumberFormat="1" applyFont="1" applyFill="1" applyBorder="1" applyAlignment="1" applyProtection="1">
      <alignment horizontal="right"/>
      <protection locked="0"/>
    </xf>
    <xf numFmtId="3" fontId="11" fillId="2" borderId="18" xfId="0" applyNumberFormat="1" applyFont="1" applyFill="1" applyBorder="1" applyAlignment="1" applyProtection="1">
      <alignment horizontal="right"/>
      <protection locked="0"/>
    </xf>
    <xf numFmtId="3" fontId="14" fillId="0" borderId="18" xfId="0" applyNumberFormat="1" applyFont="1" applyFill="1" applyBorder="1" applyAlignment="1" applyProtection="1">
      <alignment horizontal="right"/>
      <protection locked="0"/>
    </xf>
    <xf numFmtId="3" fontId="14" fillId="0" borderId="26" xfId="0" applyNumberFormat="1" applyFont="1" applyFill="1" applyBorder="1" applyAlignment="1" applyProtection="1">
      <alignment horizontal="right"/>
      <protection locked="0"/>
    </xf>
    <xf numFmtId="3" fontId="14" fillId="2" borderId="60" xfId="0" applyNumberFormat="1" applyFont="1" applyFill="1" applyBorder="1" applyAlignment="1" applyProtection="1">
      <alignment horizontal="right"/>
      <protection locked="0"/>
    </xf>
    <xf numFmtId="0" fontId="37" fillId="0" borderId="0" xfId="0" applyFont="1" applyProtection="1"/>
    <xf numFmtId="0" fontId="37" fillId="0" borderId="0" xfId="0" applyFont="1" applyFill="1" applyProtection="1"/>
    <xf numFmtId="0" fontId="12" fillId="0" borderId="0" xfId="0" applyFont="1" applyFill="1" applyBorder="1" applyAlignment="1" applyProtection="1">
      <alignment horizontal="center"/>
    </xf>
    <xf numFmtId="3" fontId="14" fillId="0" borderId="62" xfId="0" applyNumberFormat="1" applyFont="1" applyFill="1" applyBorder="1" applyAlignment="1" applyProtection="1">
      <alignment horizontal="right"/>
      <protection locked="0"/>
    </xf>
    <xf numFmtId="0" fontId="60" fillId="0" borderId="0" xfId="0" applyFont="1" applyFill="1" applyBorder="1" applyProtection="1"/>
    <xf numFmtId="0" fontId="60" fillId="2" borderId="0" xfId="0" applyFont="1" applyFill="1" applyProtection="1"/>
    <xf numFmtId="0" fontId="65" fillId="2" borderId="0" xfId="0" applyFont="1" applyFill="1" applyAlignment="1" applyProtection="1"/>
    <xf numFmtId="0" fontId="65" fillId="0" borderId="0" xfId="0" applyFont="1" applyFill="1" applyBorder="1" applyAlignment="1" applyProtection="1"/>
    <xf numFmtId="0" fontId="0" fillId="2" borderId="0" xfId="0" applyFont="1" applyFill="1" applyProtection="1"/>
    <xf numFmtId="0" fontId="0" fillId="0" borderId="0" xfId="0" applyFont="1" applyFill="1" applyBorder="1" applyProtection="1"/>
    <xf numFmtId="0" fontId="0" fillId="2" borderId="0" xfId="0" applyFill="1" applyBorder="1" applyAlignment="1" applyProtection="1">
      <alignment horizontal="left"/>
    </xf>
    <xf numFmtId="49" fontId="4" fillId="0" borderId="0" xfId="0" applyNumberFormat="1" applyFont="1" applyFill="1" applyBorder="1" applyProtection="1"/>
    <xf numFmtId="3" fontId="11" fillId="2" borderId="8" xfId="0" applyNumberFormat="1" applyFont="1" applyFill="1" applyBorder="1" applyAlignment="1" applyProtection="1">
      <alignment horizontal="right"/>
      <protection locked="0"/>
    </xf>
    <xf numFmtId="3" fontId="11" fillId="2" borderId="5" xfId="0" applyNumberFormat="1" applyFont="1" applyFill="1" applyBorder="1" applyAlignment="1" applyProtection="1">
      <alignment horizontal="right"/>
      <protection locked="0"/>
    </xf>
    <xf numFmtId="3" fontId="11" fillId="2" borderId="5" xfId="0" quotePrefix="1" applyNumberFormat="1" applyFont="1" applyFill="1" applyBorder="1" applyAlignment="1" applyProtection="1">
      <alignment horizontal="right"/>
      <protection locked="0"/>
    </xf>
    <xf numFmtId="3" fontId="11" fillId="0" borderId="8" xfId="0" applyNumberFormat="1" applyFont="1" applyFill="1" applyBorder="1" applyAlignment="1" applyProtection="1">
      <alignment horizontal="right"/>
      <protection locked="0"/>
    </xf>
    <xf numFmtId="3" fontId="11" fillId="0" borderId="5" xfId="0" applyNumberFormat="1" applyFont="1" applyFill="1" applyBorder="1" applyAlignment="1" applyProtection="1">
      <alignment horizontal="right"/>
      <protection locked="0"/>
    </xf>
    <xf numFmtId="3" fontId="14" fillId="2" borderId="41" xfId="0" applyNumberFormat="1" applyFont="1" applyFill="1" applyBorder="1" applyAlignment="1" applyProtection="1">
      <alignment horizontal="right"/>
      <protection locked="0"/>
    </xf>
    <xf numFmtId="3" fontId="14" fillId="6" borderId="41" xfId="0" applyNumberFormat="1" applyFont="1" applyFill="1" applyBorder="1" applyAlignment="1" applyProtection="1">
      <alignment horizontal="right"/>
      <protection locked="0"/>
    </xf>
    <xf numFmtId="3" fontId="14" fillId="2" borderId="13" xfId="0" applyNumberFormat="1" applyFont="1" applyFill="1" applyBorder="1" applyAlignment="1" applyProtection="1">
      <alignment horizontal="right"/>
      <protection locked="0"/>
    </xf>
    <xf numFmtId="0" fontId="8" fillId="2" borderId="38" xfId="0" applyFont="1" applyFill="1" applyBorder="1" applyProtection="1"/>
    <xf numFmtId="0" fontId="82" fillId="0" borderId="38" xfId="11" applyFont="1" applyFill="1" applyBorder="1" applyProtection="1"/>
    <xf numFmtId="3" fontId="10" fillId="2" borderId="0" xfId="0" applyNumberFormat="1" applyFont="1" applyFill="1" applyBorder="1" applyProtection="1"/>
    <xf numFmtId="3" fontId="81" fillId="2" borderId="0" xfId="0" applyNumberFormat="1" applyFont="1" applyFill="1" applyBorder="1" applyProtection="1"/>
    <xf numFmtId="49" fontId="25" fillId="7" borderId="0" xfId="0" applyNumberFormat="1" applyFont="1" applyFill="1" applyProtection="1"/>
    <xf numFmtId="49" fontId="4" fillId="10" borderId="46" xfId="0" applyNumberFormat="1" applyFont="1" applyFill="1" applyBorder="1" applyAlignment="1" applyProtection="1">
      <alignment vertical="top" wrapText="1"/>
    </xf>
    <xf numFmtId="0" fontId="42" fillId="0" borderId="0" xfId="0" applyFont="1" applyFill="1" applyBorder="1" applyAlignment="1" applyProtection="1">
      <alignment horizontal="left"/>
    </xf>
    <xf numFmtId="0" fontId="3" fillId="0" borderId="0" xfId="0" applyFont="1" applyFill="1" applyBorder="1" applyProtection="1"/>
    <xf numFmtId="0" fontId="4" fillId="0" borderId="0" xfId="0" applyFont="1" applyFill="1" applyBorder="1" applyAlignment="1" applyProtection="1">
      <alignment vertical="top"/>
    </xf>
    <xf numFmtId="49" fontId="25" fillId="0" borderId="0" xfId="0" applyNumberFormat="1" applyFont="1" applyAlignment="1" applyProtection="1">
      <alignment horizontal="left"/>
    </xf>
    <xf numFmtId="49" fontId="25" fillId="0" borderId="0" xfId="0" applyNumberFormat="1" applyFont="1" applyProtection="1"/>
    <xf numFmtId="0" fontId="80" fillId="0" borderId="0" xfId="0" applyFont="1" applyProtection="1"/>
    <xf numFmtId="3" fontId="11" fillId="0" borderId="19" xfId="0" applyNumberFormat="1" applyFont="1" applyFill="1" applyBorder="1" applyAlignment="1" applyProtection="1">
      <alignment horizontal="right"/>
      <protection locked="0"/>
    </xf>
    <xf numFmtId="3" fontId="11" fillId="0" borderId="4" xfId="0" applyNumberFormat="1" applyFont="1" applyFill="1" applyBorder="1" applyAlignment="1" applyProtection="1">
      <alignment horizontal="right"/>
      <protection locked="0"/>
    </xf>
    <xf numFmtId="0" fontId="25" fillId="7" borderId="0" xfId="5" applyFill="1" applyProtection="1"/>
    <xf numFmtId="1" fontId="25" fillId="7" borderId="0" xfId="5" applyNumberFormat="1" applyFill="1" applyProtection="1"/>
    <xf numFmtId="0" fontId="25" fillId="0" borderId="0" xfId="5" applyFill="1" applyBorder="1" applyProtection="1"/>
    <xf numFmtId="0" fontId="25" fillId="0" borderId="0" xfId="5" applyProtection="1"/>
    <xf numFmtId="0" fontId="25" fillId="0" borderId="0" xfId="5" applyBorder="1" applyProtection="1"/>
    <xf numFmtId="1" fontId="54" fillId="2" borderId="0" xfId="11" applyNumberFormat="1" applyFont="1" applyFill="1" applyBorder="1" applyAlignment="1" applyProtection="1">
      <alignment horizontal="left"/>
    </xf>
    <xf numFmtId="0" fontId="25" fillId="2" borderId="0" xfId="5" applyFont="1" applyFill="1" applyProtection="1"/>
    <xf numFmtId="0" fontId="52" fillId="2" borderId="0" xfId="5" applyFont="1" applyFill="1" applyProtection="1"/>
    <xf numFmtId="1" fontId="25" fillId="0" borderId="0" xfId="5" applyNumberFormat="1" applyProtection="1"/>
    <xf numFmtId="0" fontId="25" fillId="0" borderId="0" xfId="5" applyFont="1" applyProtection="1"/>
    <xf numFmtId="3" fontId="3" fillId="2" borderId="2" xfId="5" applyNumberFormat="1" applyFont="1" applyFill="1" applyBorder="1" applyAlignment="1" applyProtection="1">
      <alignment horizontal="right"/>
      <protection locked="0"/>
    </xf>
    <xf numFmtId="0" fontId="25" fillId="0" borderId="0" xfId="0" applyFont="1" applyFill="1" applyProtection="1"/>
    <xf numFmtId="49" fontId="25" fillId="0" borderId="0" xfId="0" applyNumberFormat="1" applyFont="1" applyFill="1" applyBorder="1" applyAlignment="1" applyProtection="1">
      <alignment horizontal="left"/>
    </xf>
    <xf numFmtId="0" fontId="0" fillId="7" borderId="0" xfId="0" applyFill="1" applyAlignment="1" applyProtection="1"/>
    <xf numFmtId="0" fontId="0" fillId="0" borderId="0" xfId="0" applyFill="1" applyAlignment="1" applyProtection="1"/>
    <xf numFmtId="0" fontId="0" fillId="0" borderId="0" xfId="0" applyFill="1" applyBorder="1" applyAlignment="1" applyProtection="1"/>
    <xf numFmtId="0" fontId="0" fillId="0" borderId="0" xfId="0" applyAlignment="1" applyProtection="1"/>
    <xf numFmtId="3" fontId="3" fillId="2" borderId="60" xfId="0" applyNumberFormat="1" applyFont="1" applyFill="1" applyBorder="1" applyAlignment="1" applyProtection="1">
      <alignment horizontal="right"/>
      <protection locked="0"/>
    </xf>
    <xf numFmtId="3" fontId="3" fillId="2" borderId="61" xfId="0" applyNumberFormat="1" applyFont="1" applyFill="1" applyBorder="1" applyAlignment="1" applyProtection="1">
      <alignment horizontal="right"/>
      <protection locked="0"/>
    </xf>
    <xf numFmtId="3" fontId="3" fillId="2" borderId="63" xfId="0" applyNumberFormat="1" applyFont="1" applyFill="1" applyBorder="1" applyAlignment="1" applyProtection="1">
      <alignment horizontal="right"/>
      <protection locked="0"/>
    </xf>
    <xf numFmtId="3" fontId="3" fillId="2" borderId="64" xfId="0" applyNumberFormat="1" applyFont="1" applyFill="1" applyBorder="1" applyAlignment="1" applyProtection="1">
      <alignment horizontal="right"/>
      <protection locked="0"/>
    </xf>
    <xf numFmtId="3" fontId="14" fillId="2" borderId="61" xfId="0" applyNumberFormat="1" applyFont="1" applyFill="1" applyBorder="1" applyAlignment="1" applyProtection="1">
      <alignment horizontal="right"/>
      <protection locked="0"/>
    </xf>
    <xf numFmtId="3" fontId="3" fillId="6" borderId="62" xfId="0" applyNumberFormat="1" applyFont="1" applyFill="1" applyBorder="1" applyAlignment="1" applyProtection="1">
      <alignment horizontal="right"/>
      <protection locked="0"/>
    </xf>
    <xf numFmtId="171" fontId="37" fillId="0" borderId="0" xfId="5" applyNumberFormat="1" applyFont="1" applyFill="1" applyBorder="1" applyAlignment="1" applyProtection="1">
      <alignment vertical="top" wrapText="1"/>
    </xf>
    <xf numFmtId="3" fontId="3" fillId="9" borderId="65" xfId="0" applyNumberFormat="1" applyFont="1" applyFill="1" applyBorder="1" applyAlignment="1" applyProtection="1"/>
    <xf numFmtId="3" fontId="3" fillId="9" borderId="13" xfId="0" applyNumberFormat="1" applyFont="1" applyFill="1" applyBorder="1" applyAlignment="1" applyProtection="1"/>
    <xf numFmtId="3" fontId="38" fillId="8" borderId="67" xfId="5" applyNumberFormat="1" applyFont="1" applyFill="1" applyBorder="1" applyProtection="1"/>
    <xf numFmtId="3" fontId="38" fillId="8" borderId="35" xfId="5" applyNumberFormat="1" applyFont="1" applyFill="1" applyBorder="1" applyProtection="1"/>
    <xf numFmtId="3" fontId="38" fillId="8" borderId="25" xfId="5" applyNumberFormat="1" applyFont="1" applyFill="1" applyBorder="1" applyProtection="1"/>
    <xf numFmtId="166" fontId="10"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xf>
    <xf numFmtId="3" fontId="14" fillId="0" borderId="68" xfId="0" applyNumberFormat="1" applyFont="1" applyFill="1" applyBorder="1" applyAlignment="1" applyProtection="1">
      <alignment horizontal="right"/>
      <protection locked="0"/>
    </xf>
    <xf numFmtId="3" fontId="14" fillId="9" borderId="26" xfId="0" applyNumberFormat="1" applyFont="1" applyFill="1" applyBorder="1" applyProtection="1"/>
    <xf numFmtId="0" fontId="11" fillId="0" borderId="0" xfId="5" applyFont="1" applyFill="1" applyBorder="1" applyProtection="1"/>
    <xf numFmtId="3" fontId="38" fillId="0" borderId="0" xfId="5" applyNumberFormat="1" applyFont="1" applyFill="1" applyBorder="1" applyProtection="1"/>
    <xf numFmtId="0" fontId="25" fillId="0" borderId="0" xfId="5" applyFont="1" applyFill="1" applyProtection="1"/>
    <xf numFmtId="0" fontId="37" fillId="0" borderId="0" xfId="0" applyFont="1" applyFill="1" applyBorder="1" applyProtection="1"/>
    <xf numFmtId="0" fontId="0" fillId="0" borderId="1" xfId="0" applyBorder="1"/>
    <xf numFmtId="3" fontId="14" fillId="2" borderId="19" xfId="0" applyNumberFormat="1" applyFont="1" applyFill="1" applyBorder="1" applyAlignment="1" applyProtection="1">
      <protection locked="0"/>
    </xf>
    <xf numFmtId="171" fontId="37" fillId="0" borderId="0" xfId="0" applyNumberFormat="1" applyFont="1" applyFill="1" applyProtection="1"/>
    <xf numFmtId="171" fontId="37" fillId="2" borderId="0" xfId="0" applyNumberFormat="1" applyFont="1" applyFill="1" applyProtection="1"/>
    <xf numFmtId="0" fontId="37" fillId="2" borderId="0" xfId="0" applyFont="1" applyFill="1" applyBorder="1" applyAlignment="1" applyProtection="1">
      <alignment horizontal="left" vertical="top" wrapText="1"/>
    </xf>
    <xf numFmtId="3" fontId="3" fillId="2" borderId="8" xfId="0" applyNumberFormat="1" applyFont="1" applyFill="1" applyBorder="1" applyAlignment="1" applyProtection="1">
      <alignment horizontal="right"/>
      <protection locked="0"/>
    </xf>
    <xf numFmtId="3" fontId="3" fillId="2" borderId="69" xfId="5" applyNumberFormat="1" applyFont="1" applyFill="1" applyBorder="1" applyAlignment="1" applyProtection="1">
      <alignment horizontal="right"/>
      <protection locked="0"/>
    </xf>
    <xf numFmtId="3" fontId="3" fillId="2" borderId="25" xfId="5" applyNumberFormat="1" applyFont="1" applyFill="1" applyBorder="1" applyAlignment="1" applyProtection="1">
      <alignment horizontal="right"/>
      <protection locked="0"/>
    </xf>
    <xf numFmtId="0" fontId="39" fillId="0" borderId="0" xfId="5" applyFont="1" applyProtection="1"/>
    <xf numFmtId="0" fontId="51" fillId="2" borderId="0" xfId="5" applyFont="1" applyFill="1" applyProtection="1"/>
    <xf numFmtId="0" fontId="37" fillId="0" borderId="0" xfId="5" quotePrefix="1" applyNumberFormat="1" applyFont="1" applyProtection="1"/>
    <xf numFmtId="3" fontId="71" fillId="8" borderId="25" xfId="5" applyNumberFormat="1" applyFont="1" applyFill="1" applyBorder="1" applyAlignment="1" applyProtection="1">
      <alignment horizontal="right"/>
    </xf>
    <xf numFmtId="3" fontId="3" fillId="8" borderId="5" xfId="5" applyNumberFormat="1" applyFont="1" applyFill="1" applyBorder="1" applyAlignment="1" applyProtection="1"/>
    <xf numFmtId="3" fontId="71" fillId="12" borderId="25" xfId="5" applyNumberFormat="1" applyFont="1" applyFill="1" applyBorder="1" applyAlignment="1" applyProtection="1">
      <alignment horizontal="right"/>
    </xf>
    <xf numFmtId="3" fontId="71" fillId="8" borderId="25" xfId="5" quotePrefix="1" applyNumberFormat="1" applyFont="1" applyFill="1" applyBorder="1" applyAlignment="1" applyProtection="1">
      <alignment horizontal="right"/>
    </xf>
    <xf numFmtId="3" fontId="3" fillId="8" borderId="5" xfId="0" applyNumberFormat="1" applyFont="1" applyFill="1" applyBorder="1" applyAlignment="1" applyProtection="1">
      <alignment horizontal="right"/>
    </xf>
    <xf numFmtId="0" fontId="38" fillId="2" borderId="0" xfId="0" applyFont="1" applyFill="1" applyAlignment="1" applyProtection="1">
      <alignment horizontal="right"/>
    </xf>
    <xf numFmtId="0" fontId="37" fillId="0" borderId="0" xfId="5" applyFont="1" applyProtection="1"/>
    <xf numFmtId="3" fontId="37" fillId="0" borderId="0" xfId="5" quotePrefix="1" applyNumberFormat="1" applyFont="1" applyFill="1" applyBorder="1" applyAlignment="1" applyProtection="1">
      <alignment horizontal="left"/>
    </xf>
    <xf numFmtId="3" fontId="3" fillId="9" borderId="78" xfId="5" applyNumberFormat="1" applyFont="1" applyFill="1" applyBorder="1" applyProtection="1"/>
    <xf numFmtId="3" fontId="3" fillId="9" borderId="79" xfId="5" applyNumberFormat="1" applyFont="1" applyFill="1" applyBorder="1" applyProtection="1"/>
    <xf numFmtId="3" fontId="3" fillId="3" borderId="13" xfId="0" applyNumberFormat="1" applyFont="1" applyFill="1" applyBorder="1" applyProtection="1"/>
    <xf numFmtId="3" fontId="3" fillId="3" borderId="26" xfId="0" applyNumberFormat="1" applyFont="1" applyFill="1" applyBorder="1" applyProtection="1"/>
    <xf numFmtId="3" fontId="3" fillId="3" borderId="53" xfId="0" applyNumberFormat="1" applyFont="1" applyFill="1" applyBorder="1" applyProtection="1"/>
    <xf numFmtId="3" fontId="3" fillId="3" borderId="55" xfId="0" applyNumberFormat="1" applyFont="1" applyFill="1" applyBorder="1" applyProtection="1"/>
    <xf numFmtId="3" fontId="3" fillId="3" borderId="68" xfId="0" applyNumberFormat="1" applyFont="1" applyFill="1" applyBorder="1" applyProtection="1"/>
    <xf numFmtId="3" fontId="3" fillId="3" borderId="25" xfId="0" applyNumberFormat="1" applyFont="1" applyFill="1" applyBorder="1" applyProtection="1"/>
    <xf numFmtId="3" fontId="3" fillId="3" borderId="19" xfId="0" applyNumberFormat="1" applyFont="1" applyFill="1" applyBorder="1" applyProtection="1"/>
    <xf numFmtId="3" fontId="3" fillId="3" borderId="62" xfId="0" applyNumberFormat="1" applyFont="1" applyFill="1" applyBorder="1" applyProtection="1"/>
    <xf numFmtId="3" fontId="3" fillId="3" borderId="80" xfId="0" applyNumberFormat="1" applyFont="1" applyFill="1" applyBorder="1" applyProtection="1"/>
    <xf numFmtId="3" fontId="3" fillId="3" borderId="5" xfId="0" applyNumberFormat="1" applyFont="1" applyFill="1" applyBorder="1" applyProtection="1"/>
    <xf numFmtId="3" fontId="3" fillId="3" borderId="81" xfId="0" applyNumberFormat="1" applyFont="1" applyFill="1" applyBorder="1" applyProtection="1"/>
    <xf numFmtId="3" fontId="3" fillId="3" borderId="82" xfId="0" applyNumberFormat="1" applyFont="1" applyFill="1" applyBorder="1" applyProtection="1"/>
    <xf numFmtId="3" fontId="3" fillId="3" borderId="77" xfId="0" applyNumberFormat="1" applyFont="1" applyFill="1" applyBorder="1" applyProtection="1"/>
    <xf numFmtId="3" fontId="11" fillId="13" borderId="51" xfId="0" applyNumberFormat="1" applyFont="1" applyFill="1" applyBorder="1" applyAlignment="1" applyProtection="1">
      <alignment horizontal="right"/>
      <protection locked="0"/>
    </xf>
    <xf numFmtId="3" fontId="14" fillId="3" borderId="58" xfId="0" applyNumberFormat="1" applyFont="1" applyFill="1" applyBorder="1" applyProtection="1"/>
    <xf numFmtId="3" fontId="14" fillId="3" borderId="83" xfId="0" applyNumberFormat="1" applyFont="1" applyFill="1" applyBorder="1" applyProtection="1"/>
    <xf numFmtId="3" fontId="14" fillId="3" borderId="84" xfId="0" applyNumberFormat="1" applyFont="1" applyFill="1" applyBorder="1" applyProtection="1"/>
    <xf numFmtId="3" fontId="14" fillId="3" borderId="81" xfId="0" applyNumberFormat="1" applyFont="1" applyFill="1" applyBorder="1" applyProtection="1"/>
    <xf numFmtId="3" fontId="14" fillId="3" borderId="26" xfId="0" applyNumberFormat="1" applyFont="1" applyFill="1" applyBorder="1" applyProtection="1"/>
    <xf numFmtId="3" fontId="14" fillId="3" borderId="20" xfId="0" applyNumberFormat="1" applyFont="1" applyFill="1" applyBorder="1" applyProtection="1"/>
    <xf numFmtId="3" fontId="14" fillId="3" borderId="18" xfId="0" applyNumberFormat="1" applyFont="1" applyFill="1" applyBorder="1" applyProtection="1"/>
    <xf numFmtId="3" fontId="14" fillId="3" borderId="19" xfId="0" applyNumberFormat="1" applyFont="1" applyFill="1" applyBorder="1" applyProtection="1"/>
    <xf numFmtId="3" fontId="14" fillId="3" borderId="5" xfId="0" applyNumberFormat="1" applyFont="1" applyFill="1" applyBorder="1" applyAlignment="1" applyProtection="1">
      <alignment horizontal="right"/>
    </xf>
    <xf numFmtId="3" fontId="3" fillId="14" borderId="7" xfId="0" applyNumberFormat="1" applyFont="1" applyFill="1" applyBorder="1" applyAlignment="1" applyProtection="1">
      <alignment horizontal="right"/>
    </xf>
    <xf numFmtId="3" fontId="3" fillId="3" borderId="41" xfId="0" applyNumberFormat="1" applyFont="1" applyFill="1" applyBorder="1" applyAlignment="1" applyProtection="1">
      <alignment horizontal="right"/>
    </xf>
    <xf numFmtId="3" fontId="3" fillId="3" borderId="13" xfId="0" applyNumberFormat="1" applyFont="1" applyFill="1" applyBorder="1" applyAlignment="1" applyProtection="1">
      <alignment horizontal="right"/>
    </xf>
    <xf numFmtId="3" fontId="14" fillId="3" borderId="18" xfId="0" applyNumberFormat="1" applyFont="1" applyFill="1" applyBorder="1" applyAlignment="1" applyProtection="1">
      <alignment horizontal="right"/>
    </xf>
    <xf numFmtId="3" fontId="14" fillId="3" borderId="3" xfId="0" applyNumberFormat="1" applyFont="1" applyFill="1" applyBorder="1" applyAlignment="1" applyProtection="1">
      <alignment horizontal="right"/>
    </xf>
    <xf numFmtId="3" fontId="14" fillId="3" borderId="22" xfId="0" applyNumberFormat="1" applyFont="1" applyFill="1" applyBorder="1" applyAlignment="1" applyProtection="1">
      <alignment horizontal="right"/>
    </xf>
    <xf numFmtId="3" fontId="14" fillId="3" borderId="7" xfId="0" applyNumberFormat="1" applyFont="1" applyFill="1" applyBorder="1" applyAlignment="1" applyProtection="1">
      <alignment horizontal="right"/>
    </xf>
    <xf numFmtId="3" fontId="14" fillId="3" borderId="87" xfId="0" applyNumberFormat="1" applyFont="1" applyFill="1" applyBorder="1" applyAlignment="1" applyProtection="1">
      <alignment horizontal="right"/>
    </xf>
    <xf numFmtId="3" fontId="14" fillId="3" borderId="88" xfId="0" applyNumberFormat="1" applyFont="1" applyFill="1" applyBorder="1" applyAlignment="1" applyProtection="1">
      <alignment horizontal="right"/>
    </xf>
    <xf numFmtId="3" fontId="14" fillId="3" borderId="89" xfId="0" applyNumberFormat="1" applyFont="1" applyFill="1" applyBorder="1" applyAlignment="1" applyProtection="1">
      <alignment horizontal="right"/>
    </xf>
    <xf numFmtId="3" fontId="14" fillId="3" borderId="25" xfId="0" applyNumberFormat="1" applyFont="1" applyFill="1" applyBorder="1" applyAlignment="1" applyProtection="1">
      <alignment horizontal="right"/>
    </xf>
    <xf numFmtId="3" fontId="14" fillId="3" borderId="71" xfId="0" applyNumberFormat="1" applyFont="1" applyFill="1" applyBorder="1" applyAlignment="1" applyProtection="1">
      <alignment horizontal="right"/>
    </xf>
    <xf numFmtId="3" fontId="14" fillId="3" borderId="26" xfId="0" applyNumberFormat="1" applyFont="1" applyFill="1" applyBorder="1" applyAlignment="1" applyProtection="1">
      <alignment horizontal="right"/>
    </xf>
    <xf numFmtId="3" fontId="14" fillId="3" borderId="24" xfId="0" applyNumberFormat="1" applyFont="1" applyFill="1" applyBorder="1" applyAlignment="1" applyProtection="1">
      <alignment horizontal="right"/>
    </xf>
    <xf numFmtId="3" fontId="14" fillId="3" borderId="64" xfId="0" applyNumberFormat="1" applyFont="1" applyFill="1" applyBorder="1" applyAlignment="1" applyProtection="1">
      <alignment horizontal="right"/>
    </xf>
    <xf numFmtId="3" fontId="14" fillId="3" borderId="24" xfId="0" applyNumberFormat="1" applyFont="1" applyFill="1" applyBorder="1" applyAlignment="1" applyProtection="1"/>
    <xf numFmtId="3" fontId="14" fillId="3" borderId="25" xfId="0" applyNumberFormat="1" applyFont="1" applyFill="1" applyBorder="1" applyAlignment="1" applyProtection="1"/>
    <xf numFmtId="3" fontId="14" fillId="3" borderId="71" xfId="0" applyNumberFormat="1" applyFont="1" applyFill="1" applyBorder="1" applyAlignment="1" applyProtection="1"/>
    <xf numFmtId="3" fontId="14" fillId="3" borderId="26" xfId="0" applyNumberFormat="1" applyFont="1" applyFill="1" applyBorder="1" applyAlignment="1" applyProtection="1"/>
    <xf numFmtId="3" fontId="14" fillId="3" borderId="90" xfId="0" applyNumberFormat="1" applyFont="1" applyFill="1" applyBorder="1" applyAlignment="1" applyProtection="1">
      <alignment horizontal="right"/>
    </xf>
    <xf numFmtId="3" fontId="14" fillId="10" borderId="91" xfId="0" applyNumberFormat="1" applyFont="1" applyFill="1" applyBorder="1" applyAlignment="1" applyProtection="1">
      <alignment horizontal="right"/>
    </xf>
    <xf numFmtId="3" fontId="14" fillId="10" borderId="92" xfId="0" applyNumberFormat="1" applyFont="1" applyFill="1" applyBorder="1" applyAlignment="1" applyProtection="1">
      <alignment horizontal="right"/>
    </xf>
    <xf numFmtId="3" fontId="14" fillId="10" borderId="82" xfId="0" applyNumberFormat="1" applyFont="1" applyFill="1" applyBorder="1" applyAlignment="1" applyProtection="1">
      <alignment horizontal="right"/>
    </xf>
    <xf numFmtId="3" fontId="14" fillId="10" borderId="93" xfId="0" applyNumberFormat="1" applyFont="1" applyFill="1" applyBorder="1" applyAlignment="1" applyProtection="1">
      <alignment horizontal="right"/>
    </xf>
    <xf numFmtId="3" fontId="14" fillId="3" borderId="52" xfId="0" applyNumberFormat="1" applyFont="1" applyFill="1" applyBorder="1" applyAlignment="1" applyProtection="1">
      <alignment horizontal="right"/>
    </xf>
    <xf numFmtId="3" fontId="14" fillId="3" borderId="94" xfId="0" applyNumberFormat="1" applyFont="1" applyFill="1" applyBorder="1" applyAlignment="1" applyProtection="1">
      <alignment horizontal="right"/>
    </xf>
    <xf numFmtId="3" fontId="14" fillId="3" borderId="80" xfId="0" applyNumberFormat="1" applyFont="1" applyFill="1" applyBorder="1" applyAlignment="1" applyProtection="1">
      <alignment horizontal="right"/>
    </xf>
    <xf numFmtId="3" fontId="14" fillId="3" borderId="95" xfId="0" applyNumberFormat="1" applyFont="1" applyFill="1" applyBorder="1" applyAlignment="1" applyProtection="1">
      <alignment horizontal="right"/>
    </xf>
    <xf numFmtId="3" fontId="14" fillId="3" borderId="96" xfId="0" applyNumberFormat="1" applyFont="1" applyFill="1" applyBorder="1" applyAlignment="1" applyProtection="1">
      <alignment horizontal="right"/>
    </xf>
    <xf numFmtId="3" fontId="14" fillId="3" borderId="97" xfId="0" applyNumberFormat="1" applyFont="1" applyFill="1" applyBorder="1" applyAlignment="1" applyProtection="1">
      <alignment horizontal="right"/>
    </xf>
    <xf numFmtId="3" fontId="14" fillId="3" borderId="84" xfId="0" applyNumberFormat="1" applyFont="1" applyFill="1" applyBorder="1" applyAlignment="1" applyProtection="1">
      <alignment horizontal="right"/>
    </xf>
    <xf numFmtId="3" fontId="3" fillId="3" borderId="98" xfId="0" applyNumberFormat="1" applyFont="1" applyFill="1" applyBorder="1" applyProtection="1"/>
    <xf numFmtId="3" fontId="3" fillId="3" borderId="31" xfId="0" applyNumberFormat="1" applyFont="1" applyFill="1" applyBorder="1" applyProtection="1"/>
    <xf numFmtId="3" fontId="3" fillId="3" borderId="99" xfId="0" applyNumberFormat="1" applyFont="1" applyFill="1" applyBorder="1" applyProtection="1"/>
    <xf numFmtId="3" fontId="14" fillId="3" borderId="31" xfId="0" applyNumberFormat="1" applyFont="1" applyFill="1" applyBorder="1" applyProtection="1"/>
    <xf numFmtId="3" fontId="14" fillId="3" borderId="32" xfId="0" applyNumberFormat="1" applyFont="1" applyFill="1" applyBorder="1" applyProtection="1"/>
    <xf numFmtId="3" fontId="14" fillId="3" borderId="77" xfId="0" applyNumberFormat="1" applyFont="1" applyFill="1" applyBorder="1" applyProtection="1"/>
    <xf numFmtId="3" fontId="3" fillId="3" borderId="100" xfId="0" applyNumberFormat="1" applyFont="1" applyFill="1" applyBorder="1" applyProtection="1"/>
    <xf numFmtId="3" fontId="14" fillId="3" borderId="99" xfId="0" applyNumberFormat="1" applyFont="1" applyFill="1" applyBorder="1" applyAlignment="1" applyProtection="1">
      <alignment horizontal="right"/>
    </xf>
    <xf numFmtId="3" fontId="14" fillId="3" borderId="33" xfId="0" applyNumberFormat="1" applyFont="1" applyFill="1" applyBorder="1" applyAlignment="1" applyProtection="1">
      <alignment horizontal="right"/>
    </xf>
    <xf numFmtId="3" fontId="14" fillId="3" borderId="44" xfId="0" applyNumberFormat="1" applyFont="1" applyFill="1" applyBorder="1" applyAlignment="1" applyProtection="1">
      <alignment horizontal="right"/>
    </xf>
    <xf numFmtId="3" fontId="14" fillId="3" borderId="33" xfId="0" applyNumberFormat="1" applyFont="1" applyFill="1" applyBorder="1" applyAlignment="1" applyProtection="1"/>
    <xf numFmtId="3" fontId="14" fillId="3" borderId="44" xfId="0" applyNumberFormat="1" applyFont="1" applyFill="1" applyBorder="1" applyAlignment="1" applyProtection="1"/>
    <xf numFmtId="3" fontId="14" fillId="3" borderId="101" xfId="0" applyNumberFormat="1" applyFont="1" applyFill="1" applyBorder="1" applyAlignment="1" applyProtection="1">
      <alignment horizontal="right"/>
    </xf>
    <xf numFmtId="3" fontId="38" fillId="3" borderId="74" xfId="0" applyNumberFormat="1" applyFont="1" applyFill="1" applyBorder="1" applyAlignment="1" applyProtection="1">
      <alignment horizontal="right"/>
    </xf>
    <xf numFmtId="3" fontId="38" fillId="3" borderId="103" xfId="0" applyNumberFormat="1" applyFont="1" applyFill="1" applyBorder="1" applyAlignment="1" applyProtection="1">
      <alignment horizontal="right"/>
    </xf>
    <xf numFmtId="3" fontId="38" fillId="3" borderId="25" xfId="0" applyNumberFormat="1" applyFont="1" applyFill="1" applyBorder="1" applyAlignment="1" applyProtection="1">
      <alignment horizontal="right"/>
    </xf>
    <xf numFmtId="3" fontId="38" fillId="3" borderId="26" xfId="0" applyNumberFormat="1" applyFont="1" applyFill="1" applyBorder="1" applyAlignment="1" applyProtection="1">
      <alignment horizontal="right"/>
    </xf>
    <xf numFmtId="0" fontId="2" fillId="7" borderId="0" xfId="0" applyFont="1" applyFill="1" applyProtection="1"/>
    <xf numFmtId="3" fontId="2" fillId="2" borderId="0" xfId="0" applyNumberFormat="1" applyFont="1" applyFill="1" applyProtection="1"/>
    <xf numFmtId="3" fontId="2" fillId="0" borderId="0" xfId="0" applyNumberFormat="1" applyFont="1" applyProtection="1"/>
    <xf numFmtId="3" fontId="2" fillId="0" borderId="0" xfId="0" applyNumberFormat="1" applyFont="1" applyFill="1" applyBorder="1" applyProtection="1"/>
    <xf numFmtId="0" fontId="0" fillId="10" borderId="0" xfId="0" applyFill="1" applyBorder="1"/>
    <xf numFmtId="0" fontId="0" fillId="0" borderId="0" xfId="0" applyBorder="1"/>
    <xf numFmtId="0" fontId="0" fillId="0" borderId="66" xfId="0" applyBorder="1"/>
    <xf numFmtId="49" fontId="3" fillId="10" borderId="11" xfId="0" applyNumberFormat="1" applyFont="1" applyFill="1" applyBorder="1" applyAlignment="1" applyProtection="1"/>
    <xf numFmtId="49" fontId="3" fillId="10" borderId="73" xfId="0" applyNumberFormat="1" applyFont="1" applyFill="1" applyBorder="1" applyAlignment="1" applyProtection="1"/>
    <xf numFmtId="49" fontId="3" fillId="10" borderId="38" xfId="0" applyNumberFormat="1" applyFont="1" applyFill="1" applyBorder="1" applyAlignment="1" applyProtection="1"/>
    <xf numFmtId="49" fontId="3" fillId="10" borderId="75" xfId="0" applyNumberFormat="1" applyFont="1" applyFill="1" applyBorder="1" applyAlignment="1" applyProtection="1"/>
    <xf numFmtId="49" fontId="3" fillId="10" borderId="36" xfId="0" applyNumberFormat="1" applyFont="1" applyFill="1" applyBorder="1" applyAlignment="1" applyProtection="1"/>
    <xf numFmtId="0" fontId="18" fillId="0" borderId="0" xfId="0" applyFont="1" applyFill="1" applyBorder="1" applyAlignment="1" applyProtection="1">
      <alignment horizontal="center"/>
    </xf>
    <xf numFmtId="0" fontId="93" fillId="0" borderId="0" xfId="5" applyFont="1" applyProtection="1"/>
    <xf numFmtId="3" fontId="3" fillId="9" borderId="109" xfId="5" applyNumberFormat="1" applyFont="1" applyFill="1" applyBorder="1" applyProtection="1"/>
    <xf numFmtId="3" fontId="3" fillId="9" borderId="7" xfId="5" applyNumberFormat="1" applyFont="1" applyFill="1" applyBorder="1" applyProtection="1"/>
    <xf numFmtId="3" fontId="3" fillId="9" borderId="102" xfId="5" applyNumberFormat="1" applyFont="1" applyFill="1" applyBorder="1" applyProtection="1"/>
    <xf numFmtId="3" fontId="3" fillId="9" borderId="87" xfId="5" applyNumberFormat="1" applyFont="1" applyFill="1" applyBorder="1" applyProtection="1"/>
    <xf numFmtId="0" fontId="94" fillId="0" borderId="0" xfId="5" applyFont="1" applyProtection="1"/>
    <xf numFmtId="3" fontId="3" fillId="3" borderId="18" xfId="0" applyNumberFormat="1" applyFont="1" applyFill="1" applyBorder="1" applyAlignment="1" applyProtection="1">
      <alignment horizontal="right"/>
    </xf>
    <xf numFmtId="3" fontId="3" fillId="9" borderId="22" xfId="0" applyNumberFormat="1" applyFont="1" applyFill="1" applyBorder="1" applyAlignment="1" applyProtection="1">
      <alignment horizontal="right"/>
    </xf>
    <xf numFmtId="3" fontId="3" fillId="2" borderId="21" xfId="0" applyNumberFormat="1" applyFont="1" applyFill="1" applyBorder="1" applyAlignment="1" applyProtection="1">
      <alignment horizontal="right"/>
      <protection locked="0"/>
    </xf>
    <xf numFmtId="3" fontId="3" fillId="2" borderId="22" xfId="0" applyNumberFormat="1" applyFont="1" applyFill="1" applyBorder="1" applyAlignment="1" applyProtection="1">
      <alignment horizontal="right"/>
      <protection locked="0"/>
    </xf>
    <xf numFmtId="3" fontId="3" fillId="15" borderId="18" xfId="0" applyNumberFormat="1" applyFont="1" applyFill="1" applyBorder="1" applyAlignment="1" applyProtection="1">
      <alignment horizontal="right"/>
      <protection locked="0"/>
    </xf>
    <xf numFmtId="3" fontId="14" fillId="3" borderId="104" xfId="0" applyNumberFormat="1" applyFont="1" applyFill="1" applyBorder="1" applyAlignment="1" applyProtection="1">
      <alignment horizontal="right"/>
    </xf>
    <xf numFmtId="3" fontId="14" fillId="10" borderId="30" xfId="0" applyNumberFormat="1" applyFont="1" applyFill="1" applyBorder="1" applyAlignment="1" applyProtection="1">
      <alignment horizontal="right"/>
    </xf>
    <xf numFmtId="3" fontId="14" fillId="10" borderId="31" xfId="0" applyNumberFormat="1" applyFont="1" applyFill="1" applyBorder="1" applyAlignment="1" applyProtection="1">
      <alignment horizontal="right"/>
    </xf>
    <xf numFmtId="3" fontId="14" fillId="10" borderId="23" xfId="0" applyNumberFormat="1" applyFont="1" applyFill="1" applyBorder="1" applyAlignment="1" applyProtection="1">
      <alignment horizontal="right"/>
    </xf>
    <xf numFmtId="3" fontId="14" fillId="10" borderId="9" xfId="0" applyNumberFormat="1" applyFont="1" applyFill="1" applyBorder="1" applyAlignment="1" applyProtection="1">
      <alignment horizontal="right"/>
    </xf>
    <xf numFmtId="3" fontId="14" fillId="10" borderId="20" xfId="0" applyNumberFormat="1" applyFont="1" applyFill="1" applyBorder="1" applyAlignment="1" applyProtection="1">
      <alignment horizontal="right"/>
    </xf>
    <xf numFmtId="3" fontId="14" fillId="10" borderId="10" xfId="0" applyNumberFormat="1" applyFont="1" applyFill="1" applyBorder="1" applyAlignment="1" applyProtection="1">
      <alignment horizontal="right"/>
    </xf>
    <xf numFmtId="3" fontId="14" fillId="10" borderId="14" xfId="0" applyNumberFormat="1" applyFont="1" applyFill="1" applyBorder="1" applyAlignment="1" applyProtection="1">
      <alignment horizontal="right"/>
    </xf>
    <xf numFmtId="3" fontId="14" fillId="2" borderId="54" xfId="0" applyNumberFormat="1" applyFont="1" applyFill="1" applyBorder="1" applyAlignment="1" applyProtection="1">
      <alignment horizontal="right"/>
      <protection locked="0"/>
    </xf>
    <xf numFmtId="3" fontId="14" fillId="2" borderId="53" xfId="0" applyNumberFormat="1" applyFont="1" applyFill="1" applyBorder="1" applyAlignment="1" applyProtection="1">
      <alignment horizontal="right"/>
      <protection locked="0"/>
    </xf>
    <xf numFmtId="3" fontId="14" fillId="2" borderId="64" xfId="0" applyNumberFormat="1" applyFont="1" applyFill="1" applyBorder="1" applyAlignment="1" applyProtection="1">
      <alignment horizontal="right"/>
      <protection locked="0"/>
    </xf>
    <xf numFmtId="3" fontId="14" fillId="10" borderId="97" xfId="0" applyNumberFormat="1" applyFont="1" applyFill="1" applyBorder="1" applyAlignment="1" applyProtection="1">
      <alignment horizontal="right"/>
    </xf>
    <xf numFmtId="3" fontId="14" fillId="10" borderId="112" xfId="0" applyNumberFormat="1" applyFont="1" applyFill="1" applyBorder="1" applyAlignment="1" applyProtection="1">
      <alignment horizontal="right"/>
    </xf>
    <xf numFmtId="3" fontId="14" fillId="10" borderId="113" xfId="0" applyNumberFormat="1" applyFont="1" applyFill="1" applyBorder="1" applyAlignment="1" applyProtection="1">
      <alignment horizontal="right"/>
    </xf>
    <xf numFmtId="3" fontId="14" fillId="10" borderId="84" xfId="0" applyNumberFormat="1" applyFont="1" applyFill="1" applyBorder="1" applyAlignment="1" applyProtection="1">
      <alignment horizontal="right"/>
    </xf>
    <xf numFmtId="3" fontId="14" fillId="10" borderId="4" xfId="0" applyNumberFormat="1" applyFont="1" applyFill="1" applyBorder="1" applyAlignment="1" applyProtection="1">
      <alignment horizontal="right"/>
    </xf>
    <xf numFmtId="3" fontId="14" fillId="10" borderId="3" xfId="0" applyNumberFormat="1" applyFont="1" applyFill="1" applyBorder="1" applyAlignment="1" applyProtection="1">
      <alignment horizontal="right"/>
    </xf>
    <xf numFmtId="3" fontId="14" fillId="10" borderId="2" xfId="0" applyNumberFormat="1" applyFont="1" applyFill="1" applyBorder="1" applyAlignment="1" applyProtection="1">
      <alignment horizontal="right"/>
    </xf>
    <xf numFmtId="3" fontId="14" fillId="10" borderId="18" xfId="0" applyNumberFormat="1" applyFont="1" applyFill="1" applyBorder="1" applyAlignment="1" applyProtection="1">
      <alignment horizontal="right"/>
    </xf>
    <xf numFmtId="3" fontId="14" fillId="10" borderId="94" xfId="0" applyNumberFormat="1" applyFont="1" applyFill="1" applyBorder="1" applyAlignment="1" applyProtection="1">
      <alignment horizontal="right"/>
    </xf>
    <xf numFmtId="3" fontId="14" fillId="10" borderId="21" xfId="0" applyNumberFormat="1" applyFont="1" applyFill="1" applyBorder="1" applyAlignment="1" applyProtection="1">
      <alignment horizontal="right"/>
    </xf>
    <xf numFmtId="3" fontId="14" fillId="10" borderId="46" xfId="0" applyNumberFormat="1" applyFont="1" applyFill="1" applyBorder="1" applyAlignment="1" applyProtection="1">
      <alignment horizontal="right"/>
    </xf>
    <xf numFmtId="3" fontId="14" fillId="10" borderId="114" xfId="0" applyNumberFormat="1" applyFont="1" applyFill="1" applyBorder="1" applyAlignment="1" applyProtection="1">
      <alignment horizontal="right"/>
    </xf>
    <xf numFmtId="3" fontId="14" fillId="10" borderId="28" xfId="0" applyNumberFormat="1" applyFont="1" applyFill="1" applyBorder="1" applyAlignment="1" applyProtection="1">
      <alignment horizontal="right"/>
    </xf>
    <xf numFmtId="3" fontId="14" fillId="10" borderId="99" xfId="0" applyNumberFormat="1" applyFont="1" applyFill="1" applyBorder="1" applyAlignment="1" applyProtection="1">
      <alignment horizontal="right"/>
    </xf>
    <xf numFmtId="3" fontId="14" fillId="10" borderId="29" xfId="0" applyNumberFormat="1" applyFont="1" applyFill="1" applyBorder="1" applyAlignment="1" applyProtection="1">
      <alignment horizontal="right"/>
    </xf>
    <xf numFmtId="3" fontId="14" fillId="10" borderId="32" xfId="0" applyNumberFormat="1" applyFont="1" applyFill="1" applyBorder="1" applyAlignment="1" applyProtection="1">
      <alignment horizontal="right"/>
    </xf>
    <xf numFmtId="3" fontId="14" fillId="10" borderId="22" xfId="0" applyNumberFormat="1" applyFont="1" applyFill="1" applyBorder="1" applyAlignment="1" applyProtection="1">
      <alignment horizontal="right"/>
    </xf>
    <xf numFmtId="3" fontId="14" fillId="10" borderId="5" xfId="0" applyNumberFormat="1" applyFont="1" applyFill="1" applyBorder="1" applyAlignment="1" applyProtection="1">
      <alignment horizontal="right"/>
    </xf>
    <xf numFmtId="3" fontId="14" fillId="10" borderId="19" xfId="0" applyNumberFormat="1" applyFont="1" applyFill="1" applyBorder="1" applyAlignment="1" applyProtection="1">
      <alignment horizontal="right"/>
    </xf>
    <xf numFmtId="3" fontId="14" fillId="10" borderId="6" xfId="0" applyNumberFormat="1" applyFont="1" applyFill="1" applyBorder="1" applyAlignment="1" applyProtection="1">
      <alignment horizontal="right"/>
    </xf>
    <xf numFmtId="3" fontId="14" fillId="10" borderId="7" xfId="0" applyNumberFormat="1" applyFont="1" applyFill="1" applyBorder="1" applyAlignment="1" applyProtection="1">
      <alignment horizontal="right"/>
    </xf>
    <xf numFmtId="0" fontId="26" fillId="10" borderId="92" xfId="0" applyFont="1" applyFill="1" applyBorder="1" applyProtection="1"/>
    <xf numFmtId="0" fontId="26" fillId="10" borderId="115" xfId="0" applyFont="1" applyFill="1" applyBorder="1" applyProtection="1"/>
    <xf numFmtId="0" fontId="26" fillId="10" borderId="116" xfId="0" applyFont="1" applyFill="1" applyBorder="1" applyProtection="1"/>
    <xf numFmtId="0" fontId="26" fillId="10" borderId="64" xfId="0" applyFont="1" applyFill="1" applyBorder="1" applyProtection="1"/>
    <xf numFmtId="0" fontId="26" fillId="10" borderId="79" xfId="0" applyFont="1" applyFill="1" applyBorder="1" applyProtection="1"/>
    <xf numFmtId="0" fontId="26" fillId="10" borderId="52" xfId="0" applyFont="1" applyFill="1" applyBorder="1" applyProtection="1"/>
    <xf numFmtId="0" fontId="26" fillId="10" borderId="94" xfId="0" applyFont="1" applyFill="1" applyBorder="1" applyProtection="1"/>
    <xf numFmtId="0" fontId="26" fillId="10" borderId="113" xfId="0" applyFont="1" applyFill="1" applyBorder="1" applyProtection="1"/>
    <xf numFmtId="0" fontId="26" fillId="10" borderId="21" xfId="0" applyFont="1" applyFill="1" applyBorder="1" applyProtection="1"/>
    <xf numFmtId="0" fontId="26" fillId="10" borderId="2" xfId="0" applyFont="1" applyFill="1" applyBorder="1" applyProtection="1"/>
    <xf numFmtId="0" fontId="26" fillId="10" borderId="46" xfId="0" applyFont="1" applyFill="1" applyBorder="1" applyProtection="1"/>
    <xf numFmtId="0" fontId="26" fillId="10" borderId="114" xfId="0" applyFont="1" applyFill="1" applyBorder="1" applyProtection="1"/>
    <xf numFmtId="0" fontId="26" fillId="10" borderId="28" xfId="0" applyFont="1" applyFill="1" applyBorder="1" applyProtection="1"/>
    <xf numFmtId="0" fontId="26" fillId="10" borderId="99" xfId="0" applyFont="1" applyFill="1" applyBorder="1" applyProtection="1"/>
    <xf numFmtId="3" fontId="14" fillId="10" borderId="105" xfId="0" applyNumberFormat="1" applyFont="1" applyFill="1" applyBorder="1" applyAlignment="1" applyProtection="1">
      <alignment horizontal="right"/>
    </xf>
    <xf numFmtId="3" fontId="14" fillId="2" borderId="79" xfId="0" applyNumberFormat="1" applyFont="1" applyFill="1" applyBorder="1" applyAlignment="1" applyProtection="1">
      <alignment horizontal="right"/>
      <protection locked="0"/>
    </xf>
    <xf numFmtId="0" fontId="26" fillId="10" borderId="7" xfId="0" applyFont="1" applyFill="1" applyBorder="1" applyProtection="1"/>
    <xf numFmtId="0" fontId="26" fillId="10" borderId="6" xfId="0" applyFont="1" applyFill="1" applyBorder="1" applyProtection="1"/>
    <xf numFmtId="0" fontId="26" fillId="10" borderId="5" xfId="0" applyFont="1" applyFill="1" applyBorder="1" applyProtection="1"/>
    <xf numFmtId="3" fontId="14" fillId="16" borderId="5" xfId="0" applyNumberFormat="1" applyFont="1" applyFill="1" applyBorder="1" applyAlignment="1" applyProtection="1">
      <alignment horizontal="right"/>
    </xf>
    <xf numFmtId="3" fontId="14" fillId="16" borderId="6" xfId="0" applyNumberFormat="1" applyFont="1" applyFill="1" applyBorder="1" applyAlignment="1" applyProtection="1">
      <alignment horizontal="right"/>
    </xf>
    <xf numFmtId="0" fontId="26" fillId="10" borderId="19" xfId="0" applyFont="1" applyFill="1" applyBorder="1" applyProtection="1"/>
    <xf numFmtId="0" fontId="26" fillId="10" borderId="22" xfId="0" applyFont="1" applyFill="1" applyBorder="1" applyProtection="1"/>
    <xf numFmtId="0" fontId="26" fillId="10" borderId="29" xfId="0" applyFont="1" applyFill="1" applyBorder="1" applyProtection="1"/>
    <xf numFmtId="0" fontId="26" fillId="10" borderId="32" xfId="0" applyFont="1" applyFill="1" applyBorder="1" applyProtection="1"/>
    <xf numFmtId="3" fontId="14" fillId="2" borderId="117" xfId="0" applyNumberFormat="1" applyFont="1" applyFill="1" applyBorder="1" applyAlignment="1" applyProtection="1">
      <alignment horizontal="right"/>
    </xf>
    <xf numFmtId="3" fontId="14" fillId="10" borderId="14" xfId="0" applyNumberFormat="1" applyFont="1" applyFill="1" applyBorder="1" applyAlignment="1" applyProtection="1">
      <alignment horizontal="left"/>
    </xf>
    <xf numFmtId="3" fontId="14" fillId="10" borderId="10" xfId="0" applyNumberFormat="1" applyFont="1" applyFill="1" applyBorder="1" applyAlignment="1" applyProtection="1">
      <alignment horizontal="left"/>
    </xf>
    <xf numFmtId="3" fontId="14" fillId="10" borderId="9" xfId="0" applyNumberFormat="1" applyFont="1" applyFill="1" applyBorder="1" applyAlignment="1" applyProtection="1">
      <alignment horizontal="left"/>
    </xf>
    <xf numFmtId="3" fontId="14" fillId="10" borderId="20" xfId="0" applyNumberFormat="1" applyFont="1" applyFill="1" applyBorder="1" applyAlignment="1" applyProtection="1">
      <alignment horizontal="left"/>
    </xf>
    <xf numFmtId="3" fontId="14" fillId="10" borderId="23" xfId="0" applyNumberFormat="1" applyFont="1" applyFill="1" applyBorder="1" applyAlignment="1" applyProtection="1">
      <alignment horizontal="left"/>
    </xf>
    <xf numFmtId="3" fontId="14" fillId="17" borderId="20" xfId="0" applyNumberFormat="1" applyFont="1" applyFill="1" applyBorder="1" applyAlignment="1" applyProtection="1">
      <alignment horizontal="left"/>
    </xf>
    <xf numFmtId="3" fontId="14" fillId="10" borderId="30" xfId="0" applyNumberFormat="1" applyFont="1" applyFill="1" applyBorder="1" applyAlignment="1" applyProtection="1">
      <alignment horizontal="left"/>
    </xf>
    <xf numFmtId="3" fontId="14" fillId="10" borderId="31" xfId="0" applyNumberFormat="1" applyFont="1" applyFill="1" applyBorder="1" applyAlignment="1" applyProtection="1">
      <alignment horizontal="left"/>
    </xf>
    <xf numFmtId="49" fontId="95" fillId="7" borderId="0" xfId="0" applyNumberFormat="1" applyFont="1" applyFill="1" applyProtection="1"/>
    <xf numFmtId="0" fontId="95" fillId="7" borderId="0" xfId="0" applyFont="1" applyFill="1" applyProtection="1"/>
    <xf numFmtId="49" fontId="97" fillId="7" borderId="0" xfId="0" applyNumberFormat="1" applyFont="1" applyFill="1" applyProtection="1"/>
    <xf numFmtId="0" fontId="97" fillId="7" borderId="0" xfId="0" applyFont="1" applyFill="1" applyProtection="1"/>
    <xf numFmtId="0" fontId="0" fillId="7" borderId="0" xfId="0" applyFill="1" applyAlignment="1" applyProtection="1">
      <alignment horizontal="right"/>
    </xf>
    <xf numFmtId="0" fontId="98" fillId="7" borderId="0" xfId="0" applyFont="1" applyFill="1" applyProtection="1"/>
    <xf numFmtId="49" fontId="97" fillId="7" borderId="0" xfId="0" applyNumberFormat="1" applyFont="1" applyFill="1" applyAlignment="1" applyProtection="1">
      <alignment horizontal="right"/>
    </xf>
    <xf numFmtId="49" fontId="96" fillId="7" borderId="0" xfId="0" applyNumberFormat="1" applyFont="1" applyFill="1" applyAlignment="1" applyProtection="1">
      <alignment horizontal="right"/>
    </xf>
    <xf numFmtId="0" fontId="96" fillId="7" borderId="0" xfId="0" applyFont="1" applyFill="1" applyAlignment="1" applyProtection="1">
      <alignment horizontal="left"/>
    </xf>
    <xf numFmtId="49" fontId="97" fillId="7" borderId="0" xfId="5" applyNumberFormat="1" applyFont="1" applyFill="1" applyBorder="1" applyAlignment="1" applyProtection="1">
      <alignment horizontal="left"/>
    </xf>
    <xf numFmtId="0" fontId="97" fillId="7" borderId="0" xfId="5" applyFont="1" applyFill="1" applyProtection="1"/>
    <xf numFmtId="49" fontId="97" fillId="7" borderId="0" xfId="0" applyNumberFormat="1" applyFont="1" applyFill="1" applyAlignment="1" applyProtection="1"/>
    <xf numFmtId="0" fontId="97" fillId="7" borderId="0" xfId="0" applyFont="1" applyFill="1" applyAlignment="1" applyProtection="1"/>
    <xf numFmtId="3" fontId="3" fillId="0" borderId="18" xfId="0" applyNumberFormat="1" applyFont="1" applyFill="1" applyBorder="1" applyAlignment="1" applyProtection="1">
      <alignment horizontal="right"/>
      <protection locked="0"/>
    </xf>
    <xf numFmtId="3" fontId="51" fillId="0" borderId="38" xfId="0" applyNumberFormat="1" applyFont="1" applyFill="1" applyBorder="1" applyProtection="1"/>
    <xf numFmtId="3" fontId="8" fillId="0" borderId="38" xfId="0" applyNumberFormat="1" applyFont="1" applyFill="1" applyBorder="1" applyProtection="1"/>
    <xf numFmtId="3" fontId="37" fillId="0" borderId="38" xfId="0" applyNumberFormat="1" applyFont="1" applyFill="1" applyBorder="1" applyAlignment="1" applyProtection="1">
      <alignment horizontal="right"/>
    </xf>
    <xf numFmtId="0" fontId="8" fillId="0" borderId="38" xfId="0" applyFont="1" applyFill="1" applyBorder="1" applyProtection="1"/>
    <xf numFmtId="3" fontId="14" fillId="3" borderId="8" xfId="0" applyNumberFormat="1" applyFont="1" applyFill="1" applyBorder="1" applyAlignment="1" applyProtection="1">
      <alignment horizontal="right"/>
    </xf>
    <xf numFmtId="3" fontId="37" fillId="2" borderId="38" xfId="0" applyNumberFormat="1" applyFont="1" applyFill="1" applyBorder="1" applyAlignment="1" applyProtection="1">
      <alignment horizontal="left"/>
    </xf>
    <xf numFmtId="3" fontId="103" fillId="2" borderId="0" xfId="0" applyNumberFormat="1" applyFont="1" applyFill="1" applyBorder="1" applyAlignment="1" applyProtection="1">
      <alignment horizontal="right"/>
    </xf>
    <xf numFmtId="3" fontId="103" fillId="5" borderId="0" xfId="0" applyNumberFormat="1" applyFont="1" applyFill="1" applyBorder="1" applyAlignment="1" applyProtection="1">
      <alignment horizontal="right"/>
    </xf>
    <xf numFmtId="3" fontId="103" fillId="4" borderId="0" xfId="0" applyNumberFormat="1" applyFont="1" applyFill="1" applyBorder="1" applyAlignment="1" applyProtection="1">
      <alignment horizontal="right"/>
    </xf>
    <xf numFmtId="3" fontId="103" fillId="6" borderId="0" xfId="0" applyNumberFormat="1" applyFont="1" applyFill="1" applyBorder="1" applyAlignment="1" applyProtection="1">
      <alignment horizontal="right"/>
    </xf>
    <xf numFmtId="0" fontId="104" fillId="0" borderId="0" xfId="0" applyFont="1" applyFill="1" applyBorder="1" applyProtection="1"/>
    <xf numFmtId="49" fontId="4" fillId="21" borderId="122" xfId="0" applyNumberFormat="1" applyFont="1" applyFill="1" applyBorder="1" applyAlignment="1" applyProtection="1">
      <alignment horizontal="center"/>
    </xf>
    <xf numFmtId="0" fontId="6" fillId="21" borderId="13" xfId="0" applyFont="1" applyFill="1" applyBorder="1" applyProtection="1"/>
    <xf numFmtId="49" fontId="4" fillId="21" borderId="5" xfId="0" applyNumberFormat="1" applyFont="1" applyFill="1" applyBorder="1" applyAlignment="1" applyProtection="1">
      <alignment horizontal="center" wrapText="1"/>
    </xf>
    <xf numFmtId="49" fontId="4" fillId="21" borderId="80" xfId="0" applyNumberFormat="1" applyFont="1" applyFill="1" applyBorder="1" applyAlignment="1" applyProtection="1">
      <alignment horizontal="center" wrapText="1"/>
    </xf>
    <xf numFmtId="49" fontId="4" fillId="21" borderId="2" xfId="0" applyNumberFormat="1" applyFont="1" applyFill="1" applyBorder="1" applyAlignment="1" applyProtection="1">
      <alignment horizontal="center" wrapText="1"/>
    </xf>
    <xf numFmtId="0" fontId="9" fillId="21" borderId="5" xfId="0" applyFont="1" applyFill="1" applyBorder="1" applyAlignment="1" applyProtection="1">
      <alignment horizontal="center"/>
    </xf>
    <xf numFmtId="0" fontId="4" fillId="21" borderId="67" xfId="0" applyFont="1" applyFill="1" applyBorder="1" applyAlignment="1" applyProtection="1">
      <alignment horizontal="center"/>
    </xf>
    <xf numFmtId="3" fontId="4" fillId="21" borderId="123" xfId="0" applyNumberFormat="1" applyFont="1" applyFill="1" applyBorder="1" applyAlignment="1" applyProtection="1"/>
    <xf numFmtId="0" fontId="4" fillId="21" borderId="23" xfId="0" applyFont="1" applyFill="1" applyBorder="1" applyAlignment="1" applyProtection="1">
      <alignment horizontal="center"/>
    </xf>
    <xf numFmtId="0" fontId="4" fillId="21" borderId="9" xfId="0" applyFont="1" applyFill="1" applyBorder="1" applyAlignment="1" applyProtection="1">
      <alignment horizontal="center"/>
    </xf>
    <xf numFmtId="0" fontId="4" fillId="21" borderId="124" xfId="0" applyFont="1" applyFill="1" applyBorder="1" applyAlignment="1" applyProtection="1">
      <alignment horizontal="center"/>
    </xf>
    <xf numFmtId="0" fontId="9" fillId="21" borderId="13" xfId="0" applyFont="1" applyFill="1" applyBorder="1" applyAlignment="1" applyProtection="1">
      <alignment horizontal="center"/>
    </xf>
    <xf numFmtId="0" fontId="4" fillId="21" borderId="22" xfId="0" applyFont="1" applyFill="1" applyBorder="1" applyAlignment="1" applyProtection="1">
      <alignment horizontal="center"/>
    </xf>
    <xf numFmtId="0" fontId="9" fillId="21" borderId="5" xfId="0" applyFont="1" applyFill="1" applyBorder="1" applyAlignment="1" applyProtection="1">
      <alignment wrapText="1"/>
    </xf>
    <xf numFmtId="0" fontId="4" fillId="21" borderId="21" xfId="0" applyFont="1" applyFill="1" applyBorder="1" applyAlignment="1" applyProtection="1">
      <alignment horizontal="center"/>
    </xf>
    <xf numFmtId="0" fontId="4" fillId="21" borderId="2" xfId="0" applyFont="1" applyFill="1" applyBorder="1" applyProtection="1"/>
    <xf numFmtId="0" fontId="4" fillId="21" borderId="125" xfId="0" applyFont="1" applyFill="1" applyBorder="1" applyAlignment="1" applyProtection="1">
      <alignment horizontal="center"/>
    </xf>
    <xf numFmtId="1" fontId="4" fillId="21" borderId="15" xfId="0" applyNumberFormat="1" applyFont="1" applyFill="1" applyBorder="1" applyAlignment="1" applyProtection="1">
      <alignment horizontal="center"/>
    </xf>
    <xf numFmtId="0" fontId="4" fillId="21" borderId="15" xfId="0" applyFont="1" applyFill="1" applyBorder="1" applyProtection="1"/>
    <xf numFmtId="1" fontId="4" fillId="21" borderId="5" xfId="0" applyNumberFormat="1" applyFont="1" applyFill="1" applyBorder="1" applyAlignment="1" applyProtection="1">
      <alignment horizontal="center"/>
    </xf>
    <xf numFmtId="0" fontId="4" fillId="21" borderId="5" xfId="0" applyFont="1" applyFill="1" applyBorder="1" applyProtection="1"/>
    <xf numFmtId="0" fontId="4" fillId="21" borderId="49" xfId="0" applyFont="1" applyFill="1" applyBorder="1" applyAlignment="1" applyProtection="1">
      <alignment horizontal="center"/>
    </xf>
    <xf numFmtId="1" fontId="4" fillId="21" borderId="2" xfId="0" applyNumberFormat="1" applyFont="1" applyFill="1" applyBorder="1" applyAlignment="1" applyProtection="1">
      <alignment horizontal="center"/>
    </xf>
    <xf numFmtId="0" fontId="4" fillId="21" borderId="24" xfId="0" applyFont="1" applyFill="1" applyBorder="1" applyAlignment="1" applyProtection="1">
      <alignment horizontal="center"/>
    </xf>
    <xf numFmtId="1" fontId="6" fillId="21" borderId="13" xfId="0" applyNumberFormat="1" applyFont="1" applyFill="1" applyBorder="1" applyAlignment="1" applyProtection="1">
      <alignment horizontal="center"/>
    </xf>
    <xf numFmtId="0" fontId="9" fillId="21" borderId="126" xfId="0" applyFont="1" applyFill="1" applyBorder="1" applyAlignment="1" applyProtection="1">
      <alignment horizontal="center"/>
    </xf>
    <xf numFmtId="1" fontId="9" fillId="21" borderId="2" xfId="0" applyNumberFormat="1" applyFont="1" applyFill="1" applyBorder="1" applyAlignment="1" applyProtection="1">
      <alignment horizontal="center"/>
    </xf>
    <xf numFmtId="0" fontId="9" fillId="21" borderId="2" xfId="0" applyFont="1" applyFill="1" applyBorder="1" applyProtection="1"/>
    <xf numFmtId="1" fontId="17" fillId="21" borderId="13" xfId="0" applyNumberFormat="1" applyFont="1" applyFill="1" applyBorder="1" applyAlignment="1" applyProtection="1">
      <alignment horizontal="center"/>
    </xf>
    <xf numFmtId="0" fontId="17" fillId="21" borderId="13" xfId="0" applyFont="1" applyFill="1" applyBorder="1" applyProtection="1"/>
    <xf numFmtId="0" fontId="4" fillId="21" borderId="50" xfId="0" applyFont="1" applyFill="1" applyBorder="1" applyAlignment="1" applyProtection="1">
      <alignment horizontal="center"/>
    </xf>
    <xf numFmtId="1" fontId="6" fillId="21" borderId="25" xfId="0" applyNumberFormat="1" applyFont="1" applyFill="1" applyBorder="1" applyAlignment="1" applyProtection="1">
      <alignment horizontal="center"/>
    </xf>
    <xf numFmtId="0" fontId="6" fillId="21" borderId="25" xfId="0" applyFont="1" applyFill="1" applyBorder="1" applyProtection="1"/>
    <xf numFmtId="0" fontId="4" fillId="21" borderId="126" xfId="0" applyFont="1" applyFill="1" applyBorder="1" applyAlignment="1" applyProtection="1">
      <alignment horizontal="center"/>
    </xf>
    <xf numFmtId="0" fontId="4" fillId="21" borderId="25" xfId="0" applyFont="1" applyFill="1" applyBorder="1" applyAlignment="1" applyProtection="1">
      <alignment horizontal="center"/>
    </xf>
    <xf numFmtId="0" fontId="4" fillId="21" borderId="25" xfId="0" applyFont="1" applyFill="1" applyBorder="1" applyProtection="1"/>
    <xf numFmtId="0" fontId="6" fillId="21" borderId="2" xfId="0" applyFont="1" applyFill="1" applyBorder="1" applyProtection="1"/>
    <xf numFmtId="49" fontId="4" fillId="21" borderId="124" xfId="0" applyNumberFormat="1" applyFont="1" applyFill="1" applyBorder="1" applyAlignment="1" applyProtection="1">
      <alignment horizontal="center"/>
    </xf>
    <xf numFmtId="0" fontId="4" fillId="21" borderId="102" xfId="0" applyFont="1" applyFill="1" applyBorder="1" applyAlignment="1" applyProtection="1">
      <alignment horizontal="center"/>
    </xf>
    <xf numFmtId="1" fontId="4" fillId="21" borderId="41" xfId="0" applyNumberFormat="1" applyFont="1" applyFill="1" applyBorder="1" applyAlignment="1" applyProtection="1">
      <alignment horizontal="left"/>
    </xf>
    <xf numFmtId="0" fontId="4" fillId="21" borderId="127" xfId="0" applyFont="1" applyFill="1" applyBorder="1" applyAlignment="1" applyProtection="1">
      <alignment horizontal="center"/>
    </xf>
    <xf numFmtId="49" fontId="4" fillId="21" borderId="129" xfId="0" applyNumberFormat="1" applyFont="1" applyFill="1" applyBorder="1" applyAlignment="1" applyProtection="1">
      <alignment horizontal="center"/>
    </xf>
    <xf numFmtId="0" fontId="66" fillId="21" borderId="78" xfId="0" applyFont="1" applyFill="1" applyBorder="1" applyAlignment="1" applyProtection="1">
      <alignment horizontal="center"/>
    </xf>
    <xf numFmtId="49" fontId="4" fillId="21" borderId="21" xfId="0" applyNumberFormat="1" applyFont="1" applyFill="1" applyBorder="1" applyAlignment="1" applyProtection="1">
      <alignment horizontal="center"/>
    </xf>
    <xf numFmtId="49" fontId="19" fillId="21" borderId="8" xfId="0" applyNumberFormat="1" applyFont="1" applyFill="1" applyBorder="1" applyAlignment="1" applyProtection="1">
      <alignment horizontal="left"/>
    </xf>
    <xf numFmtId="49" fontId="4" fillId="21" borderId="22" xfId="0" applyNumberFormat="1" applyFont="1" applyFill="1" applyBorder="1" applyAlignment="1" applyProtection="1">
      <alignment horizontal="center"/>
    </xf>
    <xf numFmtId="49" fontId="4" fillId="21" borderId="125" xfId="0" applyNumberFormat="1" applyFont="1" applyFill="1" applyBorder="1" applyAlignment="1" applyProtection="1">
      <alignment horizontal="center"/>
    </xf>
    <xf numFmtId="49" fontId="4" fillId="21" borderId="24" xfId="0" applyNumberFormat="1" applyFont="1" applyFill="1" applyBorder="1" applyAlignment="1" applyProtection="1">
      <alignment horizontal="center"/>
    </xf>
    <xf numFmtId="49" fontId="66" fillId="21" borderId="65" xfId="0" applyNumberFormat="1" applyFont="1" applyFill="1" applyBorder="1" applyAlignment="1" applyProtection="1">
      <alignment horizontal="center"/>
    </xf>
    <xf numFmtId="49" fontId="9" fillId="21" borderId="130" xfId="0" applyNumberFormat="1" applyFont="1" applyFill="1" applyBorder="1" applyAlignment="1" applyProtection="1">
      <alignment horizontal="center"/>
    </xf>
    <xf numFmtId="0" fontId="17" fillId="21" borderId="131" xfId="0" applyFont="1" applyFill="1" applyBorder="1" applyAlignment="1" applyProtection="1">
      <alignment wrapText="1"/>
    </xf>
    <xf numFmtId="0" fontId="4" fillId="21" borderId="2" xfId="0" applyFont="1" applyFill="1" applyBorder="1" applyAlignment="1" applyProtection="1">
      <alignment wrapText="1"/>
    </xf>
    <xf numFmtId="49" fontId="4" fillId="21" borderId="126" xfId="0" applyNumberFormat="1" applyFont="1" applyFill="1" applyBorder="1" applyAlignment="1" applyProtection="1">
      <alignment horizontal="center"/>
    </xf>
    <xf numFmtId="0" fontId="6" fillId="21" borderId="41" xfId="0" applyFont="1" applyFill="1" applyBorder="1" applyProtection="1"/>
    <xf numFmtId="49" fontId="9" fillId="21" borderId="120" xfId="0" applyNumberFormat="1" applyFont="1" applyFill="1" applyBorder="1" applyAlignment="1" applyProtection="1">
      <alignment horizontal="center"/>
    </xf>
    <xf numFmtId="0" fontId="17" fillId="21" borderId="41" xfId="0" applyFont="1" applyFill="1" applyBorder="1" applyProtection="1"/>
    <xf numFmtId="0" fontId="6" fillId="21" borderId="2" xfId="0" applyFont="1" applyFill="1" applyBorder="1" applyAlignment="1" applyProtection="1">
      <alignment wrapText="1"/>
    </xf>
    <xf numFmtId="49" fontId="9" fillId="21" borderId="22" xfId="0" applyNumberFormat="1" applyFont="1" applyFill="1" applyBorder="1" applyAlignment="1" applyProtection="1">
      <alignment horizontal="center"/>
    </xf>
    <xf numFmtId="0" fontId="4" fillId="21" borderId="5" xfId="0" applyFont="1" applyFill="1" applyBorder="1" applyAlignment="1" applyProtection="1">
      <alignment wrapText="1"/>
    </xf>
    <xf numFmtId="0" fontId="6" fillId="21" borderId="115" xfId="0" applyFont="1" applyFill="1" applyBorder="1" applyAlignment="1" applyProtection="1">
      <alignment horizontal="right"/>
    </xf>
    <xf numFmtId="0" fontId="4" fillId="21" borderId="94" xfId="0" applyFont="1" applyFill="1" applyBorder="1" applyAlignment="1" applyProtection="1">
      <alignment horizontal="left"/>
    </xf>
    <xf numFmtId="0" fontId="6" fillId="21" borderId="113" xfId="0" applyFont="1" applyFill="1" applyBorder="1" applyAlignment="1" applyProtection="1">
      <alignment horizontal="right"/>
    </xf>
    <xf numFmtId="0" fontId="4" fillId="21" borderId="122" xfId="0" applyFont="1" applyFill="1" applyBorder="1" applyAlignment="1" applyProtection="1">
      <alignment horizontal="left"/>
    </xf>
    <xf numFmtId="0" fontId="6" fillId="21" borderId="15" xfId="0" applyFont="1" applyFill="1" applyBorder="1" applyAlignment="1" applyProtection="1">
      <alignment horizontal="right"/>
    </xf>
    <xf numFmtId="0" fontId="6" fillId="21" borderId="2" xfId="0" applyFont="1" applyFill="1" applyBorder="1" applyAlignment="1" applyProtection="1">
      <alignment horizontal="left"/>
    </xf>
    <xf numFmtId="0" fontId="4" fillId="21" borderId="2" xfId="0" applyFont="1" applyFill="1" applyBorder="1" applyAlignment="1" applyProtection="1">
      <alignment horizontal="left"/>
    </xf>
    <xf numFmtId="0" fontId="6" fillId="21" borderId="13" xfId="0" applyFont="1" applyFill="1" applyBorder="1" applyAlignment="1" applyProtection="1">
      <alignment horizontal="left"/>
    </xf>
    <xf numFmtId="49" fontId="4" fillId="21" borderId="23" xfId="0" applyNumberFormat="1" applyFont="1" applyFill="1" applyBorder="1" applyAlignment="1" applyProtection="1">
      <alignment horizontal="center"/>
    </xf>
    <xf numFmtId="0" fontId="4" fillId="21" borderId="9" xfId="0" applyFont="1" applyFill="1" applyBorder="1" applyAlignment="1" applyProtection="1">
      <alignment horizontal="left"/>
    </xf>
    <xf numFmtId="0" fontId="4" fillId="21" borderId="5" xfId="0" applyFont="1" applyFill="1" applyBorder="1" applyAlignment="1" applyProtection="1">
      <alignment horizontal="left"/>
    </xf>
    <xf numFmtId="0" fontId="6" fillId="21" borderId="15" xfId="0" applyFont="1" applyFill="1" applyBorder="1" applyAlignment="1" applyProtection="1">
      <alignment horizontal="left"/>
    </xf>
    <xf numFmtId="0" fontId="6" fillId="21" borderId="113" xfId="0" applyFont="1" applyFill="1" applyBorder="1" applyAlignment="1" applyProtection="1">
      <alignment horizontal="left"/>
    </xf>
    <xf numFmtId="0" fontId="6" fillId="21" borderId="116" xfId="0" applyFont="1" applyFill="1" applyBorder="1" applyAlignment="1" applyProtection="1">
      <alignment horizontal="left"/>
    </xf>
    <xf numFmtId="0" fontId="4" fillId="21" borderId="15" xfId="0" applyFont="1" applyFill="1" applyBorder="1" applyAlignment="1" applyProtection="1">
      <alignment horizontal="left"/>
    </xf>
    <xf numFmtId="0" fontId="4" fillId="21" borderId="56" xfId="0" applyFont="1" applyFill="1" applyBorder="1" applyAlignment="1" applyProtection="1">
      <alignment horizontal="left"/>
    </xf>
    <xf numFmtId="0" fontId="6" fillId="21" borderId="56" xfId="0" applyFont="1" applyFill="1" applyBorder="1" applyAlignment="1" applyProtection="1">
      <alignment horizontal="right"/>
    </xf>
    <xf numFmtId="0" fontId="4" fillId="21" borderId="53" xfId="0" applyFont="1" applyFill="1" applyBorder="1" applyAlignment="1" applyProtection="1">
      <alignment horizontal="left"/>
    </xf>
    <xf numFmtId="0" fontId="6" fillId="21" borderId="122" xfId="0" applyFont="1" applyFill="1" applyBorder="1" applyAlignment="1" applyProtection="1">
      <alignment horizontal="left" vertical="top"/>
    </xf>
    <xf numFmtId="0" fontId="6" fillId="21" borderId="56" xfId="0" applyFont="1" applyFill="1" applyBorder="1" applyAlignment="1" applyProtection="1">
      <alignment horizontal="left" vertical="top"/>
    </xf>
    <xf numFmtId="0" fontId="6" fillId="21" borderId="21" xfId="0" applyFont="1" applyFill="1" applyBorder="1" applyAlignment="1" applyProtection="1">
      <alignment horizontal="right"/>
    </xf>
    <xf numFmtId="0" fontId="6" fillId="21" borderId="52" xfId="0" applyFont="1" applyFill="1" applyBorder="1" applyAlignment="1" applyProtection="1">
      <alignment horizontal="right"/>
    </xf>
    <xf numFmtId="3" fontId="46" fillId="22" borderId="22" xfId="0" applyNumberFormat="1" applyFont="1" applyFill="1" applyBorder="1" applyProtection="1"/>
    <xf numFmtId="3" fontId="46" fillId="22" borderId="19" xfId="0" applyNumberFormat="1" applyFont="1" applyFill="1" applyBorder="1" applyProtection="1"/>
    <xf numFmtId="3" fontId="46" fillId="22" borderId="22" xfId="0" applyNumberFormat="1" applyFont="1" applyFill="1" applyBorder="1" applyAlignment="1" applyProtection="1">
      <alignment horizontal="right"/>
    </xf>
    <xf numFmtId="3" fontId="46" fillId="22" borderId="24" xfId="0" applyNumberFormat="1" applyFont="1" applyFill="1" applyBorder="1" applyProtection="1"/>
    <xf numFmtId="3" fontId="46" fillId="22" borderId="23" xfId="0" applyNumberFormat="1" applyFont="1" applyFill="1" applyBorder="1" applyProtection="1"/>
    <xf numFmtId="3" fontId="46" fillId="22" borderId="40" xfId="0" applyNumberFormat="1" applyFont="1" applyFill="1" applyBorder="1" applyProtection="1"/>
    <xf numFmtId="3" fontId="46" fillId="22" borderId="52" xfId="0" applyNumberFormat="1" applyFont="1" applyFill="1" applyBorder="1" applyProtection="1"/>
    <xf numFmtId="3" fontId="46" fillId="22" borderId="51" xfId="0" applyNumberFormat="1" applyFont="1" applyFill="1" applyBorder="1" applyProtection="1"/>
    <xf numFmtId="3" fontId="46" fillId="23" borderId="22" xfId="0" applyNumberFormat="1" applyFont="1" applyFill="1" applyBorder="1" applyProtection="1"/>
    <xf numFmtId="3" fontId="46" fillId="23" borderId="51" xfId="0" applyNumberFormat="1" applyFont="1" applyFill="1" applyBorder="1" applyProtection="1"/>
    <xf numFmtId="3" fontId="46" fillId="22" borderId="77" xfId="0" applyNumberFormat="1" applyFont="1" applyFill="1" applyBorder="1" applyProtection="1"/>
    <xf numFmtId="0" fontId="6" fillId="21" borderId="132" xfId="0" applyFont="1" applyFill="1" applyBorder="1" applyAlignment="1" applyProtection="1">
      <alignment horizontal="center" vertical="center" wrapText="1"/>
    </xf>
    <xf numFmtId="3" fontId="46" fillId="22" borderId="133" xfId="0" applyNumberFormat="1" applyFont="1" applyFill="1" applyBorder="1" applyProtection="1"/>
    <xf numFmtId="3" fontId="46" fillId="23" borderId="134" xfId="0" applyNumberFormat="1" applyFont="1" applyFill="1" applyBorder="1" applyProtection="1"/>
    <xf numFmtId="3" fontId="46" fillId="23" borderId="135" xfId="0" applyNumberFormat="1" applyFont="1" applyFill="1" applyBorder="1" applyProtection="1"/>
    <xf numFmtId="3" fontId="46" fillId="23" borderId="117" xfId="0" applyNumberFormat="1" applyFont="1" applyFill="1" applyBorder="1" applyProtection="1"/>
    <xf numFmtId="3" fontId="46" fillId="22" borderId="136" xfId="0" applyNumberFormat="1" applyFont="1" applyFill="1" applyBorder="1" applyProtection="1"/>
    <xf numFmtId="0" fontId="6" fillId="21" borderId="36" xfId="0" applyFont="1" applyFill="1" applyBorder="1" applyProtection="1"/>
    <xf numFmtId="167" fontId="5" fillId="21" borderId="116" xfId="0" applyNumberFormat="1" applyFont="1" applyFill="1" applyBorder="1" applyProtection="1"/>
    <xf numFmtId="3" fontId="46" fillId="22" borderId="19" xfId="0" applyNumberFormat="1" applyFont="1" applyFill="1" applyBorder="1" applyAlignment="1" applyProtection="1">
      <alignment horizontal="right"/>
    </xf>
    <xf numFmtId="0" fontId="4" fillId="21" borderId="126" xfId="0" applyFont="1" applyFill="1" applyBorder="1" applyProtection="1"/>
    <xf numFmtId="167" fontId="7" fillId="21" borderId="52" xfId="0" applyNumberFormat="1" applyFont="1" applyFill="1" applyBorder="1" applyProtection="1"/>
    <xf numFmtId="0" fontId="4" fillId="21" borderId="49" xfId="0" applyFont="1" applyFill="1" applyBorder="1" applyProtection="1"/>
    <xf numFmtId="167" fontId="7" fillId="21" borderId="51" xfId="0" applyNumberFormat="1" applyFont="1" applyFill="1" applyBorder="1" applyProtection="1"/>
    <xf numFmtId="3" fontId="46" fillId="23" borderId="68" xfId="0" applyNumberFormat="1" applyFont="1" applyFill="1" applyBorder="1" applyProtection="1"/>
    <xf numFmtId="3" fontId="46" fillId="23" borderId="59" xfId="0" applyNumberFormat="1" applyFont="1" applyFill="1" applyBorder="1" applyProtection="1"/>
    <xf numFmtId="0" fontId="4" fillId="21" borderId="139" xfId="0" applyFont="1" applyFill="1" applyBorder="1" applyProtection="1"/>
    <xf numFmtId="3" fontId="46" fillId="22" borderId="24" xfId="0" applyNumberFormat="1" applyFont="1" applyFill="1" applyBorder="1" applyAlignment="1" applyProtection="1">
      <alignment horizontal="right"/>
    </xf>
    <xf numFmtId="3" fontId="46" fillId="23" borderId="81" xfId="0" applyNumberFormat="1" applyFont="1" applyFill="1" applyBorder="1" applyProtection="1"/>
    <xf numFmtId="49" fontId="4" fillId="21" borderId="36" xfId="0" applyNumberFormat="1" applyFont="1" applyFill="1" applyBorder="1" applyAlignment="1" applyProtection="1">
      <alignment horizontal="left"/>
    </xf>
    <xf numFmtId="0" fontId="6" fillId="21" borderId="113" xfId="0" applyFont="1" applyFill="1" applyBorder="1" applyAlignment="1" applyProtection="1"/>
    <xf numFmtId="49" fontId="4" fillId="21" borderId="57" xfId="0" applyNumberFormat="1" applyFont="1" applyFill="1" applyBorder="1" applyAlignment="1" applyProtection="1">
      <alignment horizontal="left"/>
    </xf>
    <xf numFmtId="0" fontId="28" fillId="21" borderId="15" xfId="0" applyFont="1" applyFill="1" applyBorder="1" applyProtection="1"/>
    <xf numFmtId="49" fontId="4" fillId="21" borderId="137" xfId="0" applyNumberFormat="1" applyFont="1" applyFill="1" applyBorder="1" applyAlignment="1" applyProtection="1">
      <alignment horizontal="left"/>
    </xf>
    <xf numFmtId="0" fontId="28" fillId="21" borderId="41" xfId="0" applyFont="1" applyFill="1" applyBorder="1" applyProtection="1"/>
    <xf numFmtId="49" fontId="4" fillId="21" borderId="122" xfId="0" applyNumberFormat="1" applyFont="1" applyFill="1" applyBorder="1" applyProtection="1"/>
    <xf numFmtId="166" fontId="4" fillId="21" borderId="15" xfId="0" applyNumberFormat="1" applyFont="1" applyFill="1" applyBorder="1" applyProtection="1"/>
    <xf numFmtId="0" fontId="27" fillId="21" borderId="140" xfId="0" applyFont="1" applyFill="1" applyBorder="1" applyProtection="1"/>
    <xf numFmtId="0" fontId="27" fillId="21" borderId="15" xfId="0" applyFont="1" applyFill="1" applyBorder="1" applyProtection="1"/>
    <xf numFmtId="0" fontId="6" fillId="21" borderId="2" xfId="0" applyNumberFormat="1" applyFont="1" applyFill="1" applyBorder="1" applyAlignment="1" applyProtection="1">
      <alignment horizontal="center"/>
    </xf>
    <xf numFmtId="0" fontId="17" fillId="21" borderId="2" xfId="0" applyFont="1" applyFill="1" applyBorder="1" applyProtection="1"/>
    <xf numFmtId="49" fontId="4" fillId="21" borderId="2" xfId="0" applyNumberFormat="1" applyFont="1" applyFill="1" applyBorder="1" applyAlignment="1" applyProtection="1">
      <alignment horizontal="center"/>
    </xf>
    <xf numFmtId="0" fontId="4" fillId="21" borderId="5" xfId="0" applyFont="1" applyFill="1" applyBorder="1" applyAlignment="1" applyProtection="1">
      <alignment horizontal="center"/>
    </xf>
    <xf numFmtId="49" fontId="9" fillId="21" borderId="2" xfId="0" applyNumberFormat="1" applyFont="1" applyFill="1" applyBorder="1" applyAlignment="1" applyProtection="1">
      <alignment horizontal="center"/>
    </xf>
    <xf numFmtId="0" fontId="27" fillId="21" borderId="113" xfId="0" applyFont="1" applyFill="1" applyBorder="1" applyProtection="1"/>
    <xf numFmtId="49" fontId="6" fillId="21" borderId="13" xfId="0" applyNumberFormat="1" applyFont="1" applyFill="1" applyBorder="1" applyAlignment="1" applyProtection="1">
      <alignment horizontal="center"/>
    </xf>
    <xf numFmtId="49" fontId="6" fillId="21" borderId="80" xfId="0" applyNumberFormat="1" applyFont="1" applyFill="1" applyBorder="1" applyAlignment="1" applyProtection="1">
      <alignment horizontal="center"/>
    </xf>
    <xf numFmtId="0" fontId="17" fillId="21" borderId="80" xfId="0" applyFont="1" applyFill="1" applyBorder="1" applyProtection="1"/>
    <xf numFmtId="3" fontId="6" fillId="21" borderId="91" xfId="0" applyNumberFormat="1" applyFont="1" applyFill="1" applyBorder="1" applyProtection="1"/>
    <xf numFmtId="3" fontId="6" fillId="21" borderId="84" xfId="0" applyNumberFormat="1" applyFont="1" applyFill="1" applyBorder="1" applyProtection="1"/>
    <xf numFmtId="167" fontId="29" fillId="21" borderId="55" xfId="0" applyNumberFormat="1" applyFont="1" applyFill="1" applyBorder="1" applyAlignment="1" applyProtection="1">
      <alignment horizontal="center"/>
    </xf>
    <xf numFmtId="167" fontId="29" fillId="21" borderId="59" xfId="0" applyNumberFormat="1" applyFont="1" applyFill="1" applyBorder="1" applyAlignment="1" applyProtection="1">
      <alignment horizontal="center"/>
    </xf>
    <xf numFmtId="167" fontId="30" fillId="21" borderId="142" xfId="0" applyNumberFormat="1" applyFont="1" applyFill="1" applyBorder="1" applyProtection="1"/>
    <xf numFmtId="167" fontId="30" fillId="21" borderId="86" xfId="0" applyNumberFormat="1" applyFont="1" applyFill="1" applyBorder="1" applyProtection="1"/>
    <xf numFmtId="167" fontId="7" fillId="21" borderId="143" xfId="0" applyNumberFormat="1" applyFont="1" applyFill="1" applyBorder="1" applyProtection="1"/>
    <xf numFmtId="167" fontId="7" fillId="21" borderId="144" xfId="0" applyNumberFormat="1" applyFont="1" applyFill="1" applyBorder="1" applyProtection="1"/>
    <xf numFmtId="167" fontId="7" fillId="21" borderId="53" xfId="0" applyNumberFormat="1" applyFont="1" applyFill="1" applyBorder="1" applyProtection="1"/>
    <xf numFmtId="167" fontId="7" fillId="21" borderId="18" xfId="0" applyNumberFormat="1" applyFont="1" applyFill="1" applyBorder="1" applyProtection="1"/>
    <xf numFmtId="0" fontId="8" fillId="21" borderId="19" xfId="0" applyFont="1" applyFill="1" applyBorder="1" applyProtection="1"/>
    <xf numFmtId="0" fontId="6" fillId="21" borderId="57" xfId="0" applyFont="1" applyFill="1" applyBorder="1" applyAlignment="1" applyProtection="1">
      <alignment horizontal="center"/>
    </xf>
    <xf numFmtId="0" fontId="6" fillId="21" borderId="56" xfId="0" applyFont="1" applyFill="1" applyBorder="1" applyAlignment="1" applyProtection="1"/>
    <xf numFmtId="0" fontId="6" fillId="21" borderId="137" xfId="0" applyFont="1" applyFill="1" applyBorder="1" applyAlignment="1" applyProtection="1">
      <alignment horizontal="right"/>
    </xf>
    <xf numFmtId="0" fontId="6" fillId="21" borderId="138" xfId="0" applyFont="1" applyFill="1" applyBorder="1" applyAlignment="1" applyProtection="1">
      <alignment horizontal="right"/>
    </xf>
    <xf numFmtId="3" fontId="3" fillId="23" borderId="57" xfId="0" applyNumberFormat="1" applyFont="1" applyFill="1" applyBorder="1" applyAlignment="1" applyProtection="1">
      <alignment horizontal="right"/>
    </xf>
    <xf numFmtId="3" fontId="3" fillId="23" borderId="56" xfId="0" applyNumberFormat="1" applyFont="1" applyFill="1" applyBorder="1" applyAlignment="1" applyProtection="1">
      <alignment horizontal="right"/>
    </xf>
    <xf numFmtId="3" fontId="3" fillId="23" borderId="57" xfId="0" applyNumberFormat="1" applyFont="1" applyFill="1" applyBorder="1" applyProtection="1"/>
    <xf numFmtId="3" fontId="3" fillId="23" borderId="56" xfId="0" applyNumberFormat="1" applyFont="1" applyFill="1" applyBorder="1" applyProtection="1"/>
    <xf numFmtId="3" fontId="3" fillId="22" borderId="57" xfId="0" applyNumberFormat="1" applyFont="1" applyFill="1" applyBorder="1" applyProtection="1"/>
    <xf numFmtId="3" fontId="3" fillId="22" borderId="56" xfId="0" applyNumberFormat="1" applyFont="1" applyFill="1" applyBorder="1" applyProtection="1"/>
    <xf numFmtId="3" fontId="46" fillId="23" borderId="57" xfId="0" applyNumberFormat="1" applyFont="1" applyFill="1" applyBorder="1" applyProtection="1"/>
    <xf numFmtId="3" fontId="46" fillId="23" borderId="56" xfId="0" applyNumberFormat="1" applyFont="1" applyFill="1" applyBorder="1" applyProtection="1"/>
    <xf numFmtId="3" fontId="46" fillId="22" borderId="57" xfId="0" applyNumberFormat="1" applyFont="1" applyFill="1" applyBorder="1" applyProtection="1"/>
    <xf numFmtId="3" fontId="46" fillId="22" borderId="56" xfId="0" applyNumberFormat="1" applyFont="1" applyFill="1" applyBorder="1" applyProtection="1"/>
    <xf numFmtId="0" fontId="99" fillId="21" borderId="57" xfId="0" applyFont="1" applyFill="1" applyBorder="1" applyProtection="1"/>
    <xf numFmtId="0" fontId="99" fillId="21" borderId="56" xfId="0" applyFont="1" applyFill="1" applyBorder="1" applyProtection="1"/>
    <xf numFmtId="49" fontId="9" fillId="21" borderId="127" xfId="0" applyNumberFormat="1" applyFont="1" applyFill="1" applyBorder="1" applyAlignment="1" applyProtection="1">
      <alignment horizontal="center"/>
    </xf>
    <xf numFmtId="49" fontId="9" fillId="21" borderId="128" xfId="0" applyNumberFormat="1" applyFont="1" applyFill="1" applyBorder="1" applyAlignment="1" applyProtection="1">
      <alignment horizontal="center"/>
    </xf>
    <xf numFmtId="49" fontId="9" fillId="21" borderId="128" xfId="0" applyNumberFormat="1" applyFont="1" applyFill="1" applyBorder="1" applyAlignment="1" applyProtection="1">
      <alignment horizontal="left"/>
    </xf>
    <xf numFmtId="49" fontId="9" fillId="21" borderId="34" xfId="0" applyNumberFormat="1" applyFont="1" applyFill="1" applyBorder="1" applyAlignment="1" applyProtection="1">
      <alignment horizontal="center"/>
    </xf>
    <xf numFmtId="49" fontId="9" fillId="21" borderId="35" xfId="0" applyNumberFormat="1" applyFont="1" applyFill="1" applyBorder="1" applyAlignment="1" applyProtection="1">
      <alignment horizontal="center"/>
    </xf>
    <xf numFmtId="49" fontId="9" fillId="21" borderId="35" xfId="0" applyNumberFormat="1" applyFont="1" applyFill="1" applyBorder="1" applyAlignment="1" applyProtection="1">
      <alignment horizontal="left"/>
    </xf>
    <xf numFmtId="49" fontId="9" fillId="21" borderId="7" xfId="0" applyNumberFormat="1" applyFont="1" applyFill="1" applyBorder="1" applyAlignment="1" applyProtection="1">
      <alignment horizontal="center"/>
    </xf>
    <xf numFmtId="49" fontId="9" fillId="21" borderId="5" xfId="0" applyNumberFormat="1" applyFont="1" applyFill="1" applyBorder="1" applyAlignment="1" applyProtection="1">
      <alignment horizontal="center"/>
    </xf>
    <xf numFmtId="49" fontId="9" fillId="21" borderId="145" xfId="0" applyNumberFormat="1" applyFont="1" applyFill="1" applyBorder="1" applyAlignment="1" applyProtection="1">
      <alignment horizontal="center"/>
    </xf>
    <xf numFmtId="49" fontId="9" fillId="21" borderId="41" xfId="0" applyNumberFormat="1" applyFont="1" applyFill="1" applyBorder="1" applyAlignment="1" applyProtection="1">
      <alignment horizontal="left"/>
    </xf>
    <xf numFmtId="167" fontId="7" fillId="21" borderId="9" xfId="0" applyNumberFormat="1" applyFont="1" applyFill="1" applyBorder="1" applyProtection="1"/>
    <xf numFmtId="3" fontId="10" fillId="24" borderId="20" xfId="0" applyNumberFormat="1" applyFont="1" applyFill="1" applyBorder="1" applyProtection="1"/>
    <xf numFmtId="3" fontId="3" fillId="21" borderId="18" xfId="0" applyNumberFormat="1" applyFont="1" applyFill="1" applyBorder="1" applyProtection="1"/>
    <xf numFmtId="49" fontId="4" fillId="21" borderId="5" xfId="0" applyNumberFormat="1" applyFont="1" applyFill="1" applyBorder="1" applyAlignment="1" applyProtection="1">
      <alignment horizontal="center"/>
    </xf>
    <xf numFmtId="167" fontId="4" fillId="21" borderId="2" xfId="0" applyNumberFormat="1" applyFont="1" applyFill="1" applyBorder="1" applyAlignment="1" applyProtection="1">
      <alignment horizontal="left"/>
    </xf>
    <xf numFmtId="49" fontId="6" fillId="21" borderId="25" xfId="0" applyNumberFormat="1" applyFont="1" applyFill="1" applyBorder="1" applyAlignment="1" applyProtection="1">
      <alignment horizontal="center"/>
    </xf>
    <xf numFmtId="0" fontId="4" fillId="21" borderId="2" xfId="0" applyFont="1" applyFill="1" applyBorder="1" applyAlignment="1" applyProtection="1">
      <alignment horizontal="center"/>
    </xf>
    <xf numFmtId="49" fontId="6" fillId="21" borderId="5" xfId="0" applyNumberFormat="1" applyFont="1" applyFill="1" applyBorder="1" applyAlignment="1" applyProtection="1">
      <alignment horizontal="center"/>
    </xf>
    <xf numFmtId="0" fontId="6" fillId="21" borderId="5" xfId="0" applyFont="1" applyFill="1" applyBorder="1" applyProtection="1"/>
    <xf numFmtId="3" fontId="9" fillId="21" borderId="141" xfId="0" applyNumberFormat="1" applyFont="1" applyFill="1" applyBorder="1" applyAlignment="1" applyProtection="1">
      <alignment horizontal="center"/>
    </xf>
    <xf numFmtId="3" fontId="6" fillId="21" borderId="146" xfId="0" applyNumberFormat="1" applyFont="1" applyFill="1" applyBorder="1" applyAlignment="1" applyProtection="1">
      <alignment horizontal="center"/>
    </xf>
    <xf numFmtId="3" fontId="6" fillId="21" borderId="146" xfId="0" applyNumberFormat="1" applyFont="1" applyFill="1" applyBorder="1" applyProtection="1"/>
    <xf numFmtId="3" fontId="3" fillId="22" borderId="18" xfId="0" applyNumberFormat="1" applyFont="1" applyFill="1" applyBorder="1" applyProtection="1"/>
    <xf numFmtId="3" fontId="3" fillId="22" borderId="59" xfId="0" applyNumberFormat="1" applyFont="1" applyFill="1" applyBorder="1" applyProtection="1"/>
    <xf numFmtId="3" fontId="3" fillId="22" borderId="19" xfId="0" applyNumberFormat="1" applyFont="1" applyFill="1" applyBorder="1" applyProtection="1"/>
    <xf numFmtId="3" fontId="6" fillId="21" borderId="137" xfId="0" applyNumberFormat="1" applyFont="1" applyFill="1" applyBorder="1" applyProtection="1"/>
    <xf numFmtId="3" fontId="6" fillId="21" borderId="138" xfId="0" applyNumberFormat="1" applyFont="1" applyFill="1" applyBorder="1" applyProtection="1"/>
    <xf numFmtId="3" fontId="3" fillId="21" borderId="57" xfId="0" applyNumberFormat="1" applyFont="1" applyFill="1" applyBorder="1" applyProtection="1"/>
    <xf numFmtId="3" fontId="3" fillId="21" borderId="56" xfId="0" applyNumberFormat="1" applyFont="1" applyFill="1" applyBorder="1" applyProtection="1"/>
    <xf numFmtId="3" fontId="46" fillId="22" borderId="49" xfId="0" applyNumberFormat="1" applyFont="1" applyFill="1" applyBorder="1" applyProtection="1"/>
    <xf numFmtId="3" fontId="46" fillId="21" borderId="57" xfId="0" applyNumberFormat="1" applyFont="1" applyFill="1" applyBorder="1" applyProtection="1"/>
    <xf numFmtId="3" fontId="46" fillId="21" borderId="56" xfId="0" applyNumberFormat="1" applyFont="1" applyFill="1" applyBorder="1" applyProtection="1"/>
    <xf numFmtId="3" fontId="46" fillId="21" borderId="59" xfId="0" applyNumberFormat="1" applyFont="1" applyFill="1" applyBorder="1" applyProtection="1"/>
    <xf numFmtId="3" fontId="46" fillId="21" borderId="126" xfId="0" applyNumberFormat="1" applyFont="1" applyFill="1" applyBorder="1" applyProtection="1"/>
    <xf numFmtId="3" fontId="46" fillId="22" borderId="50" xfId="0" applyNumberFormat="1" applyFont="1" applyFill="1" applyBorder="1" applyProtection="1"/>
    <xf numFmtId="3" fontId="46" fillId="22" borderId="26" xfId="0" applyNumberFormat="1" applyFont="1" applyFill="1" applyBorder="1" applyProtection="1"/>
    <xf numFmtId="3" fontId="3" fillId="22" borderId="84" xfId="0" applyNumberFormat="1" applyFont="1" applyFill="1" applyBorder="1" applyProtection="1"/>
    <xf numFmtId="3" fontId="6" fillId="21" borderId="132" xfId="0" applyNumberFormat="1" applyFont="1" applyFill="1" applyBorder="1" applyAlignment="1" applyProtection="1">
      <alignment horizontal="center" vertical="center" wrapText="1"/>
    </xf>
    <xf numFmtId="9" fontId="46" fillId="21" borderId="135" xfId="0" applyNumberFormat="1" applyFont="1" applyFill="1" applyBorder="1" applyProtection="1"/>
    <xf numFmtId="3" fontId="46" fillId="22" borderId="135" xfId="0" applyNumberFormat="1" applyFont="1" applyFill="1" applyBorder="1" applyProtection="1"/>
    <xf numFmtId="9" fontId="46" fillId="21" borderId="133" xfId="0" applyNumberFormat="1" applyFont="1" applyFill="1" applyBorder="1" applyProtection="1"/>
    <xf numFmtId="9" fontId="46" fillId="21" borderId="147" xfId="0" applyNumberFormat="1" applyFont="1" applyFill="1" applyBorder="1" applyProtection="1"/>
    <xf numFmtId="49" fontId="4" fillId="21" borderId="35" xfId="0" applyNumberFormat="1" applyFont="1" applyFill="1" applyBorder="1" applyAlignment="1" applyProtection="1">
      <alignment horizontal="left"/>
    </xf>
    <xf numFmtId="3" fontId="3" fillId="21" borderId="35" xfId="0" applyNumberFormat="1" applyFont="1" applyFill="1" applyBorder="1" applyProtection="1"/>
    <xf numFmtId="49" fontId="4" fillId="21" borderId="2" xfId="0" applyNumberFormat="1" applyFont="1" applyFill="1" applyBorder="1" applyAlignment="1" applyProtection="1">
      <alignment horizontal="left"/>
    </xf>
    <xf numFmtId="3" fontId="3" fillId="21" borderId="5" xfId="0" applyNumberFormat="1" applyFont="1" applyFill="1" applyBorder="1" applyProtection="1"/>
    <xf numFmtId="49" fontId="6" fillId="21" borderId="25" xfId="0" applyNumberFormat="1" applyFont="1" applyFill="1" applyBorder="1" applyAlignment="1" applyProtection="1">
      <alignment horizontal="left"/>
    </xf>
    <xf numFmtId="0" fontId="9" fillId="21" borderId="25" xfId="0" applyFont="1" applyFill="1" applyBorder="1" applyProtection="1"/>
    <xf numFmtId="3" fontId="3" fillId="21" borderId="25" xfId="0" applyNumberFormat="1" applyFont="1" applyFill="1" applyBorder="1" applyProtection="1"/>
    <xf numFmtId="0" fontId="4" fillId="21" borderId="122" xfId="0" applyFont="1" applyFill="1" applyBorder="1" applyAlignment="1" applyProtection="1">
      <alignment horizontal="left" vertical="top"/>
    </xf>
    <xf numFmtId="0" fontId="4" fillId="21" borderId="15" xfId="0" applyFont="1" applyFill="1" applyBorder="1" applyAlignment="1" applyProtection="1">
      <alignment horizontal="right"/>
    </xf>
    <xf numFmtId="0" fontId="6" fillId="21" borderId="148" xfId="0" applyFont="1" applyFill="1" applyBorder="1" applyAlignment="1" applyProtection="1">
      <alignment horizontal="right"/>
    </xf>
    <xf numFmtId="0" fontId="6" fillId="21" borderId="111" xfId="0" applyFont="1" applyFill="1" applyBorder="1" applyAlignment="1" applyProtection="1">
      <alignment horizontal="left"/>
    </xf>
    <xf numFmtId="0" fontId="6" fillId="21" borderId="85" xfId="0" applyFont="1" applyFill="1" applyBorder="1" applyAlignment="1" applyProtection="1">
      <alignment horizontal="right"/>
    </xf>
    <xf numFmtId="0" fontId="4" fillId="21" borderId="13" xfId="0" applyFont="1" applyFill="1" applyBorder="1" applyAlignment="1" applyProtection="1">
      <alignment horizontal="center"/>
    </xf>
    <xf numFmtId="0" fontId="9" fillId="21" borderId="21" xfId="0" applyFont="1" applyFill="1" applyBorder="1" applyAlignment="1" applyProtection="1">
      <alignment horizontal="center"/>
    </xf>
    <xf numFmtId="0" fontId="9" fillId="21" borderId="9" xfId="0" applyFont="1" applyFill="1" applyBorder="1" applyAlignment="1" applyProtection="1">
      <alignment horizontal="center"/>
    </xf>
    <xf numFmtId="0" fontId="9" fillId="21" borderId="79" xfId="0" applyFont="1" applyFill="1" applyBorder="1" applyAlignment="1" applyProtection="1">
      <alignment horizontal="left"/>
    </xf>
    <xf numFmtId="0" fontId="9" fillId="21" borderId="22" xfId="0" applyFont="1" applyFill="1" applyBorder="1" applyAlignment="1" applyProtection="1">
      <alignment horizontal="center"/>
    </xf>
    <xf numFmtId="0" fontId="9" fillId="21" borderId="24" xfId="0" applyFont="1" applyFill="1" applyBorder="1" applyAlignment="1" applyProtection="1">
      <alignment horizontal="center"/>
    </xf>
    <xf numFmtId="0" fontId="17" fillId="21" borderId="65" xfId="0" applyFont="1" applyFill="1" applyBorder="1" applyAlignment="1" applyProtection="1">
      <alignment horizontal="left"/>
    </xf>
    <xf numFmtId="0" fontId="4" fillId="21" borderId="79" xfId="0" applyFont="1" applyFill="1" applyBorder="1" applyAlignment="1" applyProtection="1">
      <alignment horizontal="left"/>
    </xf>
    <xf numFmtId="0" fontId="6" fillId="21" borderId="149" xfId="0" applyFont="1" applyFill="1" applyBorder="1" applyAlignment="1" applyProtection="1">
      <alignment horizontal="left"/>
    </xf>
    <xf numFmtId="0" fontId="6" fillId="21" borderId="116" xfId="0" applyFont="1" applyFill="1" applyBorder="1" applyAlignment="1" applyProtection="1">
      <alignment horizontal="center"/>
    </xf>
    <xf numFmtId="0" fontId="6" fillId="21" borderId="56" xfId="0" applyFont="1" applyFill="1" applyBorder="1" applyAlignment="1" applyProtection="1">
      <alignment horizontal="center"/>
    </xf>
    <xf numFmtId="0" fontId="4" fillId="21" borderId="2" xfId="0" applyFont="1" applyFill="1" applyBorder="1" applyAlignment="1" applyProtection="1">
      <alignment horizontal="right"/>
    </xf>
    <xf numFmtId="0" fontId="4" fillId="21" borderId="141" xfId="0" applyFont="1" applyFill="1" applyBorder="1" applyAlignment="1" applyProtection="1">
      <alignment horizontal="center"/>
    </xf>
    <xf numFmtId="0" fontId="6" fillId="21" borderId="113" xfId="0" applyFont="1" applyFill="1" applyBorder="1" applyProtection="1"/>
    <xf numFmtId="0" fontId="4" fillId="21" borderId="122" xfId="0" applyFont="1" applyFill="1" applyBorder="1" applyAlignment="1" applyProtection="1">
      <alignment vertical="top"/>
    </xf>
    <xf numFmtId="1" fontId="4" fillId="21" borderId="15" xfId="0" applyNumberFormat="1" applyFont="1" applyFill="1" applyBorder="1" applyAlignment="1" applyProtection="1">
      <alignment horizontal="left"/>
    </xf>
    <xf numFmtId="0" fontId="6" fillId="21" borderId="15" xfId="0" applyFont="1" applyFill="1" applyBorder="1" applyProtection="1"/>
    <xf numFmtId="0" fontId="9" fillId="21" borderId="1" xfId="0" applyFont="1" applyFill="1" applyBorder="1" applyProtection="1"/>
    <xf numFmtId="0" fontId="4" fillId="21" borderId="122" xfId="0" applyFont="1" applyFill="1" applyBorder="1" applyAlignment="1" applyProtection="1">
      <alignment horizontal="center"/>
    </xf>
    <xf numFmtId="0" fontId="4" fillId="21" borderId="152" xfId="0" applyFont="1" applyFill="1" applyBorder="1" applyAlignment="1" applyProtection="1">
      <alignment horizontal="left" vertical="top"/>
    </xf>
    <xf numFmtId="0" fontId="6" fillId="21" borderId="153" xfId="0" applyFont="1" applyFill="1" applyBorder="1" applyAlignment="1" applyProtection="1">
      <alignment horizontal="center"/>
    </xf>
    <xf numFmtId="1" fontId="9" fillId="21" borderId="128" xfId="0" applyNumberFormat="1" applyFont="1" applyFill="1" applyBorder="1" applyAlignment="1" applyProtection="1">
      <alignment horizontal="center"/>
    </xf>
    <xf numFmtId="1" fontId="9" fillId="21" borderId="128" xfId="0" applyNumberFormat="1" applyFont="1" applyFill="1" applyBorder="1" applyAlignment="1" applyProtection="1">
      <alignment horizontal="left"/>
    </xf>
    <xf numFmtId="1" fontId="9" fillId="21" borderId="41" xfId="0" applyNumberFormat="1" applyFont="1" applyFill="1" applyBorder="1" applyAlignment="1" applyProtection="1">
      <alignment horizontal="center"/>
    </xf>
    <xf numFmtId="49" fontId="9" fillId="21" borderId="155" xfId="0" applyNumberFormat="1" applyFont="1" applyFill="1" applyBorder="1" applyAlignment="1" applyProtection="1">
      <alignment horizontal="center"/>
    </xf>
    <xf numFmtId="0" fontId="17" fillId="21" borderId="113" xfId="0" applyFont="1" applyFill="1" applyBorder="1" applyAlignment="1" applyProtection="1">
      <alignment horizontal="left"/>
    </xf>
    <xf numFmtId="0" fontId="17" fillId="21" borderId="15" xfId="0" applyFont="1" applyFill="1" applyBorder="1" applyAlignment="1" applyProtection="1">
      <alignment horizontal="left"/>
    </xf>
    <xf numFmtId="0" fontId="6" fillId="21" borderId="41" xfId="0" applyFont="1" applyFill="1" applyBorder="1" applyAlignment="1" applyProtection="1">
      <alignment horizontal="left"/>
    </xf>
    <xf numFmtId="1" fontId="9" fillId="21" borderId="5" xfId="0" applyNumberFormat="1" applyFont="1" applyFill="1" applyBorder="1" applyAlignment="1" applyProtection="1">
      <alignment horizontal="center"/>
    </xf>
    <xf numFmtId="0" fontId="9" fillId="21" borderId="5" xfId="0" applyFont="1" applyFill="1" applyBorder="1" applyProtection="1"/>
    <xf numFmtId="167" fontId="17" fillId="21" borderId="59" xfId="0" applyNumberFormat="1" applyFont="1" applyFill="1" applyBorder="1" applyAlignment="1" applyProtection="1">
      <alignment horizontal="left"/>
    </xf>
    <xf numFmtId="167" fontId="17" fillId="21" borderId="84" xfId="0" applyNumberFormat="1" applyFont="1" applyFill="1" applyBorder="1" applyAlignment="1" applyProtection="1">
      <alignment horizontal="left"/>
    </xf>
    <xf numFmtId="167" fontId="23" fillId="21" borderId="86" xfId="0" applyNumberFormat="1" applyFont="1" applyFill="1" applyBorder="1" applyAlignment="1" applyProtection="1">
      <alignment horizontal="left"/>
    </xf>
    <xf numFmtId="0" fontId="17" fillId="21" borderId="111" xfId="0" applyFont="1" applyFill="1" applyBorder="1" applyProtection="1"/>
    <xf numFmtId="0" fontId="17" fillId="21" borderId="86" xfId="0" applyFont="1" applyFill="1" applyBorder="1" applyProtection="1"/>
    <xf numFmtId="167" fontId="5" fillId="21" borderId="59" xfId="0" applyNumberFormat="1" applyFont="1" applyFill="1" applyBorder="1" applyAlignment="1" applyProtection="1">
      <alignment horizontal="left"/>
    </xf>
    <xf numFmtId="167" fontId="23" fillId="21" borderId="86" xfId="0" applyNumberFormat="1" applyFont="1" applyFill="1" applyBorder="1" applyProtection="1"/>
    <xf numFmtId="1" fontId="4" fillId="21" borderId="148" xfId="0" applyNumberFormat="1" applyFont="1" applyFill="1" applyBorder="1" applyAlignment="1" applyProtection="1">
      <alignment horizontal="left"/>
    </xf>
    <xf numFmtId="0" fontId="13" fillId="21" borderId="111" xfId="0" applyFont="1" applyFill="1" applyBorder="1" applyAlignment="1" applyProtection="1">
      <alignment horizontal="left"/>
    </xf>
    <xf numFmtId="0" fontId="6" fillId="21" borderId="1" xfId="0" applyFont="1" applyFill="1" applyBorder="1" applyAlignment="1" applyProtection="1">
      <alignment horizontal="left"/>
    </xf>
    <xf numFmtId="167" fontId="6" fillId="21" borderId="86" xfId="0" applyNumberFormat="1" applyFont="1" applyFill="1" applyBorder="1" applyAlignment="1" applyProtection="1">
      <alignment horizontal="left"/>
    </xf>
    <xf numFmtId="1" fontId="17" fillId="21" borderId="25" xfId="0" applyNumberFormat="1" applyFont="1" applyFill="1" applyBorder="1" applyAlignment="1" applyProtection="1">
      <alignment horizontal="center"/>
    </xf>
    <xf numFmtId="1" fontId="4" fillId="21" borderId="80" xfId="0" applyNumberFormat="1" applyFont="1" applyFill="1" applyBorder="1" applyAlignment="1" applyProtection="1">
      <alignment horizontal="center"/>
    </xf>
    <xf numFmtId="0" fontId="4" fillId="21" borderId="94" xfId="0" applyFont="1" applyFill="1" applyBorder="1" applyAlignment="1" applyProtection="1">
      <alignment horizontal="left" vertical="top" wrapText="1"/>
    </xf>
    <xf numFmtId="0" fontId="61" fillId="21" borderId="115" xfId="0" applyFont="1" applyFill="1" applyBorder="1" applyProtection="1"/>
    <xf numFmtId="0" fontId="5" fillId="21" borderId="85" xfId="0" applyFont="1" applyFill="1" applyBorder="1" applyAlignment="1" applyProtection="1"/>
    <xf numFmtId="0" fontId="90" fillId="21" borderId="85" xfId="0" applyFont="1" applyFill="1" applyBorder="1" applyAlignment="1"/>
    <xf numFmtId="1" fontId="4" fillId="21" borderId="94" xfId="0" applyNumberFormat="1" applyFont="1" applyFill="1" applyBorder="1" applyAlignment="1" applyProtection="1">
      <alignment horizontal="left"/>
    </xf>
    <xf numFmtId="0" fontId="4" fillId="21" borderId="113" xfId="0" applyFont="1" applyFill="1" applyBorder="1" applyAlignment="1" applyProtection="1">
      <alignment horizontal="left"/>
    </xf>
    <xf numFmtId="3" fontId="4" fillId="21" borderId="157" xfId="0" applyNumberFormat="1" applyFont="1" applyFill="1" applyBorder="1" applyAlignment="1" applyProtection="1">
      <alignment horizontal="left"/>
    </xf>
    <xf numFmtId="3" fontId="4" fillId="21" borderId="158" xfId="0" applyNumberFormat="1" applyFont="1" applyFill="1" applyBorder="1" applyProtection="1"/>
    <xf numFmtId="1" fontId="4" fillId="21" borderId="122" xfId="0" applyNumberFormat="1" applyFont="1" applyFill="1" applyBorder="1" applyAlignment="1" applyProtection="1">
      <alignment horizontal="left"/>
    </xf>
    <xf numFmtId="3" fontId="4" fillId="21" borderId="15" xfId="0" applyNumberFormat="1" applyFont="1" applyFill="1" applyBorder="1" applyAlignment="1" applyProtection="1">
      <alignment horizontal="left"/>
    </xf>
    <xf numFmtId="0" fontId="4" fillId="21" borderId="0" xfId="0" applyFont="1" applyFill="1" applyBorder="1" applyProtection="1"/>
    <xf numFmtId="3" fontId="4" fillId="21" borderId="15" xfId="0" applyNumberFormat="1" applyFont="1" applyFill="1" applyBorder="1" applyProtection="1"/>
    <xf numFmtId="0" fontId="8" fillId="21" borderId="111" xfId="0" applyFont="1" applyFill="1" applyBorder="1" applyProtection="1"/>
    <xf numFmtId="0" fontId="4" fillId="21" borderId="1" xfId="0" applyFont="1" applyFill="1" applyBorder="1" applyProtection="1"/>
    <xf numFmtId="0" fontId="4" fillId="21" borderId="41" xfId="0" applyFont="1" applyFill="1" applyBorder="1" applyProtection="1"/>
    <xf numFmtId="49" fontId="4" fillId="21" borderId="130" xfId="0" applyNumberFormat="1" applyFont="1" applyFill="1" applyBorder="1" applyAlignment="1" applyProtection="1">
      <alignment horizontal="left"/>
    </xf>
    <xf numFmtId="170" fontId="4" fillId="21" borderId="35" xfId="0" applyNumberFormat="1" applyFont="1" applyFill="1" applyBorder="1" applyAlignment="1" applyProtection="1">
      <alignment horizontal="left"/>
    </xf>
    <xf numFmtId="49" fontId="9" fillId="21" borderId="129" xfId="0" applyNumberFormat="1" applyFont="1" applyFill="1" applyBorder="1" applyAlignment="1" applyProtection="1">
      <alignment horizontal="center"/>
    </xf>
    <xf numFmtId="49" fontId="4" fillId="21" borderId="120" xfId="0" applyNumberFormat="1" applyFont="1" applyFill="1" applyBorder="1" applyAlignment="1" applyProtection="1">
      <alignment horizontal="center"/>
    </xf>
    <xf numFmtId="3" fontId="3" fillId="21" borderId="35" xfId="0" applyNumberFormat="1" applyFont="1" applyFill="1" applyBorder="1" applyAlignment="1" applyProtection="1">
      <alignment horizontal="right"/>
    </xf>
    <xf numFmtId="0" fontId="6" fillId="21" borderId="69" xfId="0" applyFont="1" applyFill="1" applyBorder="1" applyProtection="1"/>
    <xf numFmtId="49" fontId="9" fillId="21" borderId="126" xfId="0" applyNumberFormat="1" applyFont="1" applyFill="1" applyBorder="1" applyAlignment="1" applyProtection="1">
      <alignment horizontal="center"/>
    </xf>
    <xf numFmtId="0" fontId="17" fillId="21" borderId="41" xfId="0" applyFont="1" applyFill="1" applyBorder="1" applyAlignment="1" applyProtection="1">
      <alignment horizontal="left"/>
    </xf>
    <xf numFmtId="0" fontId="6" fillId="21" borderId="2" xfId="0" applyFont="1" applyFill="1" applyBorder="1" applyAlignment="1" applyProtection="1">
      <alignment horizontal="left" wrapText="1"/>
    </xf>
    <xf numFmtId="0" fontId="9" fillId="21" borderId="2" xfId="0" applyFont="1" applyFill="1" applyBorder="1" applyAlignment="1" applyProtection="1">
      <alignment horizontal="left"/>
    </xf>
    <xf numFmtId="49" fontId="9" fillId="21" borderId="139" xfId="0" applyNumberFormat="1" applyFont="1" applyFill="1" applyBorder="1" applyAlignment="1" applyProtection="1">
      <alignment horizontal="center"/>
    </xf>
    <xf numFmtId="0" fontId="9" fillId="21" borderId="13" xfId="0" applyFont="1" applyFill="1" applyBorder="1" applyProtection="1"/>
    <xf numFmtId="49" fontId="9" fillId="21" borderId="96" xfId="0" applyNumberFormat="1" applyFont="1" applyFill="1" applyBorder="1" applyAlignment="1" applyProtection="1">
      <alignment horizontal="center"/>
    </xf>
    <xf numFmtId="1" fontId="4" fillId="21" borderId="23" xfId="0" applyNumberFormat="1" applyFont="1" applyFill="1" applyBorder="1" applyAlignment="1" applyProtection="1">
      <alignment horizontal="left" vertical="top" wrapText="1"/>
    </xf>
    <xf numFmtId="0" fontId="4" fillId="21" borderId="159" xfId="0" applyFont="1" applyFill="1" applyBorder="1" applyAlignment="1" applyProtection="1">
      <alignment vertical="top"/>
    </xf>
    <xf numFmtId="0" fontId="9" fillId="21" borderId="160" xfId="0" applyFont="1" applyFill="1" applyBorder="1" applyProtection="1"/>
    <xf numFmtId="0" fontId="12" fillId="21" borderId="122" xfId="0" applyFont="1" applyFill="1" applyBorder="1" applyProtection="1"/>
    <xf numFmtId="0" fontId="9" fillId="21" borderId="43" xfId="0" applyFont="1" applyFill="1" applyBorder="1" applyProtection="1"/>
    <xf numFmtId="0" fontId="0" fillId="21" borderId="122" xfId="0" applyFill="1" applyBorder="1" applyProtection="1"/>
    <xf numFmtId="0" fontId="13" fillId="25" borderId="111" xfId="0" applyFont="1" applyFill="1" applyBorder="1" applyProtection="1"/>
    <xf numFmtId="49" fontId="12" fillId="25" borderId="57" xfId="0" applyNumberFormat="1" applyFont="1" applyFill="1" applyBorder="1" applyProtection="1"/>
    <xf numFmtId="0" fontId="22" fillId="21" borderId="161" xfId="0" applyFont="1" applyFill="1" applyBorder="1" applyProtection="1"/>
    <xf numFmtId="49" fontId="14" fillId="21" borderId="122" xfId="0" applyNumberFormat="1" applyFont="1" applyFill="1" applyBorder="1" applyAlignment="1" applyProtection="1">
      <alignment horizontal="left"/>
    </xf>
    <xf numFmtId="0" fontId="17" fillId="21" borderId="162" xfId="0" applyFont="1" applyFill="1" applyBorder="1" applyAlignment="1" applyProtection="1">
      <alignment wrapText="1"/>
    </xf>
    <xf numFmtId="0" fontId="9" fillId="21" borderId="3" xfId="0" applyFont="1" applyFill="1" applyBorder="1" applyAlignment="1" applyProtection="1"/>
    <xf numFmtId="0" fontId="9" fillId="21" borderId="6" xfId="0" applyFont="1" applyFill="1" applyBorder="1" applyProtection="1"/>
    <xf numFmtId="0" fontId="17" fillId="21" borderId="112" xfId="0" applyFont="1" applyFill="1" applyBorder="1" applyProtection="1"/>
    <xf numFmtId="0" fontId="9" fillId="21" borderId="3" xfId="0" applyFont="1" applyFill="1" applyBorder="1" applyProtection="1"/>
    <xf numFmtId="0" fontId="17" fillId="21" borderId="92" xfId="0" applyFont="1" applyFill="1" applyBorder="1" applyProtection="1"/>
    <xf numFmtId="0" fontId="17" fillId="21" borderId="43" xfId="0" applyFont="1" applyFill="1" applyBorder="1" applyProtection="1"/>
    <xf numFmtId="0" fontId="9" fillId="21" borderId="71" xfId="0" applyFont="1" applyFill="1" applyBorder="1" applyProtection="1"/>
    <xf numFmtId="0" fontId="17" fillId="21" borderId="162" xfId="0" applyFont="1" applyFill="1" applyBorder="1" applyProtection="1"/>
    <xf numFmtId="0" fontId="6" fillId="21" borderId="162" xfId="0" applyFont="1" applyFill="1" applyBorder="1" applyAlignment="1" applyProtection="1">
      <alignment wrapText="1"/>
    </xf>
    <xf numFmtId="0" fontId="4" fillId="21" borderId="6" xfId="0" applyFont="1" applyFill="1" applyBorder="1" applyProtection="1"/>
    <xf numFmtId="0" fontId="17" fillId="21" borderId="90" xfId="0" applyFont="1" applyFill="1" applyBorder="1" applyProtection="1"/>
    <xf numFmtId="49" fontId="4" fillId="21" borderId="3" xfId="0" applyNumberFormat="1" applyFont="1" applyFill="1" applyBorder="1" applyAlignment="1" applyProtection="1">
      <alignment horizontal="left"/>
    </xf>
    <xf numFmtId="49" fontId="4" fillId="21" borderId="88" xfId="0" applyNumberFormat="1" applyFont="1" applyFill="1" applyBorder="1" applyAlignment="1" applyProtection="1">
      <alignment horizontal="left"/>
    </xf>
    <xf numFmtId="0" fontId="4" fillId="21" borderId="3" xfId="0" applyFont="1" applyFill="1" applyBorder="1" applyAlignment="1" applyProtection="1">
      <alignment wrapText="1"/>
    </xf>
    <xf numFmtId="0" fontId="17" fillId="21" borderId="90" xfId="0" applyFont="1" applyFill="1" applyBorder="1" applyAlignment="1" applyProtection="1"/>
    <xf numFmtId="0" fontId="4" fillId="21" borderId="3" xfId="0" applyFont="1" applyFill="1" applyBorder="1" applyProtection="1"/>
    <xf numFmtId="0" fontId="105" fillId="21" borderId="3" xfId="0" applyFont="1" applyFill="1" applyBorder="1" applyProtection="1"/>
    <xf numFmtId="0" fontId="9" fillId="21" borderId="10" xfId="0" applyFont="1" applyFill="1" applyBorder="1" applyProtection="1"/>
    <xf numFmtId="0" fontId="9" fillId="21" borderId="95" xfId="0" applyFont="1" applyFill="1" applyBorder="1" applyProtection="1"/>
    <xf numFmtId="3" fontId="4" fillId="21" borderId="123" xfId="0" applyNumberFormat="1" applyFont="1" applyFill="1" applyBorder="1" applyAlignment="1" applyProtection="1">
      <alignment horizontal="left" vertical="top" wrapText="1"/>
    </xf>
    <xf numFmtId="3" fontId="4" fillId="21" borderId="15" xfId="0" applyNumberFormat="1" applyFont="1" applyFill="1" applyBorder="1" applyAlignment="1" applyProtection="1">
      <alignment horizontal="left" vertical="top"/>
    </xf>
    <xf numFmtId="3" fontId="4" fillId="21" borderId="67" xfId="0" applyNumberFormat="1" applyFont="1" applyFill="1" applyBorder="1" applyAlignment="1" applyProtection="1">
      <alignment horizontal="left" vertical="top" wrapText="1"/>
    </xf>
    <xf numFmtId="3" fontId="4" fillId="21" borderId="16" xfId="0" applyNumberFormat="1" applyFont="1" applyFill="1" applyBorder="1" applyAlignment="1" applyProtection="1">
      <alignment horizontal="left" vertical="top" wrapText="1"/>
    </xf>
    <xf numFmtId="3" fontId="4" fillId="21" borderId="148" xfId="0" applyNumberFormat="1" applyFont="1" applyFill="1" applyBorder="1" applyProtection="1"/>
    <xf numFmtId="0" fontId="4" fillId="21" borderId="148" xfId="0" applyFont="1" applyFill="1" applyBorder="1" applyAlignment="1" applyProtection="1">
      <alignment horizontal="left" vertical="top" wrapText="1"/>
    </xf>
    <xf numFmtId="0" fontId="4" fillId="21" borderId="148" xfId="0" applyFont="1" applyFill="1" applyBorder="1" applyProtection="1"/>
    <xf numFmtId="3" fontId="9" fillId="21" borderId="16" xfId="0" applyNumberFormat="1" applyFont="1" applyFill="1" applyBorder="1" applyProtection="1"/>
    <xf numFmtId="0" fontId="9" fillId="21" borderId="145" xfId="0" applyFont="1" applyFill="1" applyBorder="1" applyProtection="1"/>
    <xf numFmtId="49" fontId="12" fillId="21" borderId="163" xfId="0" applyNumberFormat="1" applyFont="1" applyFill="1" applyBorder="1" applyProtection="1"/>
    <xf numFmtId="49" fontId="12" fillId="21" borderId="161" xfId="0" applyNumberFormat="1" applyFont="1" applyFill="1" applyBorder="1" applyProtection="1"/>
    <xf numFmtId="49" fontId="12" fillId="21" borderId="131" xfId="0" applyNumberFormat="1" applyFont="1" applyFill="1" applyBorder="1" applyProtection="1"/>
    <xf numFmtId="49" fontId="12" fillId="21" borderId="109" xfId="0" applyNumberFormat="1" applyFont="1" applyFill="1" applyBorder="1" applyProtection="1"/>
    <xf numFmtId="49" fontId="12" fillId="21" borderId="121" xfId="0" applyNumberFormat="1" applyFont="1" applyFill="1" applyBorder="1" applyProtection="1"/>
    <xf numFmtId="49" fontId="12" fillId="21" borderId="164" xfId="0" applyNumberFormat="1" applyFont="1" applyFill="1" applyBorder="1" applyProtection="1"/>
    <xf numFmtId="49" fontId="12" fillId="21" borderId="4" xfId="0" applyNumberFormat="1" applyFont="1" applyFill="1" applyBorder="1" applyProtection="1"/>
    <xf numFmtId="49" fontId="12" fillId="21" borderId="3" xfId="0" applyNumberFormat="1" applyFont="1" applyFill="1" applyBorder="1" applyProtection="1"/>
    <xf numFmtId="49" fontId="12" fillId="21" borderId="2" xfId="0" applyNumberFormat="1" applyFont="1" applyFill="1" applyBorder="1" applyProtection="1"/>
    <xf numFmtId="49" fontId="12" fillId="21" borderId="79" xfId="0" applyNumberFormat="1" applyFont="1" applyFill="1" applyBorder="1" applyProtection="1"/>
    <xf numFmtId="49" fontId="12" fillId="21" borderId="64" xfId="0" applyNumberFormat="1" applyFont="1" applyFill="1" applyBorder="1" applyProtection="1"/>
    <xf numFmtId="49" fontId="12" fillId="21" borderId="52" xfId="0" applyNumberFormat="1" applyFont="1" applyFill="1" applyBorder="1" applyProtection="1"/>
    <xf numFmtId="3" fontId="14" fillId="21" borderId="14" xfId="0" applyNumberFormat="1" applyFont="1" applyFill="1" applyBorder="1" applyAlignment="1" applyProtection="1">
      <alignment horizontal="right"/>
    </xf>
    <xf numFmtId="3" fontId="14" fillId="21" borderId="10" xfId="0" applyNumberFormat="1" applyFont="1" applyFill="1" applyBorder="1" applyAlignment="1" applyProtection="1">
      <alignment horizontal="right"/>
    </xf>
    <xf numFmtId="3" fontId="14" fillId="21" borderId="9" xfId="0" applyNumberFormat="1" applyFont="1" applyFill="1" applyBorder="1" applyAlignment="1" applyProtection="1">
      <alignment horizontal="right"/>
    </xf>
    <xf numFmtId="3" fontId="14" fillId="21" borderId="20" xfId="0" applyNumberFormat="1" applyFont="1" applyFill="1" applyBorder="1" applyAlignment="1" applyProtection="1">
      <alignment horizontal="right"/>
    </xf>
    <xf numFmtId="3" fontId="14" fillId="21" borderId="97" xfId="0" applyNumberFormat="1" applyFont="1" applyFill="1" applyBorder="1" applyAlignment="1" applyProtection="1">
      <alignment horizontal="right"/>
    </xf>
    <xf numFmtId="3" fontId="14" fillId="21" borderId="112" xfId="0" applyNumberFormat="1" applyFont="1" applyFill="1" applyBorder="1" applyAlignment="1" applyProtection="1">
      <alignment horizontal="right"/>
    </xf>
    <xf numFmtId="3" fontId="14" fillId="21" borderId="119" xfId="0" applyNumberFormat="1" applyFont="1" applyFill="1" applyBorder="1" applyAlignment="1" applyProtection="1">
      <alignment horizontal="right"/>
    </xf>
    <xf numFmtId="3" fontId="14" fillId="21" borderId="91" xfId="0" applyNumberFormat="1" applyFont="1" applyFill="1" applyBorder="1" applyAlignment="1" applyProtection="1">
      <alignment horizontal="right"/>
    </xf>
    <xf numFmtId="3" fontId="14" fillId="21" borderId="113" xfId="0" applyNumberFormat="1" applyFont="1" applyFill="1" applyBorder="1" applyAlignment="1" applyProtection="1">
      <alignment horizontal="right"/>
    </xf>
    <xf numFmtId="3" fontId="14" fillId="21" borderId="92" xfId="0" applyNumberFormat="1" applyFont="1" applyFill="1" applyBorder="1" applyAlignment="1" applyProtection="1">
      <alignment horizontal="right"/>
    </xf>
    <xf numFmtId="3" fontId="14" fillId="21" borderId="84" xfId="0" applyNumberFormat="1" applyFont="1" applyFill="1" applyBorder="1" applyAlignment="1" applyProtection="1">
      <alignment horizontal="right"/>
    </xf>
    <xf numFmtId="3" fontId="14" fillId="21" borderId="4" xfId="0" applyNumberFormat="1" applyFont="1" applyFill="1" applyBorder="1" applyAlignment="1" applyProtection="1">
      <alignment horizontal="right"/>
    </xf>
    <xf numFmtId="3" fontId="14" fillId="21" borderId="3" xfId="0" applyNumberFormat="1" applyFont="1" applyFill="1" applyBorder="1" applyAlignment="1" applyProtection="1">
      <alignment horizontal="right"/>
    </xf>
    <xf numFmtId="3" fontId="14" fillId="21" borderId="54" xfId="0" applyNumberFormat="1" applyFont="1" applyFill="1" applyBorder="1" applyAlignment="1" applyProtection="1">
      <alignment horizontal="right"/>
    </xf>
    <xf numFmtId="3" fontId="14" fillId="21" borderId="53" xfId="0" applyNumberFormat="1" applyFont="1" applyFill="1" applyBorder="1" applyAlignment="1" applyProtection="1">
      <alignment horizontal="right"/>
    </xf>
    <xf numFmtId="3" fontId="14" fillId="21" borderId="2" xfId="0" applyNumberFormat="1" applyFont="1" applyFill="1" applyBorder="1" applyAlignment="1" applyProtection="1">
      <alignment horizontal="right"/>
    </xf>
    <xf numFmtId="3" fontId="14" fillId="21" borderId="64" xfId="0" applyNumberFormat="1" applyFont="1" applyFill="1" applyBorder="1" applyAlignment="1" applyProtection="1">
      <alignment horizontal="right"/>
    </xf>
    <xf numFmtId="3" fontId="14" fillId="21" borderId="18" xfId="0" applyNumberFormat="1" applyFont="1" applyFill="1" applyBorder="1" applyAlignment="1" applyProtection="1">
      <alignment horizontal="right"/>
    </xf>
    <xf numFmtId="3" fontId="14" fillId="21" borderId="7" xfId="0" applyNumberFormat="1" applyFont="1" applyFill="1" applyBorder="1" applyAlignment="1" applyProtection="1">
      <alignment horizontal="right"/>
    </xf>
    <xf numFmtId="3" fontId="14" fillId="21" borderId="6" xfId="0" applyNumberFormat="1" applyFont="1" applyFill="1" applyBorder="1" applyAlignment="1" applyProtection="1">
      <alignment horizontal="right"/>
    </xf>
    <xf numFmtId="3" fontId="14" fillId="21" borderId="5" xfId="0" applyNumberFormat="1" applyFont="1" applyFill="1" applyBorder="1" applyAlignment="1" applyProtection="1">
      <alignment horizontal="right"/>
    </xf>
    <xf numFmtId="3" fontId="14" fillId="21" borderId="19" xfId="0" applyNumberFormat="1" applyFont="1" applyFill="1" applyBorder="1" applyAlignment="1" applyProtection="1">
      <alignment horizontal="right"/>
    </xf>
    <xf numFmtId="3" fontId="6" fillId="21" borderId="114" xfId="0" applyNumberFormat="1" applyFont="1" applyFill="1" applyBorder="1" applyAlignment="1" applyProtection="1">
      <alignment horizontal="left" vertical="top" wrapText="1"/>
    </xf>
    <xf numFmtId="3" fontId="6" fillId="21" borderId="154" xfId="0" applyNumberFormat="1" applyFont="1" applyFill="1" applyBorder="1" applyAlignment="1" applyProtection="1">
      <alignment vertical="top" wrapText="1"/>
    </xf>
    <xf numFmtId="3" fontId="9" fillId="21" borderId="122" xfId="0" applyNumberFormat="1" applyFont="1" applyFill="1" applyBorder="1" applyProtection="1"/>
    <xf numFmtId="3" fontId="9" fillId="21" borderId="154" xfId="0" applyNumberFormat="1" applyFont="1" applyFill="1" applyBorder="1" applyProtection="1"/>
    <xf numFmtId="0" fontId="9" fillId="21" borderId="122" xfId="0" applyFont="1" applyFill="1" applyBorder="1" applyProtection="1"/>
    <xf numFmtId="0" fontId="9" fillId="21" borderId="111" xfId="0" applyFont="1" applyFill="1" applyBorder="1" applyProtection="1"/>
    <xf numFmtId="0" fontId="12" fillId="21" borderId="166" xfId="0" applyFont="1" applyFill="1" applyBorder="1" applyProtection="1"/>
    <xf numFmtId="49" fontId="12" fillId="21" borderId="130" xfId="0" applyNumberFormat="1" applyFont="1" applyFill="1" applyBorder="1" applyProtection="1"/>
    <xf numFmtId="49" fontId="12" fillId="21" borderId="167" xfId="0" applyNumberFormat="1" applyFont="1" applyFill="1" applyBorder="1" applyProtection="1"/>
    <xf numFmtId="49" fontId="12" fillId="21" borderId="21" xfId="0" applyNumberFormat="1" applyFont="1" applyFill="1" applyBorder="1" applyProtection="1"/>
    <xf numFmtId="49" fontId="12" fillId="21" borderId="104" xfId="0" applyNumberFormat="1" applyFont="1" applyFill="1" applyBorder="1" applyProtection="1"/>
    <xf numFmtId="3" fontId="14" fillId="21" borderId="23" xfId="0" applyNumberFormat="1" applyFont="1" applyFill="1" applyBorder="1" applyAlignment="1" applyProtection="1">
      <alignment horizontal="right"/>
    </xf>
    <xf numFmtId="3" fontId="14" fillId="21" borderId="94" xfId="0" applyNumberFormat="1" applyFont="1" applyFill="1" applyBorder="1" applyAlignment="1" applyProtection="1">
      <alignment horizontal="right"/>
    </xf>
    <xf numFmtId="3" fontId="14" fillId="21" borderId="21" xfId="0" applyNumberFormat="1" applyFont="1" applyFill="1" applyBorder="1" applyAlignment="1" applyProtection="1">
      <alignment horizontal="right"/>
    </xf>
    <xf numFmtId="3" fontId="14" fillId="21" borderId="22" xfId="0" applyNumberFormat="1" applyFont="1" applyFill="1" applyBorder="1" applyAlignment="1" applyProtection="1">
      <alignment horizontal="right"/>
    </xf>
    <xf numFmtId="3" fontId="4" fillId="21" borderId="125" xfId="0" applyNumberFormat="1" applyFont="1" applyFill="1" applyBorder="1" applyAlignment="1" applyProtection="1">
      <alignment horizontal="left" vertical="top" wrapText="1"/>
    </xf>
    <xf numFmtId="3" fontId="4" fillId="21" borderId="68" xfId="0" applyNumberFormat="1" applyFont="1" applyFill="1" applyBorder="1" applyAlignment="1" applyProtection="1">
      <alignment horizontal="left" vertical="top" wrapText="1"/>
    </xf>
    <xf numFmtId="3" fontId="6" fillId="21" borderId="114" xfId="0" applyNumberFormat="1" applyFont="1" applyFill="1" applyBorder="1" applyAlignment="1" applyProtection="1">
      <alignment horizontal="left" vertical="top"/>
    </xf>
    <xf numFmtId="3" fontId="6" fillId="21" borderId="154" xfId="0" applyNumberFormat="1" applyFont="1" applyFill="1" applyBorder="1" applyAlignment="1" applyProtection="1">
      <alignment horizontal="left" vertical="top" wrapText="1"/>
    </xf>
    <xf numFmtId="0" fontId="9" fillId="21" borderId="154" xfId="0" applyFont="1" applyFill="1" applyBorder="1" applyProtection="1"/>
    <xf numFmtId="0" fontId="9" fillId="21" borderId="166" xfId="0" applyFont="1" applyFill="1" applyBorder="1" applyProtection="1"/>
    <xf numFmtId="49" fontId="12" fillId="21" borderId="168" xfId="0" applyNumberFormat="1" applyFont="1" applyFill="1" applyBorder="1" applyProtection="1"/>
    <xf numFmtId="49" fontId="12" fillId="21" borderId="169" xfId="0" applyNumberFormat="1" applyFont="1" applyFill="1" applyBorder="1" applyProtection="1"/>
    <xf numFmtId="49" fontId="12" fillId="21" borderId="28" xfId="0" applyNumberFormat="1" applyFont="1" applyFill="1" applyBorder="1" applyProtection="1"/>
    <xf numFmtId="49" fontId="12" fillId="21" borderId="99" xfId="0" applyNumberFormat="1" applyFont="1" applyFill="1" applyBorder="1" applyProtection="1"/>
    <xf numFmtId="3" fontId="14" fillId="21" borderId="30" xfId="0" applyNumberFormat="1" applyFont="1" applyFill="1" applyBorder="1" applyAlignment="1" applyProtection="1">
      <alignment horizontal="right"/>
    </xf>
    <xf numFmtId="3" fontId="14" fillId="21" borderId="31" xfId="0" applyNumberFormat="1" applyFont="1" applyFill="1" applyBorder="1" applyAlignment="1" applyProtection="1">
      <alignment horizontal="right"/>
    </xf>
    <xf numFmtId="3" fontId="14" fillId="21" borderId="46" xfId="0" applyNumberFormat="1" applyFont="1" applyFill="1" applyBorder="1" applyAlignment="1" applyProtection="1">
      <alignment horizontal="right"/>
    </xf>
    <xf numFmtId="3" fontId="14" fillId="21" borderId="114" xfId="0" applyNumberFormat="1" applyFont="1" applyFill="1" applyBorder="1" applyAlignment="1" applyProtection="1">
      <alignment horizontal="right"/>
    </xf>
    <xf numFmtId="3" fontId="14" fillId="21" borderId="28" xfId="0" applyNumberFormat="1" applyFont="1" applyFill="1" applyBorder="1" applyAlignment="1" applyProtection="1">
      <alignment horizontal="right"/>
    </xf>
    <xf numFmtId="3" fontId="14" fillId="21" borderId="99" xfId="0" applyNumberFormat="1" applyFont="1" applyFill="1" applyBorder="1" applyAlignment="1" applyProtection="1">
      <alignment horizontal="right"/>
    </xf>
    <xf numFmtId="3" fontId="14" fillId="21" borderId="29" xfId="0" applyNumberFormat="1" applyFont="1" applyFill="1" applyBorder="1" applyAlignment="1" applyProtection="1">
      <alignment horizontal="right"/>
    </xf>
    <xf numFmtId="3" fontId="14" fillId="21" borderId="32" xfId="0" applyNumberFormat="1" applyFont="1" applyFill="1" applyBorder="1" applyAlignment="1" applyProtection="1">
      <alignment horizontal="right"/>
    </xf>
    <xf numFmtId="0" fontId="9" fillId="21" borderId="148" xfId="0" applyFont="1" applyFill="1" applyBorder="1" applyAlignment="1" applyProtection="1">
      <alignment horizontal="left"/>
    </xf>
    <xf numFmtId="0" fontId="4" fillId="21" borderId="148" xfId="0" applyFont="1" applyFill="1" applyBorder="1" applyAlignment="1" applyProtection="1">
      <alignment horizontal="left"/>
    </xf>
    <xf numFmtId="0" fontId="9" fillId="21" borderId="15" xfId="0" applyFont="1" applyFill="1" applyBorder="1" applyAlignment="1" applyProtection="1">
      <alignment horizontal="left"/>
    </xf>
    <xf numFmtId="0" fontId="9" fillId="21" borderId="148" xfId="0" applyFont="1" applyFill="1" applyBorder="1" applyProtection="1"/>
    <xf numFmtId="0" fontId="9" fillId="21" borderId="148" xfId="0" applyFont="1" applyFill="1" applyBorder="1" applyAlignment="1" applyProtection="1">
      <alignment horizontal="center"/>
    </xf>
    <xf numFmtId="0" fontId="25" fillId="21" borderId="148" xfId="0" applyFont="1" applyFill="1" applyBorder="1" applyProtection="1"/>
    <xf numFmtId="0" fontId="36" fillId="21" borderId="148" xfId="0" applyFont="1" applyFill="1" applyBorder="1" applyProtection="1"/>
    <xf numFmtId="3" fontId="19" fillId="21" borderId="148" xfId="0" applyNumberFormat="1" applyFont="1" applyFill="1" applyBorder="1" applyProtection="1"/>
    <xf numFmtId="3" fontId="45" fillId="21" borderId="148" xfId="0" applyNumberFormat="1" applyFont="1" applyFill="1" applyBorder="1" applyProtection="1"/>
    <xf numFmtId="3" fontId="91" fillId="21" borderId="148" xfId="0" applyNumberFormat="1" applyFont="1" applyFill="1" applyBorder="1" applyProtection="1"/>
    <xf numFmtId="3" fontId="43" fillId="21" borderId="152" xfId="0" applyNumberFormat="1" applyFont="1" applyFill="1" applyBorder="1" applyProtection="1"/>
    <xf numFmtId="3" fontId="43" fillId="21" borderId="28" xfId="0" applyNumberFormat="1" applyFont="1" applyFill="1" applyBorder="1" applyAlignment="1" applyProtection="1">
      <alignment horizontal="right"/>
    </xf>
    <xf numFmtId="3" fontId="3" fillId="21" borderId="29" xfId="0" applyNumberFormat="1" applyFont="1" applyFill="1" applyBorder="1" applyAlignment="1" applyProtection="1">
      <alignment horizontal="right"/>
    </xf>
    <xf numFmtId="3" fontId="46" fillId="21" borderId="65" xfId="0" applyNumberFormat="1" applyFont="1" applyFill="1" applyBorder="1" applyProtection="1"/>
    <xf numFmtId="3" fontId="46" fillId="21" borderId="5" xfId="0" applyNumberFormat="1" applyFont="1" applyFill="1" applyBorder="1" applyProtection="1"/>
    <xf numFmtId="3" fontId="46" fillId="21" borderId="4" xfId="0" applyNumberFormat="1" applyFont="1" applyFill="1" applyBorder="1" applyProtection="1"/>
    <xf numFmtId="3" fontId="46" fillId="21" borderId="79" xfId="0" applyNumberFormat="1" applyFont="1" applyFill="1" applyBorder="1" applyProtection="1"/>
    <xf numFmtId="3" fontId="44" fillId="21" borderId="87" xfId="0" applyNumberFormat="1" applyFont="1" applyFill="1" applyBorder="1" applyProtection="1"/>
    <xf numFmtId="3" fontId="45" fillId="21" borderId="149" xfId="0" applyNumberFormat="1" applyFont="1" applyFill="1" applyBorder="1" applyProtection="1"/>
    <xf numFmtId="3" fontId="91" fillId="21" borderId="149" xfId="0" applyNumberFormat="1" applyFont="1" applyFill="1" applyBorder="1" applyProtection="1"/>
    <xf numFmtId="3" fontId="14" fillId="26" borderId="99" xfId="0" applyNumberFormat="1" applyFont="1" applyFill="1" applyBorder="1" applyAlignment="1" applyProtection="1">
      <alignment horizontal="right"/>
    </xf>
    <xf numFmtId="0" fontId="26" fillId="21" borderId="97" xfId="0" applyFont="1" applyFill="1" applyBorder="1" applyProtection="1"/>
    <xf numFmtId="0" fontId="26" fillId="21" borderId="92" xfId="0" applyFont="1" applyFill="1" applyBorder="1" applyProtection="1"/>
    <xf numFmtId="0" fontId="26" fillId="21" borderId="115" xfId="0" applyFont="1" applyFill="1" applyBorder="1" applyProtection="1"/>
    <xf numFmtId="0" fontId="26" fillId="21" borderId="116" xfId="0" applyFont="1" applyFill="1" applyBorder="1" applyProtection="1"/>
    <xf numFmtId="0" fontId="26" fillId="21" borderId="4" xfId="0" applyFont="1" applyFill="1" applyBorder="1" applyProtection="1"/>
    <xf numFmtId="0" fontId="26" fillId="21" borderId="64" xfId="0" applyFont="1" applyFill="1" applyBorder="1" applyProtection="1"/>
    <xf numFmtId="0" fontId="26" fillId="21" borderId="79" xfId="0" applyFont="1" applyFill="1" applyBorder="1" applyProtection="1"/>
    <xf numFmtId="0" fontId="26" fillId="21" borderId="52" xfId="0" applyFont="1" applyFill="1" applyBorder="1" applyProtection="1"/>
    <xf numFmtId="3" fontId="3" fillId="21" borderId="15" xfId="0" applyNumberFormat="1" applyFont="1" applyFill="1" applyBorder="1" applyProtection="1"/>
    <xf numFmtId="3" fontId="46" fillId="21" borderId="2" xfId="0" applyNumberFormat="1" applyFont="1" applyFill="1" applyBorder="1" applyProtection="1"/>
    <xf numFmtId="3" fontId="37" fillId="21" borderId="0" xfId="0" applyNumberFormat="1" applyFont="1" applyFill="1" applyBorder="1" applyAlignment="1" applyProtection="1"/>
    <xf numFmtId="3" fontId="3" fillId="21" borderId="28" xfId="0" applyNumberFormat="1" applyFont="1" applyFill="1" applyBorder="1" applyAlignment="1" applyProtection="1">
      <alignment horizontal="right"/>
    </xf>
    <xf numFmtId="3" fontId="46" fillId="21" borderId="148" xfId="0" applyNumberFormat="1" applyFont="1" applyFill="1" applyBorder="1" applyProtection="1"/>
    <xf numFmtId="3" fontId="3" fillId="22" borderId="28" xfId="0" applyNumberFormat="1" applyFont="1" applyFill="1" applyBorder="1" applyAlignment="1" applyProtection="1">
      <alignment horizontal="right"/>
    </xf>
    <xf numFmtId="3" fontId="45" fillId="21" borderId="4" xfId="0" applyNumberFormat="1" applyFont="1" applyFill="1" applyBorder="1" applyProtection="1"/>
    <xf numFmtId="3" fontId="45" fillId="21" borderId="79" xfId="0" applyNumberFormat="1" applyFont="1" applyFill="1" applyBorder="1" applyProtection="1"/>
    <xf numFmtId="3" fontId="91" fillId="21" borderId="79" xfId="0" applyNumberFormat="1" applyFont="1" applyFill="1" applyBorder="1" applyProtection="1"/>
    <xf numFmtId="3" fontId="49" fillId="21" borderId="2" xfId="0" applyNumberFormat="1" applyFont="1" applyFill="1" applyBorder="1" applyAlignment="1" applyProtection="1">
      <alignment horizontal="right"/>
    </xf>
    <xf numFmtId="3" fontId="3" fillId="21" borderId="44" xfId="0" applyNumberFormat="1" applyFont="1" applyFill="1" applyBorder="1" applyAlignment="1" applyProtection="1">
      <alignment horizontal="right"/>
    </xf>
    <xf numFmtId="3" fontId="46" fillId="21" borderId="87" xfId="0" applyNumberFormat="1" applyFont="1" applyFill="1" applyBorder="1" applyProtection="1"/>
    <xf numFmtId="3" fontId="46" fillId="21" borderId="149" xfId="0" applyNumberFormat="1" applyFont="1" applyFill="1" applyBorder="1" applyProtection="1"/>
    <xf numFmtId="3" fontId="104" fillId="21" borderId="4" xfId="0" applyNumberFormat="1" applyFont="1" applyFill="1" applyBorder="1" applyProtection="1"/>
    <xf numFmtId="3" fontId="104" fillId="21" borderId="79" xfId="0" applyNumberFormat="1" applyFont="1" applyFill="1" applyBorder="1" applyProtection="1"/>
    <xf numFmtId="3" fontId="50" fillId="21" borderId="4" xfId="0" applyNumberFormat="1" applyFont="1" applyFill="1" applyBorder="1" applyProtection="1"/>
    <xf numFmtId="3" fontId="43" fillId="21" borderId="30" xfId="0" applyNumberFormat="1" applyFont="1" applyFill="1" applyBorder="1" applyAlignment="1" applyProtection="1">
      <alignment horizontal="right"/>
    </xf>
    <xf numFmtId="3" fontId="45" fillId="21" borderId="87" xfId="0" applyNumberFormat="1" applyFont="1" applyFill="1" applyBorder="1" applyProtection="1"/>
    <xf numFmtId="3" fontId="43" fillId="21" borderId="101" xfId="0" applyNumberFormat="1" applyFont="1" applyFill="1" applyBorder="1" applyAlignment="1" applyProtection="1">
      <alignment horizontal="right"/>
    </xf>
    <xf numFmtId="3" fontId="45" fillId="21" borderId="173" xfId="0" applyNumberFormat="1" applyFont="1" applyFill="1" applyBorder="1" applyProtection="1"/>
    <xf numFmtId="3" fontId="45" fillId="21" borderId="38" xfId="0" applyNumberFormat="1" applyFont="1" applyFill="1" applyBorder="1" applyProtection="1"/>
    <xf numFmtId="3" fontId="91" fillId="21" borderId="38" xfId="0" applyNumberFormat="1" applyFont="1" applyFill="1" applyBorder="1" applyProtection="1"/>
    <xf numFmtId="3" fontId="4" fillId="21" borderId="30" xfId="0" applyNumberFormat="1" applyFont="1" applyFill="1" applyBorder="1" applyAlignment="1" applyProtection="1">
      <alignment horizontal="center"/>
    </xf>
    <xf numFmtId="3" fontId="4" fillId="21" borderId="48" xfId="0" applyNumberFormat="1" applyFont="1" applyFill="1" applyBorder="1" applyAlignment="1" applyProtection="1"/>
    <xf numFmtId="3" fontId="9" fillId="21" borderId="47" xfId="0" applyNumberFormat="1" applyFont="1" applyFill="1" applyBorder="1" applyAlignment="1" applyProtection="1">
      <alignment horizontal="left" vertical="top" wrapText="1"/>
    </xf>
    <xf numFmtId="3" fontId="9" fillId="21" borderId="159" xfId="0" applyNumberFormat="1" applyFont="1" applyFill="1" applyBorder="1" applyAlignment="1" applyProtection="1">
      <alignment horizontal="left" vertical="top" wrapText="1"/>
    </xf>
    <xf numFmtId="3" fontId="4" fillId="21" borderId="175" xfId="0" applyNumberFormat="1" applyFont="1" applyFill="1" applyBorder="1" applyAlignment="1" applyProtection="1">
      <alignment horizontal="center"/>
    </xf>
    <xf numFmtId="3" fontId="4" fillId="21" borderId="29" xfId="0" applyNumberFormat="1" applyFont="1" applyFill="1" applyBorder="1" applyAlignment="1" applyProtection="1">
      <alignment horizontal="center"/>
    </xf>
    <xf numFmtId="3" fontId="4" fillId="21" borderId="176" xfId="0" applyNumberFormat="1" applyFont="1" applyFill="1" applyBorder="1" applyAlignment="1" applyProtection="1"/>
    <xf numFmtId="3" fontId="9" fillId="21" borderId="177" xfId="0" applyNumberFormat="1" applyFont="1" applyFill="1" applyBorder="1" applyAlignment="1" applyProtection="1"/>
    <xf numFmtId="3" fontId="9" fillId="21" borderId="178" xfId="0" applyNumberFormat="1" applyFont="1" applyFill="1" applyBorder="1" applyAlignment="1" applyProtection="1"/>
    <xf numFmtId="3" fontId="4" fillId="21" borderId="44" xfId="0" applyNumberFormat="1" applyFont="1" applyFill="1" applyBorder="1" applyAlignment="1" applyProtection="1">
      <alignment horizontal="center"/>
    </xf>
    <xf numFmtId="3" fontId="6" fillId="21" borderId="74" xfId="0" applyNumberFormat="1" applyFont="1" applyFill="1" applyBorder="1" applyAlignment="1" applyProtection="1"/>
    <xf numFmtId="3" fontId="9" fillId="21" borderId="75" xfId="0" applyNumberFormat="1" applyFont="1" applyFill="1" applyBorder="1" applyAlignment="1" applyProtection="1"/>
    <xf numFmtId="3" fontId="9" fillId="21" borderId="172" xfId="0" applyNumberFormat="1" applyFont="1" applyFill="1" applyBorder="1" applyAlignment="1" applyProtection="1"/>
    <xf numFmtId="3" fontId="4" fillId="21" borderId="179" xfId="0" applyNumberFormat="1" applyFont="1" applyFill="1" applyBorder="1" applyAlignment="1" applyProtection="1">
      <alignment vertical="center"/>
    </xf>
    <xf numFmtId="3" fontId="9" fillId="21" borderId="179" xfId="0" applyNumberFormat="1" applyFont="1" applyFill="1" applyBorder="1" applyProtection="1"/>
    <xf numFmtId="3" fontId="4" fillId="21" borderId="105" xfId="0" applyNumberFormat="1" applyFont="1" applyFill="1" applyBorder="1" applyAlignment="1" applyProtection="1">
      <alignment vertical="center"/>
    </xf>
    <xf numFmtId="3" fontId="9" fillId="21" borderId="72" xfId="0" applyNumberFormat="1" applyFont="1" applyFill="1" applyBorder="1" applyProtection="1"/>
    <xf numFmtId="3" fontId="9" fillId="21" borderId="88" xfId="0" applyNumberFormat="1" applyFont="1" applyFill="1" applyBorder="1" applyProtection="1"/>
    <xf numFmtId="3" fontId="4" fillId="21" borderId="180" xfId="0" applyNumberFormat="1" applyFont="1" applyFill="1" applyBorder="1" applyAlignment="1" applyProtection="1"/>
    <xf numFmtId="3" fontId="4" fillId="21" borderId="105" xfId="0" applyNumberFormat="1" applyFont="1" applyFill="1" applyBorder="1" applyProtection="1"/>
    <xf numFmtId="3" fontId="9" fillId="21" borderId="105" xfId="0" applyNumberFormat="1" applyFont="1" applyFill="1" applyBorder="1" applyProtection="1"/>
    <xf numFmtId="3" fontId="9" fillId="21" borderId="75" xfId="0" applyNumberFormat="1" applyFont="1" applyFill="1" applyBorder="1" applyProtection="1"/>
    <xf numFmtId="3" fontId="9" fillId="21" borderId="172" xfId="0" applyNumberFormat="1" applyFont="1" applyFill="1" applyBorder="1" applyProtection="1"/>
    <xf numFmtId="0" fontId="4" fillId="21" borderId="59" xfId="0" applyFont="1" applyFill="1" applyBorder="1" applyAlignment="1" applyProtection="1">
      <alignment horizontal="left"/>
    </xf>
    <xf numFmtId="0" fontId="4" fillId="21" borderId="119" xfId="0" applyFont="1" applyFill="1" applyBorder="1" applyProtection="1"/>
    <xf numFmtId="0" fontId="4" fillId="21" borderId="181" xfId="0" applyFont="1" applyFill="1" applyBorder="1" applyAlignment="1" applyProtection="1">
      <alignment vertical="top" wrapText="1"/>
    </xf>
    <xf numFmtId="0" fontId="4" fillId="21" borderId="109" xfId="0" applyFont="1" applyFill="1" applyBorder="1" applyAlignment="1" applyProtection="1">
      <alignment horizontal="left" vertical="top" wrapText="1"/>
    </xf>
    <xf numFmtId="0" fontId="4" fillId="21" borderId="131" xfId="0" applyFont="1" applyFill="1" applyBorder="1" applyAlignment="1" applyProtection="1">
      <alignment horizontal="left" vertical="top" wrapText="1"/>
    </xf>
    <xf numFmtId="0" fontId="4" fillId="21" borderId="181" xfId="0" applyFont="1" applyFill="1" applyBorder="1" applyAlignment="1" applyProtection="1">
      <alignment horizontal="left" vertical="top" wrapText="1"/>
    </xf>
    <xf numFmtId="0" fontId="4" fillId="21" borderId="59" xfId="0" applyFont="1" applyFill="1" applyBorder="1" applyProtection="1"/>
    <xf numFmtId="0" fontId="8" fillId="21" borderId="86" xfId="0" applyFont="1" applyFill="1" applyBorder="1" applyProtection="1"/>
    <xf numFmtId="0" fontId="4" fillId="21" borderId="43" xfId="0" applyFont="1" applyFill="1" applyBorder="1" applyProtection="1"/>
    <xf numFmtId="0" fontId="4" fillId="21" borderId="163" xfId="0" applyFont="1" applyFill="1" applyBorder="1" applyAlignment="1" applyProtection="1">
      <alignment horizontal="left" vertical="top" wrapText="1"/>
    </xf>
    <xf numFmtId="0" fontId="4" fillId="21" borderId="122" xfId="0" applyFont="1" applyFill="1" applyBorder="1" applyProtection="1"/>
    <xf numFmtId="0" fontId="6" fillId="21" borderId="122" xfId="0" applyFont="1" applyFill="1" applyBorder="1" applyProtection="1"/>
    <xf numFmtId="0" fontId="4" fillId="21" borderId="16" xfId="0" applyFont="1" applyFill="1" applyBorder="1" applyProtection="1"/>
    <xf numFmtId="0" fontId="4" fillId="21" borderId="63" xfId="0" applyFont="1" applyFill="1" applyBorder="1" applyProtection="1"/>
    <xf numFmtId="0" fontId="4" fillId="21" borderId="67" xfId="0" applyFont="1" applyFill="1" applyBorder="1" applyProtection="1"/>
    <xf numFmtId="0" fontId="4" fillId="21" borderId="142" xfId="0" applyFont="1" applyFill="1" applyBorder="1" applyProtection="1"/>
    <xf numFmtId="0" fontId="47" fillId="21" borderId="171" xfId="0" applyFont="1" applyFill="1" applyBorder="1" applyProtection="1"/>
    <xf numFmtId="0" fontId="6" fillId="21" borderId="97" xfId="0" applyFont="1" applyFill="1" applyBorder="1" applyProtection="1"/>
    <xf numFmtId="0" fontId="6" fillId="21" borderId="16" xfId="0" applyFont="1" applyFill="1" applyBorder="1" applyProtection="1"/>
    <xf numFmtId="49" fontId="8" fillId="21" borderId="122" xfId="0" applyNumberFormat="1" applyFont="1" applyFill="1" applyBorder="1" applyAlignment="1" applyProtection="1">
      <alignment horizontal="left"/>
    </xf>
    <xf numFmtId="3" fontId="38" fillId="21" borderId="15" xfId="0" applyNumberFormat="1" applyFont="1" applyFill="1" applyBorder="1" applyAlignment="1" applyProtection="1"/>
    <xf numFmtId="3" fontId="38" fillId="21" borderId="55" xfId="0" applyNumberFormat="1" applyFont="1" applyFill="1" applyBorder="1" applyAlignment="1" applyProtection="1"/>
    <xf numFmtId="49" fontId="6" fillId="21" borderId="148" xfId="0" applyNumberFormat="1" applyFont="1" applyFill="1" applyBorder="1" applyAlignment="1" applyProtection="1"/>
    <xf numFmtId="49" fontId="6" fillId="21" borderId="0" xfId="0" applyNumberFormat="1" applyFont="1" applyFill="1" applyBorder="1" applyAlignment="1" applyProtection="1"/>
    <xf numFmtId="49" fontId="6" fillId="21" borderId="118" xfId="0" applyNumberFormat="1" applyFont="1" applyFill="1" applyBorder="1" applyAlignment="1" applyProtection="1"/>
    <xf numFmtId="49" fontId="6" fillId="21" borderId="27" xfId="0" applyNumberFormat="1" applyFont="1" applyFill="1" applyBorder="1" applyAlignment="1" applyProtection="1"/>
    <xf numFmtId="3" fontId="3" fillId="21" borderId="15" xfId="0" applyNumberFormat="1" applyFont="1" applyFill="1" applyBorder="1" applyAlignment="1" applyProtection="1">
      <alignment horizontal="right"/>
    </xf>
    <xf numFmtId="3" fontId="11" fillId="21" borderId="15" xfId="0" applyNumberFormat="1" applyFont="1" applyFill="1" applyBorder="1" applyProtection="1"/>
    <xf numFmtId="3" fontId="11" fillId="21" borderId="55" xfId="0" applyNumberFormat="1" applyFont="1" applyFill="1" applyBorder="1" applyProtection="1"/>
    <xf numFmtId="3" fontId="11" fillId="21" borderId="0" xfId="0" applyNumberFormat="1" applyFont="1" applyFill="1" applyBorder="1" applyProtection="1"/>
    <xf numFmtId="49" fontId="4" fillId="21" borderId="38" xfId="0" applyNumberFormat="1" applyFont="1" applyFill="1" applyBorder="1" applyAlignment="1" applyProtection="1"/>
    <xf numFmtId="49" fontId="6" fillId="21" borderId="11" xfId="0" applyNumberFormat="1" applyFont="1" applyFill="1" applyBorder="1" applyAlignment="1" applyProtection="1"/>
    <xf numFmtId="3" fontId="38" fillId="21" borderId="59" xfId="0" applyNumberFormat="1" applyFont="1" applyFill="1" applyBorder="1" applyAlignment="1" applyProtection="1"/>
    <xf numFmtId="49" fontId="6" fillId="21" borderId="56" xfId="0" applyNumberFormat="1" applyFont="1" applyFill="1" applyBorder="1" applyAlignment="1" applyProtection="1"/>
    <xf numFmtId="3" fontId="38" fillId="21" borderId="0" xfId="0" applyNumberFormat="1" applyFont="1" applyFill="1" applyBorder="1" applyAlignment="1" applyProtection="1"/>
    <xf numFmtId="3" fontId="3" fillId="21" borderId="67" xfId="0" applyNumberFormat="1" applyFont="1" applyFill="1" applyBorder="1" applyAlignment="1" applyProtection="1">
      <alignment horizontal="right"/>
    </xf>
    <xf numFmtId="3" fontId="38" fillId="21" borderId="56" xfId="0" applyNumberFormat="1" applyFont="1" applyFill="1" applyBorder="1" applyAlignment="1" applyProtection="1"/>
    <xf numFmtId="3" fontId="38" fillId="21" borderId="15" xfId="0" applyNumberFormat="1" applyFont="1" applyFill="1" applyBorder="1" applyProtection="1"/>
    <xf numFmtId="49" fontId="6" fillId="21" borderId="15" xfId="0" applyNumberFormat="1" applyFont="1" applyFill="1" applyBorder="1" applyAlignment="1" applyProtection="1"/>
    <xf numFmtId="3" fontId="3" fillId="27" borderId="17" xfId="0" applyNumberFormat="1" applyFont="1" applyFill="1" applyBorder="1" applyAlignment="1" applyProtection="1">
      <alignment horizontal="right"/>
    </xf>
    <xf numFmtId="49" fontId="4" fillId="21" borderId="129" xfId="0" applyNumberFormat="1" applyFont="1" applyFill="1" applyBorder="1" applyAlignment="1" applyProtection="1">
      <alignment horizontal="left"/>
    </xf>
    <xf numFmtId="0" fontId="6" fillId="21" borderId="63" xfId="0" applyFont="1" applyFill="1" applyBorder="1" applyProtection="1"/>
    <xf numFmtId="49" fontId="4" fillId="21" borderId="22" xfId="0" applyNumberFormat="1" applyFont="1" applyFill="1" applyBorder="1" applyAlignment="1" applyProtection="1">
      <alignment horizontal="left"/>
    </xf>
    <xf numFmtId="49" fontId="4" fillId="21" borderId="88" xfId="0" applyNumberFormat="1" applyFont="1" applyFill="1" applyBorder="1" applyProtection="1"/>
    <xf numFmtId="49" fontId="4" fillId="21" borderId="88" xfId="0" applyNumberFormat="1" applyFont="1" applyFill="1" applyBorder="1" applyAlignment="1" applyProtection="1">
      <alignment wrapText="1"/>
    </xf>
    <xf numFmtId="49" fontId="4" fillId="21" borderId="21" xfId="0" applyNumberFormat="1" applyFont="1" applyFill="1" applyBorder="1" applyAlignment="1" applyProtection="1">
      <alignment horizontal="left"/>
    </xf>
    <xf numFmtId="49" fontId="4" fillId="21" borderId="54" xfId="0" applyNumberFormat="1" applyFont="1" applyFill="1" applyBorder="1" applyAlignment="1" applyProtection="1">
      <alignment wrapText="1"/>
    </xf>
    <xf numFmtId="49" fontId="4" fillId="21" borderId="23" xfId="0" applyNumberFormat="1" applyFont="1" applyFill="1" applyBorder="1" applyAlignment="1" applyProtection="1">
      <alignment horizontal="left"/>
    </xf>
    <xf numFmtId="0" fontId="6" fillId="21" borderId="47" xfId="0" applyFont="1" applyFill="1" applyBorder="1" applyProtection="1"/>
    <xf numFmtId="49" fontId="4" fillId="21" borderId="73" xfId="0" applyNumberFormat="1" applyFont="1" applyFill="1" applyBorder="1" applyProtection="1"/>
    <xf numFmtId="49" fontId="4" fillId="21" borderId="64" xfId="0" applyNumberFormat="1" applyFont="1" applyFill="1" applyBorder="1" applyAlignment="1" applyProtection="1">
      <alignment wrapText="1"/>
    </xf>
    <xf numFmtId="0" fontId="6" fillId="21" borderId="159" xfId="0" applyFont="1" applyFill="1" applyBorder="1" applyProtection="1"/>
    <xf numFmtId="49" fontId="4" fillId="21" borderId="54" xfId="0" applyNumberFormat="1" applyFont="1" applyFill="1" applyBorder="1" applyProtection="1"/>
    <xf numFmtId="49" fontId="4" fillId="21" borderId="6" xfId="0" applyNumberFormat="1" applyFont="1" applyFill="1" applyBorder="1" applyAlignment="1" applyProtection="1">
      <alignment wrapText="1"/>
    </xf>
    <xf numFmtId="49" fontId="4" fillId="21" borderId="3" xfId="0" applyNumberFormat="1" applyFont="1" applyFill="1" applyBorder="1" applyAlignment="1" applyProtection="1">
      <alignment wrapText="1"/>
    </xf>
    <xf numFmtId="49" fontId="4" fillId="21" borderId="171" xfId="0" applyNumberFormat="1" applyFont="1" applyFill="1" applyBorder="1" applyAlignment="1" applyProtection="1">
      <alignment wrapText="1"/>
    </xf>
    <xf numFmtId="0" fontId="6" fillId="21" borderId="182" xfId="0" applyFont="1" applyFill="1" applyBorder="1" applyProtection="1"/>
    <xf numFmtId="49" fontId="4" fillId="21" borderId="12" xfId="0" applyNumberFormat="1" applyFont="1" applyFill="1" applyBorder="1" applyProtection="1"/>
    <xf numFmtId="49" fontId="4" fillId="21" borderId="53" xfId="0" applyNumberFormat="1" applyFont="1" applyFill="1" applyBorder="1" applyProtection="1"/>
    <xf numFmtId="49" fontId="4" fillId="21" borderId="53" xfId="0" applyNumberFormat="1" applyFont="1" applyFill="1" applyBorder="1" applyAlignment="1" applyProtection="1">
      <alignment wrapText="1"/>
    </xf>
    <xf numFmtId="49" fontId="4" fillId="21" borderId="6" xfId="11" applyNumberFormat="1" applyFont="1" applyFill="1" applyBorder="1" applyAlignment="1" applyProtection="1"/>
    <xf numFmtId="49" fontId="4" fillId="21" borderId="125" xfId="0" applyNumberFormat="1" applyFont="1" applyFill="1" applyBorder="1" applyAlignment="1" applyProtection="1">
      <alignment horizontal="left"/>
    </xf>
    <xf numFmtId="49" fontId="4" fillId="21" borderId="165" xfId="11" applyNumberFormat="1" applyFont="1" applyFill="1" applyBorder="1" applyAlignment="1" applyProtection="1"/>
    <xf numFmtId="49" fontId="4" fillId="21" borderId="122" xfId="0" applyNumberFormat="1" applyFont="1" applyFill="1" applyBorder="1" applyAlignment="1" applyProtection="1">
      <alignment horizontal="left"/>
    </xf>
    <xf numFmtId="49" fontId="4" fillId="21" borderId="55" xfId="11" applyNumberFormat="1" applyFont="1" applyFill="1" applyBorder="1" applyAlignment="1" applyProtection="1"/>
    <xf numFmtId="49" fontId="4" fillId="21" borderId="162" xfId="11" applyNumberFormat="1" applyFont="1" applyFill="1" applyBorder="1" applyAlignment="1" applyProtection="1"/>
    <xf numFmtId="49" fontId="4" fillId="21" borderId="171" xfId="11" applyNumberFormat="1" applyFont="1" applyFill="1" applyBorder="1" applyAlignment="1" applyProtection="1"/>
    <xf numFmtId="49" fontId="4" fillId="21" borderId="6" xfId="0" applyNumberFormat="1" applyFont="1" applyFill="1" applyBorder="1" applyProtection="1"/>
    <xf numFmtId="49" fontId="4" fillId="21" borderId="88" xfId="11" applyNumberFormat="1" applyFont="1" applyFill="1" applyBorder="1" applyAlignment="1" applyProtection="1"/>
    <xf numFmtId="49" fontId="4" fillId="21" borderId="24" xfId="0" applyNumberFormat="1" applyFont="1" applyFill="1" applyBorder="1" applyAlignment="1" applyProtection="1">
      <alignment horizontal="left"/>
    </xf>
    <xf numFmtId="49" fontId="4" fillId="21" borderId="71" xfId="11" applyNumberFormat="1" applyFont="1" applyFill="1" applyBorder="1" applyAlignment="1" applyProtection="1"/>
    <xf numFmtId="49" fontId="4" fillId="21" borderId="12" xfId="11" applyNumberFormat="1" applyFont="1" applyFill="1" applyBorder="1" applyAlignment="1" applyProtection="1"/>
    <xf numFmtId="0" fontId="4" fillId="21" borderId="0" xfId="0" applyFont="1" applyFill="1" applyBorder="1" applyAlignment="1" applyProtection="1">
      <alignment horizontal="center"/>
    </xf>
    <xf numFmtId="0" fontId="3" fillId="21" borderId="38" xfId="0" applyFont="1" applyFill="1" applyBorder="1" applyProtection="1"/>
    <xf numFmtId="0" fontId="4" fillId="21" borderId="57" xfId="0" applyFont="1" applyFill="1" applyBorder="1" applyProtection="1"/>
    <xf numFmtId="0" fontId="10" fillId="21" borderId="38" xfId="0" applyFont="1" applyFill="1" applyBorder="1" applyProtection="1"/>
    <xf numFmtId="0" fontId="3" fillId="21" borderId="0" xfId="0" applyFont="1" applyFill="1" applyBorder="1" applyProtection="1"/>
    <xf numFmtId="0" fontId="10" fillId="21" borderId="139" xfId="0" applyFont="1" applyFill="1" applyBorder="1" applyProtection="1"/>
    <xf numFmtId="0" fontId="8" fillId="21" borderId="119" xfId="0" applyFont="1" applyFill="1" applyBorder="1" applyProtection="1"/>
    <xf numFmtId="0" fontId="3" fillId="21" borderId="119" xfId="0" applyFont="1" applyFill="1" applyBorder="1" applyProtection="1"/>
    <xf numFmtId="0" fontId="8" fillId="21" borderId="0" xfId="0" applyFont="1" applyFill="1" applyBorder="1" applyProtection="1"/>
    <xf numFmtId="0" fontId="8" fillId="21" borderId="0" xfId="0" applyFont="1" applyFill="1" applyBorder="1" applyAlignment="1" applyProtection="1">
      <alignment horizontal="left" vertical="top" wrapText="1"/>
    </xf>
    <xf numFmtId="0" fontId="3" fillId="21" borderId="0" xfId="0" applyFont="1" applyFill="1" applyBorder="1" applyAlignment="1" applyProtection="1">
      <alignment horizontal="left" vertical="top" wrapText="1"/>
    </xf>
    <xf numFmtId="49" fontId="4" fillId="21" borderId="36" xfId="5" applyNumberFormat="1" applyFont="1" applyFill="1" applyBorder="1" applyAlignment="1" applyProtection="1">
      <alignment horizontal="left"/>
    </xf>
    <xf numFmtId="0" fontId="4" fillId="21" borderId="113" xfId="5" applyFont="1" applyFill="1" applyBorder="1" applyAlignment="1" applyProtection="1"/>
    <xf numFmtId="0" fontId="4" fillId="21" borderId="115" xfId="5" applyFont="1" applyFill="1" applyBorder="1" applyProtection="1"/>
    <xf numFmtId="0" fontId="4" fillId="21" borderId="119" xfId="5" applyFont="1" applyFill="1" applyBorder="1" applyProtection="1"/>
    <xf numFmtId="49" fontId="4" fillId="21" borderId="57" xfId="5" applyNumberFormat="1" applyFont="1" applyFill="1" applyBorder="1" applyAlignment="1" applyProtection="1">
      <alignment horizontal="left" vertical="top"/>
    </xf>
    <xf numFmtId="0" fontId="4" fillId="21" borderId="15" xfId="5" applyFont="1" applyFill="1" applyBorder="1" applyProtection="1"/>
    <xf numFmtId="0" fontId="25" fillId="21" borderId="155" xfId="5" applyFont="1" applyFill="1" applyBorder="1" applyProtection="1"/>
    <xf numFmtId="0" fontId="25" fillId="21" borderId="67" xfId="5" applyFont="1" applyFill="1" applyBorder="1" applyProtection="1"/>
    <xf numFmtId="3" fontId="4" fillId="21" borderId="160" xfId="5" applyNumberFormat="1" applyFont="1" applyFill="1" applyBorder="1" applyAlignment="1" applyProtection="1">
      <alignment wrapText="1"/>
    </xf>
    <xf numFmtId="3" fontId="4" fillId="21" borderId="153" xfId="5" applyNumberFormat="1" applyFont="1" applyFill="1" applyBorder="1" applyProtection="1"/>
    <xf numFmtId="0" fontId="4" fillId="21" borderId="153" xfId="5" applyFont="1" applyFill="1" applyBorder="1" applyProtection="1"/>
    <xf numFmtId="49" fontId="4" fillId="21" borderId="57" xfId="5" applyNumberFormat="1" applyFont="1" applyFill="1" applyBorder="1" applyAlignment="1" applyProtection="1">
      <alignment horizontal="left"/>
    </xf>
    <xf numFmtId="0" fontId="4" fillId="21" borderId="55" xfId="5" applyFont="1" applyFill="1" applyBorder="1" applyProtection="1"/>
    <xf numFmtId="3" fontId="4" fillId="21" borderId="16" xfId="5" applyNumberFormat="1" applyFont="1" applyFill="1" applyBorder="1" applyProtection="1"/>
    <xf numFmtId="49" fontId="8" fillId="21" borderId="57" xfId="5" applyNumberFormat="1" applyFont="1" applyFill="1" applyBorder="1" applyAlignment="1" applyProtection="1">
      <alignment horizontal="left"/>
    </xf>
    <xf numFmtId="0" fontId="4" fillId="21" borderId="162" xfId="5" applyFont="1" applyFill="1" applyBorder="1" applyProtection="1"/>
    <xf numFmtId="0" fontId="4" fillId="21" borderId="153" xfId="5" applyFont="1" applyFill="1" applyBorder="1" applyAlignment="1" applyProtection="1">
      <alignment horizontal="left"/>
    </xf>
    <xf numFmtId="0" fontId="4" fillId="21" borderId="0" xfId="5" applyFont="1" applyFill="1" applyBorder="1" applyProtection="1"/>
    <xf numFmtId="0" fontId="6" fillId="21" borderId="162" xfId="5" applyFont="1" applyFill="1" applyBorder="1" applyProtection="1"/>
    <xf numFmtId="49" fontId="6" fillId="21" borderId="57" xfId="5" applyNumberFormat="1" applyFont="1" applyFill="1" applyBorder="1" applyAlignment="1" applyProtection="1">
      <alignment horizontal="left"/>
    </xf>
    <xf numFmtId="0" fontId="8" fillId="21" borderId="170" xfId="5" applyFont="1" applyFill="1" applyBorder="1" applyProtection="1"/>
    <xf numFmtId="0" fontId="4" fillId="21" borderId="170" xfId="5" applyFont="1" applyFill="1" applyBorder="1" applyProtection="1"/>
    <xf numFmtId="0" fontId="6" fillId="21" borderId="35" xfId="5" applyFont="1" applyFill="1" applyBorder="1" applyAlignment="1" applyProtection="1">
      <alignment horizontal="left"/>
    </xf>
    <xf numFmtId="0" fontId="6" fillId="21" borderId="35" xfId="5" applyFont="1" applyFill="1" applyBorder="1" applyProtection="1"/>
    <xf numFmtId="0" fontId="4" fillId="21" borderId="2" xfId="5" applyFont="1" applyFill="1" applyBorder="1" applyAlignment="1" applyProtection="1">
      <alignment horizontal="left"/>
    </xf>
    <xf numFmtId="0" fontId="4" fillId="21" borderId="2" xfId="5" applyFont="1" applyFill="1" applyBorder="1" applyProtection="1"/>
    <xf numFmtId="0" fontId="4" fillId="21" borderId="5" xfId="5" applyFont="1" applyFill="1" applyBorder="1" applyProtection="1"/>
    <xf numFmtId="1" fontId="6" fillId="21" borderId="49" xfId="5" applyNumberFormat="1" applyFont="1" applyFill="1" applyBorder="1" applyAlignment="1" applyProtection="1">
      <alignment horizontal="left"/>
    </xf>
    <xf numFmtId="0" fontId="6" fillId="21" borderId="5" xfId="5" applyFont="1" applyFill="1" applyBorder="1" applyProtection="1"/>
    <xf numFmtId="1" fontId="4" fillId="21" borderId="50" xfId="5" applyNumberFormat="1" applyFont="1" applyFill="1" applyBorder="1" applyAlignment="1" applyProtection="1">
      <alignment horizontal="left"/>
    </xf>
    <xf numFmtId="0" fontId="6" fillId="21" borderId="2" xfId="5" applyFont="1" applyFill="1" applyBorder="1" applyAlignment="1" applyProtection="1">
      <alignment horizontal="left"/>
    </xf>
    <xf numFmtId="0" fontId="6" fillId="21" borderId="2" xfId="5" applyFont="1" applyFill="1" applyBorder="1" applyAlignment="1" applyProtection="1">
      <alignment wrapText="1"/>
    </xf>
    <xf numFmtId="0" fontId="6" fillId="21" borderId="5" xfId="5" applyFont="1" applyFill="1" applyBorder="1" applyAlignment="1" applyProtection="1">
      <alignment wrapText="1"/>
    </xf>
    <xf numFmtId="1" fontId="4" fillId="21" borderId="50" xfId="5" applyNumberFormat="1" applyFont="1" applyFill="1" applyBorder="1" applyProtection="1"/>
    <xf numFmtId="1" fontId="6" fillId="21" borderId="186" xfId="5" applyNumberFormat="1" applyFont="1" applyFill="1" applyBorder="1" applyAlignment="1" applyProtection="1">
      <alignment horizontal="left"/>
    </xf>
    <xf numFmtId="0" fontId="6" fillId="21" borderId="9" xfId="5" applyFont="1" applyFill="1" applyBorder="1" applyProtection="1"/>
    <xf numFmtId="1" fontId="4" fillId="21" borderId="49" xfId="5" applyNumberFormat="1" applyFont="1" applyFill="1" applyBorder="1" applyAlignment="1" applyProtection="1">
      <alignment horizontal="left"/>
    </xf>
    <xf numFmtId="49" fontId="4" fillId="21" borderId="5" xfId="5" applyNumberFormat="1" applyFont="1" applyFill="1" applyBorder="1" applyAlignment="1" applyProtection="1">
      <alignment horizontal="left"/>
    </xf>
    <xf numFmtId="0" fontId="4" fillId="21" borderId="6" xfId="5" applyFont="1" applyFill="1" applyBorder="1" applyAlignment="1" applyProtection="1">
      <alignment wrapText="1"/>
    </xf>
    <xf numFmtId="3" fontId="3" fillId="21" borderId="5" xfId="5" applyNumberFormat="1" applyFont="1" applyFill="1" applyBorder="1" applyProtection="1"/>
    <xf numFmtId="3" fontId="46" fillId="21" borderId="5" xfId="5" applyNumberFormat="1" applyFont="1" applyFill="1" applyBorder="1" applyAlignment="1" applyProtection="1">
      <alignment horizontal="right"/>
    </xf>
    <xf numFmtId="3" fontId="46" fillId="21" borderId="2" xfId="5" applyNumberFormat="1" applyFont="1" applyFill="1" applyBorder="1" applyAlignment="1" applyProtection="1">
      <alignment horizontal="right"/>
    </xf>
    <xf numFmtId="3" fontId="43" fillId="21" borderId="11" xfId="5" applyNumberFormat="1" applyFont="1" applyFill="1" applyBorder="1" applyAlignment="1" applyProtection="1">
      <alignment horizontal="right"/>
    </xf>
    <xf numFmtId="3" fontId="43" fillId="21" borderId="165" xfId="5" applyNumberFormat="1" applyFont="1" applyFill="1" applyBorder="1" applyAlignment="1" applyProtection="1">
      <alignment horizontal="right"/>
    </xf>
    <xf numFmtId="3" fontId="43" fillId="21" borderId="0" xfId="5" applyNumberFormat="1" applyFont="1" applyFill="1" applyBorder="1" applyAlignment="1" applyProtection="1">
      <alignment horizontal="right"/>
    </xf>
    <xf numFmtId="3" fontId="43" fillId="21" borderId="82" xfId="5" applyNumberFormat="1" applyFont="1" applyFill="1" applyBorder="1" applyAlignment="1" applyProtection="1">
      <alignment horizontal="right"/>
    </xf>
    <xf numFmtId="3" fontId="43" fillId="21" borderId="38" xfId="5" applyNumberFormat="1" applyFont="1" applyFill="1" applyBorder="1" applyAlignment="1" applyProtection="1">
      <alignment horizontal="right"/>
    </xf>
    <xf numFmtId="3" fontId="3" fillId="21" borderId="9" xfId="5" applyNumberFormat="1" applyFont="1" applyFill="1" applyBorder="1" applyProtection="1"/>
    <xf numFmtId="3" fontId="46" fillId="21" borderId="9" xfId="5" applyNumberFormat="1" applyFont="1" applyFill="1" applyBorder="1" applyProtection="1"/>
    <xf numFmtId="3" fontId="3" fillId="21" borderId="2" xfId="5" applyNumberFormat="1" applyFont="1" applyFill="1" applyBorder="1" applyAlignment="1" applyProtection="1">
      <alignment horizontal="right"/>
    </xf>
    <xf numFmtId="3" fontId="3" fillId="21" borderId="5" xfId="5" applyNumberFormat="1" applyFont="1" applyFill="1" applyBorder="1" applyAlignment="1" applyProtection="1">
      <alignment horizontal="right"/>
    </xf>
    <xf numFmtId="3" fontId="3" fillId="21" borderId="9" xfId="5" applyNumberFormat="1" applyFont="1" applyFill="1" applyBorder="1" applyAlignment="1" applyProtection="1">
      <alignment horizontal="right"/>
    </xf>
    <xf numFmtId="0" fontId="3" fillId="21" borderId="0" xfId="5" applyFont="1" applyFill="1" applyProtection="1"/>
    <xf numFmtId="0" fontId="25" fillId="21" borderId="0" xfId="5" applyFill="1" applyProtection="1"/>
    <xf numFmtId="3" fontId="38" fillId="21" borderId="0" xfId="5" applyNumberFormat="1" applyFont="1" applyFill="1" applyBorder="1" applyProtection="1"/>
    <xf numFmtId="0" fontId="25" fillId="21" borderId="0" xfId="5" applyFont="1" applyFill="1" applyProtection="1"/>
    <xf numFmtId="0" fontId="3" fillId="21" borderId="0" xfId="5" applyFont="1" applyFill="1" applyBorder="1" applyProtection="1"/>
    <xf numFmtId="0" fontId="4" fillId="21" borderId="113" xfId="5" applyFont="1" applyFill="1" applyBorder="1" applyProtection="1"/>
    <xf numFmtId="0" fontId="4" fillId="21" borderId="148" xfId="5" applyFont="1" applyFill="1" applyBorder="1" applyProtection="1"/>
    <xf numFmtId="1" fontId="6" fillId="21" borderId="187" xfId="5" applyNumberFormat="1" applyFont="1" applyFill="1" applyBorder="1" applyAlignment="1" applyProtection="1">
      <alignment horizontal="left"/>
    </xf>
    <xf numFmtId="0" fontId="6" fillId="21" borderId="161" xfId="5" applyFont="1" applyFill="1" applyBorder="1" applyProtection="1"/>
    <xf numFmtId="0" fontId="4" fillId="21" borderId="3" xfId="5" applyFont="1" applyFill="1" applyBorder="1" applyProtection="1"/>
    <xf numFmtId="0" fontId="4" fillId="21" borderId="6" xfId="5" applyFont="1" applyFill="1" applyBorder="1" applyProtection="1"/>
    <xf numFmtId="1" fontId="6" fillId="21" borderId="57" xfId="5" applyNumberFormat="1" applyFont="1" applyFill="1" applyBorder="1" applyAlignment="1" applyProtection="1">
      <alignment horizontal="left"/>
    </xf>
    <xf numFmtId="1" fontId="4" fillId="21" borderId="57" xfId="5" applyNumberFormat="1" applyFont="1" applyFill="1" applyBorder="1" applyAlignment="1" applyProtection="1">
      <alignment horizontal="left"/>
    </xf>
    <xf numFmtId="1" fontId="6" fillId="21" borderId="120" xfId="5" applyNumberFormat="1" applyFont="1" applyFill="1" applyBorder="1" applyAlignment="1" applyProtection="1">
      <alignment horizontal="left"/>
    </xf>
    <xf numFmtId="0" fontId="6" fillId="21" borderId="110" xfId="5" applyFont="1" applyFill="1" applyBorder="1" applyProtection="1"/>
    <xf numFmtId="0" fontId="4" fillId="21" borderId="71" xfId="5" applyFont="1" applyFill="1" applyBorder="1" applyProtection="1"/>
    <xf numFmtId="3" fontId="4" fillId="21" borderId="55" xfId="0" applyNumberFormat="1" applyFont="1" applyFill="1" applyBorder="1" applyProtection="1"/>
    <xf numFmtId="49" fontId="8" fillId="21" borderId="57" xfId="0" applyNumberFormat="1" applyFont="1" applyFill="1" applyBorder="1" applyAlignment="1" applyProtection="1">
      <alignment horizontal="left"/>
    </xf>
    <xf numFmtId="49" fontId="13" fillId="21" borderId="57" xfId="0" applyNumberFormat="1" applyFont="1" applyFill="1" applyBorder="1" applyAlignment="1" applyProtection="1">
      <alignment horizontal="left"/>
    </xf>
    <xf numFmtId="1" fontId="6" fillId="21" borderId="129" xfId="0" applyNumberFormat="1" applyFont="1" applyFill="1" applyBorder="1" applyAlignment="1" applyProtection="1">
      <alignment horizontal="left"/>
    </xf>
    <xf numFmtId="1" fontId="4" fillId="21" borderId="22" xfId="0" applyNumberFormat="1" applyFont="1" applyFill="1" applyBorder="1" applyAlignment="1" applyProtection="1">
      <alignment horizontal="left"/>
    </xf>
    <xf numFmtId="1" fontId="6" fillId="21" borderId="22" xfId="0" applyNumberFormat="1" applyFont="1" applyFill="1" applyBorder="1" applyAlignment="1" applyProtection="1">
      <alignment horizontal="left"/>
    </xf>
    <xf numFmtId="1" fontId="6" fillId="21" borderId="125" xfId="0" applyNumberFormat="1" applyFont="1" applyFill="1" applyBorder="1" applyAlignment="1" applyProtection="1">
      <alignment horizontal="left"/>
    </xf>
    <xf numFmtId="3" fontId="4" fillId="21" borderId="184" xfId="0" applyNumberFormat="1" applyFont="1" applyFill="1" applyBorder="1" applyAlignment="1" applyProtection="1">
      <alignment wrapText="1"/>
    </xf>
    <xf numFmtId="3" fontId="4" fillId="21" borderId="43" xfId="0" applyNumberFormat="1" applyFont="1" applyFill="1" applyBorder="1" applyProtection="1"/>
    <xf numFmtId="3" fontId="4" fillId="21" borderId="0" xfId="0" applyNumberFormat="1" applyFont="1" applyFill="1" applyBorder="1" applyProtection="1"/>
    <xf numFmtId="0" fontId="10" fillId="21" borderId="170" xfId="0" applyFont="1" applyFill="1" applyBorder="1" applyAlignment="1" applyProtection="1">
      <alignment horizontal="left" wrapText="1"/>
    </xf>
    <xf numFmtId="0" fontId="10" fillId="21" borderId="170" xfId="0" applyFont="1" applyFill="1" applyBorder="1" applyAlignment="1" applyProtection="1">
      <alignment horizontal="left"/>
    </xf>
    <xf numFmtId="3" fontId="3" fillId="21" borderId="131" xfId="0" applyNumberFormat="1" applyFont="1" applyFill="1" applyBorder="1" applyAlignment="1" applyProtection="1">
      <alignment horizontal="right"/>
    </xf>
    <xf numFmtId="3" fontId="46" fillId="21" borderId="35" xfId="0" quotePrefix="1" applyNumberFormat="1" applyFont="1" applyFill="1" applyBorder="1" applyAlignment="1" applyProtection="1">
      <alignment horizontal="right"/>
    </xf>
    <xf numFmtId="3" fontId="3" fillId="21" borderId="5" xfId="0" applyNumberFormat="1" applyFont="1" applyFill="1" applyBorder="1" applyAlignment="1" applyProtection="1">
      <alignment horizontal="right"/>
    </xf>
    <xf numFmtId="3" fontId="46" fillId="21" borderId="2" xfId="0" applyNumberFormat="1" applyFont="1" applyFill="1" applyBorder="1" applyAlignment="1" applyProtection="1">
      <alignment horizontal="right"/>
    </xf>
    <xf numFmtId="3" fontId="46" fillId="21" borderId="5" xfId="0" applyNumberFormat="1" applyFont="1" applyFill="1" applyBorder="1" applyAlignment="1" applyProtection="1">
      <alignment horizontal="right"/>
    </xf>
    <xf numFmtId="3" fontId="3" fillId="21" borderId="165" xfId="0" applyNumberFormat="1" applyFont="1" applyFill="1" applyBorder="1" applyAlignment="1" applyProtection="1">
      <alignment horizontal="right"/>
    </xf>
    <xf numFmtId="3" fontId="46" fillId="21" borderId="11" xfId="0" applyNumberFormat="1" applyFont="1" applyFill="1" applyBorder="1" applyAlignment="1" applyProtection="1">
      <alignment horizontal="right"/>
    </xf>
    <xf numFmtId="3" fontId="3" fillId="21" borderId="82" xfId="0" applyNumberFormat="1" applyFont="1" applyFill="1" applyBorder="1" applyAlignment="1" applyProtection="1">
      <alignment horizontal="right"/>
    </xf>
    <xf numFmtId="3" fontId="3" fillId="21" borderId="2" xfId="0" applyNumberFormat="1" applyFont="1" applyFill="1" applyBorder="1" applyAlignment="1" applyProtection="1">
      <alignment horizontal="right"/>
    </xf>
    <xf numFmtId="3" fontId="3" fillId="21" borderId="25" xfId="0" applyNumberFormat="1" applyFont="1" applyFill="1" applyBorder="1" applyAlignment="1" applyProtection="1">
      <alignment horizontal="right"/>
    </xf>
    <xf numFmtId="3" fontId="46" fillId="21" borderId="13" xfId="0" quotePrefix="1" applyNumberFormat="1" applyFont="1" applyFill="1" applyBorder="1" applyAlignment="1" applyProtection="1">
      <alignment horizontal="right"/>
    </xf>
    <xf numFmtId="3" fontId="3" fillId="9" borderId="20" xfId="0" applyNumberFormat="1" applyFont="1" applyFill="1" applyBorder="1" applyProtection="1"/>
    <xf numFmtId="3" fontId="3" fillId="9" borderId="19" xfId="0" applyNumberFormat="1" applyFont="1" applyFill="1" applyBorder="1" applyProtection="1"/>
    <xf numFmtId="172" fontId="37" fillId="0" borderId="0" xfId="0" applyNumberFormat="1" applyFont="1" applyFill="1" applyBorder="1" applyAlignment="1" applyProtection="1">
      <alignment horizontal="left" vertical="justify" wrapText="1"/>
    </xf>
    <xf numFmtId="0" fontId="4" fillId="21" borderId="113" xfId="0" applyFont="1" applyFill="1" applyBorder="1" applyAlignment="1" applyProtection="1">
      <alignment horizontal="right"/>
    </xf>
    <xf numFmtId="0" fontId="9" fillId="21" borderId="94" xfId="0" applyFont="1" applyFill="1" applyBorder="1" applyAlignment="1" applyProtection="1">
      <alignment horizontal="center"/>
    </xf>
    <xf numFmtId="0" fontId="9" fillId="21" borderId="122" xfId="0" applyFont="1" applyFill="1" applyBorder="1" applyAlignment="1" applyProtection="1">
      <alignment horizontal="center"/>
    </xf>
    <xf numFmtId="0" fontId="9" fillId="21" borderId="125" xfId="0" applyFont="1" applyFill="1" applyBorder="1" applyAlignment="1" applyProtection="1">
      <alignment horizontal="center"/>
    </xf>
    <xf numFmtId="0" fontId="4" fillId="21" borderId="94" xfId="0" applyFont="1" applyFill="1" applyBorder="1" applyAlignment="1" applyProtection="1">
      <alignment horizontal="center"/>
    </xf>
    <xf numFmtId="0" fontId="9" fillId="0" borderId="119" xfId="0" applyFont="1" applyFill="1" applyBorder="1" applyAlignment="1" applyProtection="1">
      <alignment horizontal="center"/>
    </xf>
    <xf numFmtId="0" fontId="4" fillId="0" borderId="119" xfId="0" applyFont="1" applyFill="1" applyBorder="1" applyAlignment="1" applyProtection="1">
      <alignment horizontal="right"/>
    </xf>
    <xf numFmtId="0" fontId="37" fillId="0" borderId="0" xfId="0" applyFont="1" applyFill="1" applyAlignment="1" applyProtection="1">
      <alignment horizontal="right"/>
    </xf>
    <xf numFmtId="49" fontId="25" fillId="2" borderId="119" xfId="0" applyNumberFormat="1" applyFont="1" applyFill="1" applyBorder="1" applyProtection="1"/>
    <xf numFmtId="0" fontId="25" fillId="2" borderId="119" xfId="0" applyFont="1" applyFill="1" applyBorder="1" applyProtection="1"/>
    <xf numFmtId="0" fontId="9" fillId="2" borderId="119" xfId="0" applyFont="1" applyFill="1" applyBorder="1" applyProtection="1"/>
    <xf numFmtId="0" fontId="3" fillId="0" borderId="0" xfId="0" applyFont="1" applyFill="1" applyBorder="1" applyAlignment="1" applyProtection="1">
      <alignment vertical="top"/>
    </xf>
    <xf numFmtId="0" fontId="3" fillId="0" borderId="0" xfId="0" applyFont="1" applyFill="1" applyBorder="1" applyAlignment="1" applyProtection="1"/>
    <xf numFmtId="0" fontId="25" fillId="2" borderId="0" xfId="0" applyFont="1" applyFill="1" applyBorder="1" applyAlignment="1" applyProtection="1">
      <alignment vertical="top"/>
    </xf>
    <xf numFmtId="0" fontId="0" fillId="0" borderId="0" xfId="0" applyBorder="1" applyAlignment="1">
      <alignment vertical="top"/>
    </xf>
    <xf numFmtId="0" fontId="3" fillId="0" borderId="66" xfId="0" applyFont="1" applyFill="1" applyBorder="1" applyAlignment="1" applyProtection="1">
      <alignment vertical="top"/>
    </xf>
    <xf numFmtId="0" fontId="3" fillId="0" borderId="1" xfId="0" applyFont="1" applyFill="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wrapText="1"/>
    </xf>
    <xf numFmtId="0" fontId="38" fillId="0" borderId="57" xfId="0" applyFont="1" applyFill="1" applyBorder="1" applyProtection="1"/>
    <xf numFmtId="0" fontId="38" fillId="0" borderId="0" xfId="0" applyFont="1" applyFill="1" applyProtection="1"/>
    <xf numFmtId="0" fontId="112" fillId="0" borderId="0" xfId="0" applyFont="1" applyFill="1" applyProtection="1"/>
    <xf numFmtId="0" fontId="6" fillId="21" borderId="41" xfId="0" applyFont="1" applyFill="1" applyBorder="1" applyAlignment="1" applyProtection="1">
      <alignment wrapText="1"/>
    </xf>
    <xf numFmtId="3" fontId="3" fillId="28" borderId="18" xfId="0" applyNumberFormat="1" applyFont="1" applyFill="1" applyBorder="1" applyAlignment="1" applyProtection="1">
      <alignment horizontal="right"/>
    </xf>
    <xf numFmtId="3" fontId="3" fillId="21" borderId="113" xfId="0" applyNumberFormat="1" applyFont="1" applyFill="1" applyBorder="1" applyAlignment="1" applyProtection="1">
      <alignment horizontal="right"/>
    </xf>
    <xf numFmtId="3" fontId="3" fillId="21" borderId="13" xfId="0" applyNumberFormat="1" applyFont="1" applyFill="1" applyBorder="1" applyAlignment="1" applyProtection="1">
      <alignment horizontal="right"/>
    </xf>
    <xf numFmtId="3" fontId="11" fillId="28" borderId="7" xfId="0" applyNumberFormat="1" applyFont="1" applyFill="1" applyBorder="1" applyProtection="1"/>
    <xf numFmtId="3" fontId="11" fillId="28" borderId="5" xfId="0" applyNumberFormat="1" applyFont="1" applyFill="1" applyBorder="1" applyProtection="1"/>
    <xf numFmtId="3" fontId="11" fillId="28" borderId="19" xfId="0" applyNumberFormat="1" applyFont="1" applyFill="1" applyBorder="1" applyProtection="1"/>
    <xf numFmtId="0" fontId="37" fillId="21" borderId="0" xfId="0" applyFont="1" applyFill="1" applyBorder="1" applyAlignment="1" applyProtection="1"/>
    <xf numFmtId="0" fontId="37" fillId="21" borderId="38" xfId="0" applyFont="1" applyFill="1" applyBorder="1" applyAlignment="1" applyProtection="1"/>
    <xf numFmtId="49" fontId="3" fillId="10" borderId="134" xfId="0" applyNumberFormat="1" applyFont="1" applyFill="1" applyBorder="1" applyAlignment="1" applyProtection="1"/>
    <xf numFmtId="0" fontId="37" fillId="21" borderId="57" xfId="0" applyFont="1" applyFill="1" applyBorder="1" applyProtection="1"/>
    <xf numFmtId="0" fontId="116" fillId="7" borderId="0" xfId="0" applyFont="1" applyFill="1" applyProtection="1"/>
    <xf numFmtId="3" fontId="112" fillId="0" borderId="0" xfId="0" quotePrefix="1" applyNumberFormat="1" applyFont="1" applyFill="1" applyBorder="1" applyAlignment="1" applyProtection="1">
      <alignment horizontal="left"/>
    </xf>
    <xf numFmtId="49" fontId="4" fillId="0" borderId="0" xfId="0" applyNumberFormat="1" applyFont="1" applyFill="1" applyBorder="1" applyAlignment="1" applyProtection="1">
      <alignment horizontal="left"/>
    </xf>
    <xf numFmtId="1" fontId="6" fillId="0" borderId="0" xfId="0" applyNumberFormat="1" applyFont="1" applyFill="1" applyBorder="1" applyAlignment="1" applyProtection="1">
      <alignment horizontal="left"/>
    </xf>
    <xf numFmtId="0" fontId="92" fillId="0" borderId="0" xfId="0" applyFont="1" applyFill="1" applyProtection="1"/>
    <xf numFmtId="0" fontId="112" fillId="2" borderId="0" xfId="0" applyFont="1" applyFill="1" applyProtection="1"/>
    <xf numFmtId="167" fontId="46" fillId="21" borderId="0" xfId="0" applyNumberFormat="1" applyFont="1" applyFill="1" applyBorder="1" applyProtection="1"/>
    <xf numFmtId="3" fontId="46" fillId="22" borderId="0" xfId="0" applyNumberFormat="1" applyFont="1" applyFill="1" applyBorder="1" applyAlignment="1" applyProtection="1">
      <alignment horizontal="right"/>
    </xf>
    <xf numFmtId="3" fontId="46" fillId="23" borderId="0" xfId="0" applyNumberFormat="1" applyFont="1" applyFill="1" applyBorder="1" applyProtection="1"/>
    <xf numFmtId="167" fontId="46" fillId="0" borderId="0" xfId="0" applyNumberFormat="1" applyFont="1" applyFill="1" applyBorder="1" applyProtection="1"/>
    <xf numFmtId="3" fontId="46" fillId="0" borderId="0" xfId="0" applyNumberFormat="1" applyFont="1" applyFill="1" applyBorder="1" applyAlignment="1" applyProtection="1">
      <alignment horizontal="right"/>
    </xf>
    <xf numFmtId="3" fontId="46" fillId="0" borderId="0" xfId="0" applyNumberFormat="1" applyFont="1" applyFill="1" applyBorder="1" applyProtection="1"/>
    <xf numFmtId="3" fontId="46" fillId="22" borderId="117" xfId="0" applyNumberFormat="1" applyFont="1" applyFill="1" applyBorder="1" applyProtection="1"/>
    <xf numFmtId="0" fontId="25" fillId="21" borderId="152" xfId="0" applyFont="1" applyFill="1" applyBorder="1" applyAlignment="1" applyProtection="1">
      <alignment horizontal="left" wrapText="1"/>
    </xf>
    <xf numFmtId="0" fontId="4" fillId="21" borderId="151" xfId="0" applyFont="1" applyFill="1" applyBorder="1" applyAlignment="1" applyProtection="1">
      <alignment vertical="top" wrapText="1"/>
    </xf>
    <xf numFmtId="0" fontId="4" fillId="21" borderId="131" xfId="0" applyFont="1" applyFill="1" applyBorder="1" applyAlignment="1" applyProtection="1">
      <alignment horizontal="left" vertical="top" wrapText="1"/>
    </xf>
    <xf numFmtId="49" fontId="4" fillId="21" borderId="128" xfId="0" applyNumberFormat="1" applyFont="1" applyFill="1" applyBorder="1" applyAlignment="1" applyProtection="1">
      <alignment horizontal="left"/>
    </xf>
    <xf numFmtId="0" fontId="9" fillId="0" borderId="0" xfId="0" applyFont="1" applyFill="1" applyBorder="1" applyAlignment="1" applyProtection="1">
      <alignment horizontal="center"/>
    </xf>
    <xf numFmtId="3" fontId="3" fillId="3" borderId="39" xfId="0" applyNumberFormat="1" applyFont="1" applyFill="1" applyBorder="1" applyProtection="1"/>
    <xf numFmtId="3" fontId="4" fillId="21" borderId="155" xfId="0" applyNumberFormat="1" applyFont="1" applyFill="1" applyBorder="1" applyAlignment="1" applyProtection="1">
      <alignment horizontal="left" vertical="top" wrapText="1"/>
    </xf>
    <xf numFmtId="0" fontId="4" fillId="21" borderId="55" xfId="0" applyFont="1" applyFill="1" applyBorder="1" applyAlignment="1" applyProtection="1">
      <alignment vertical="top" wrapText="1"/>
    </xf>
    <xf numFmtId="0" fontId="4" fillId="21" borderId="61" xfId="0" applyFont="1" applyFill="1" applyBorder="1" applyProtection="1"/>
    <xf numFmtId="3" fontId="4" fillId="21" borderId="152" xfId="0" applyNumberFormat="1" applyFont="1" applyFill="1" applyBorder="1" applyAlignment="1" applyProtection="1">
      <alignment vertical="top" wrapText="1"/>
    </xf>
    <xf numFmtId="3" fontId="4" fillId="21" borderId="16" xfId="0" applyNumberFormat="1" applyFont="1" applyFill="1" applyBorder="1" applyAlignment="1" applyProtection="1">
      <alignment vertical="top" wrapText="1"/>
    </xf>
    <xf numFmtId="0" fontId="4" fillId="21" borderId="94" xfId="0" applyFont="1" applyFill="1" applyBorder="1" applyAlignment="1" applyProtection="1">
      <alignment vertical="top"/>
    </xf>
    <xf numFmtId="0" fontId="4" fillId="21" borderId="119" xfId="0" applyFont="1" applyFill="1" applyBorder="1" applyAlignment="1" applyProtection="1">
      <alignment vertical="top"/>
    </xf>
    <xf numFmtId="0" fontId="4" fillId="21" borderId="98" xfId="0" applyFont="1" applyFill="1" applyBorder="1" applyAlignment="1" applyProtection="1">
      <alignment vertical="top"/>
    </xf>
    <xf numFmtId="0" fontId="4" fillId="21" borderId="92" xfId="0" applyFont="1" applyFill="1" applyBorder="1" applyAlignment="1" applyProtection="1">
      <alignment vertical="top"/>
    </xf>
    <xf numFmtId="0" fontId="6" fillId="21" borderId="158" xfId="0" applyFont="1" applyFill="1" applyBorder="1" applyAlignment="1" applyProtection="1">
      <alignment vertical="top"/>
    </xf>
    <xf numFmtId="0" fontId="4" fillId="21" borderId="158" xfId="0" applyFont="1" applyFill="1" applyBorder="1" applyAlignment="1" applyProtection="1">
      <alignment vertical="top"/>
    </xf>
    <xf numFmtId="0" fontId="4" fillId="21" borderId="191" xfId="0" applyFont="1" applyFill="1" applyBorder="1" applyAlignment="1" applyProtection="1">
      <alignment vertical="top"/>
    </xf>
    <xf numFmtId="0" fontId="8" fillId="0" borderId="0" xfId="0" applyFont="1" applyFill="1" applyBorder="1" applyAlignment="1" applyProtection="1">
      <alignment vertical="top"/>
    </xf>
    <xf numFmtId="0" fontId="6" fillId="21" borderId="184" xfId="0" applyFont="1" applyFill="1" applyBorder="1" applyAlignment="1" applyProtection="1">
      <alignment vertical="center"/>
    </xf>
    <xf numFmtId="0" fontId="6" fillId="21" borderId="192" xfId="0" applyFont="1" applyFill="1" applyBorder="1" applyAlignment="1" applyProtection="1">
      <alignment vertical="center"/>
    </xf>
    <xf numFmtId="1" fontId="9" fillId="21" borderId="125" xfId="0" applyNumberFormat="1" applyFont="1" applyFill="1" applyBorder="1" applyAlignment="1" applyProtection="1">
      <alignment horizontal="left"/>
    </xf>
    <xf numFmtId="1" fontId="9" fillId="21" borderId="90" xfId="0" applyNumberFormat="1" applyFont="1" applyFill="1" applyBorder="1" applyAlignment="1" applyProtection="1">
      <alignment horizontal="left"/>
    </xf>
    <xf numFmtId="3" fontId="9" fillId="21" borderId="7" xfId="0" applyNumberFormat="1" applyFont="1" applyFill="1" applyBorder="1" applyProtection="1"/>
    <xf numFmtId="0" fontId="4" fillId="21" borderId="97" xfId="5" applyFont="1" applyFill="1" applyBorder="1" applyAlignment="1" applyProtection="1">
      <alignment horizontal="left" wrapText="1"/>
    </xf>
    <xf numFmtId="0" fontId="4" fillId="21" borderId="55" xfId="5" applyFont="1" applyFill="1" applyBorder="1" applyAlignment="1" applyProtection="1">
      <alignment horizontal="right"/>
    </xf>
    <xf numFmtId="3" fontId="3" fillId="0" borderId="0" xfId="0" applyNumberFormat="1" applyFont="1" applyFill="1" applyBorder="1" applyProtection="1"/>
    <xf numFmtId="3" fontId="14" fillId="2" borderId="178" xfId="0" applyNumberFormat="1" applyFont="1" applyFill="1" applyBorder="1" applyAlignment="1" applyProtection="1">
      <alignment horizontal="right"/>
      <protection locked="0"/>
    </xf>
    <xf numFmtId="0" fontId="4" fillId="21" borderId="84" xfId="0" applyFont="1" applyFill="1" applyBorder="1" applyAlignment="1" applyProtection="1">
      <alignment vertical="top" wrapText="1"/>
    </xf>
    <xf numFmtId="0" fontId="4" fillId="21" borderId="113" xfId="0" applyFont="1" applyFill="1" applyBorder="1" applyAlignment="1" applyProtection="1">
      <alignment vertical="top" wrapText="1"/>
    </xf>
    <xf numFmtId="3" fontId="4" fillId="21" borderId="43" xfId="5" applyNumberFormat="1" applyFont="1" applyFill="1" applyBorder="1" applyAlignment="1" applyProtection="1">
      <alignment vertical="center"/>
    </xf>
    <xf numFmtId="3" fontId="6" fillId="21" borderId="153" xfId="5" applyNumberFormat="1" applyFont="1" applyFill="1" applyBorder="1" applyAlignment="1" applyProtection="1">
      <alignment vertical="top"/>
    </xf>
    <xf numFmtId="3" fontId="107" fillId="21" borderId="15" xfId="0" applyNumberFormat="1" applyFont="1" applyFill="1" applyBorder="1" applyAlignment="1" applyProtection="1">
      <alignment vertical="center"/>
    </xf>
    <xf numFmtId="0" fontId="6" fillId="21" borderId="119" xfId="0" applyFont="1" applyFill="1" applyBorder="1" applyProtection="1"/>
    <xf numFmtId="49" fontId="6" fillId="21" borderId="94" xfId="0" applyNumberFormat="1" applyFont="1" applyFill="1" applyBorder="1" applyAlignment="1" applyProtection="1">
      <alignment horizontal="left"/>
    </xf>
    <xf numFmtId="49" fontId="6" fillId="21" borderId="122" xfId="0" applyNumberFormat="1" applyFont="1" applyFill="1" applyBorder="1" applyAlignment="1" applyProtection="1">
      <alignment horizontal="left" vertical="top"/>
    </xf>
    <xf numFmtId="49" fontId="3" fillId="10" borderId="152" xfId="0" applyNumberFormat="1" applyFont="1" applyFill="1" applyBorder="1" applyAlignment="1" applyProtection="1"/>
    <xf numFmtId="3" fontId="47" fillId="18" borderId="38" xfId="0" applyNumberFormat="1" applyFont="1" applyFill="1" applyBorder="1" applyAlignment="1" applyProtection="1">
      <alignment horizontal="right"/>
    </xf>
    <xf numFmtId="0" fontId="0" fillId="0" borderId="0" xfId="0" applyFill="1" applyAlignment="1" applyProtection="1">
      <alignment vertical="top"/>
    </xf>
    <xf numFmtId="0" fontId="112" fillId="0" borderId="0" xfId="0" applyFont="1" applyFill="1" applyBorder="1" applyAlignment="1" applyProtection="1">
      <alignment horizontal="right"/>
    </xf>
    <xf numFmtId="0" fontId="95" fillId="0" borderId="0" xfId="0" applyFont="1" applyFill="1" applyProtection="1"/>
    <xf numFmtId="0" fontId="6" fillId="0" borderId="0" xfId="0" applyFont="1" applyFill="1" applyBorder="1" applyAlignment="1" applyProtection="1">
      <alignment horizontal="center"/>
    </xf>
    <xf numFmtId="0" fontId="112" fillId="0" borderId="0" xfId="0" applyFont="1" applyFill="1" applyBorder="1" applyAlignment="1" applyProtection="1">
      <alignment horizontal="left"/>
    </xf>
    <xf numFmtId="9" fontId="112" fillId="0" borderId="0" xfId="0" applyNumberFormat="1" applyFont="1" applyFill="1" applyBorder="1" applyAlignment="1" applyProtection="1">
      <alignment horizontal="right"/>
    </xf>
    <xf numFmtId="0" fontId="4" fillId="0" borderId="0" xfId="0" applyFont="1" applyFill="1" applyBorder="1" applyAlignment="1" applyProtection="1">
      <alignment horizontal="center"/>
    </xf>
    <xf numFmtId="1"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horizontal="right"/>
    </xf>
    <xf numFmtId="0" fontId="99" fillId="0" borderId="0" xfId="0" applyFont="1" applyFill="1" applyBorder="1" applyProtection="1"/>
    <xf numFmtId="0" fontId="8" fillId="0" borderId="0" xfId="0" applyFont="1" applyFill="1" applyBorder="1" applyAlignment="1" applyProtection="1"/>
    <xf numFmtId="3" fontId="6" fillId="0" borderId="0" xfId="0" applyNumberFormat="1" applyFont="1" applyFill="1" applyBorder="1" applyProtection="1"/>
    <xf numFmtId="3" fontId="6" fillId="0" borderId="0" xfId="0" applyNumberFormat="1" applyFont="1" applyFill="1" applyBorder="1" applyAlignment="1" applyProtection="1">
      <alignment horizontal="center" vertical="center" wrapText="1"/>
    </xf>
    <xf numFmtId="1" fontId="4"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left"/>
    </xf>
    <xf numFmtId="49" fontId="4" fillId="0" borderId="0" xfId="0" applyNumberFormat="1" applyFont="1" applyFill="1" applyBorder="1" applyAlignment="1" applyProtection="1">
      <alignment horizontal="center"/>
    </xf>
    <xf numFmtId="49" fontId="9" fillId="0" borderId="0" xfId="0" applyNumberFormat="1" applyFont="1" applyFill="1" applyBorder="1" applyAlignment="1" applyProtection="1">
      <alignment horizontal="left"/>
    </xf>
    <xf numFmtId="3" fontId="4" fillId="21" borderId="72" xfId="0" applyNumberFormat="1" applyFont="1" applyFill="1" applyBorder="1" applyAlignment="1" applyProtection="1"/>
    <xf numFmtId="3" fontId="9" fillId="21" borderId="73" xfId="0" applyNumberFormat="1" applyFont="1" applyFill="1" applyBorder="1" applyAlignment="1" applyProtection="1"/>
    <xf numFmtId="3" fontId="9" fillId="21" borderId="88" xfId="0" applyNumberFormat="1" applyFont="1" applyFill="1" applyBorder="1" applyAlignment="1" applyProtection="1"/>
    <xf numFmtId="3" fontId="3" fillId="0" borderId="193" xfId="0" applyNumberFormat="1" applyFont="1" applyFill="1" applyBorder="1" applyAlignment="1" applyProtection="1">
      <alignment horizontal="right"/>
      <protection locked="0"/>
    </xf>
    <xf numFmtId="49" fontId="4" fillId="0" borderId="0" xfId="9" applyNumberFormat="1" applyFont="1" applyFill="1" applyAlignment="1" applyProtection="1">
      <alignment horizontal="left"/>
    </xf>
    <xf numFmtId="0" fontId="4" fillId="21" borderId="69" xfId="0" applyFont="1" applyFill="1" applyBorder="1" applyProtection="1"/>
    <xf numFmtId="0" fontId="6" fillId="21" borderId="13" xfId="0" applyFont="1" applyFill="1" applyBorder="1" applyAlignment="1" applyProtection="1">
      <alignment vertical="top" wrapText="1"/>
    </xf>
    <xf numFmtId="0" fontId="17" fillId="21" borderId="25" xfId="0" applyFont="1" applyFill="1" applyBorder="1" applyProtection="1"/>
    <xf numFmtId="0" fontId="6" fillId="21" borderId="80" xfId="0" applyFont="1" applyFill="1" applyBorder="1" applyAlignment="1" applyProtection="1">
      <alignment wrapText="1"/>
    </xf>
    <xf numFmtId="1" fontId="4" fillId="21" borderId="13" xfId="0" applyNumberFormat="1" applyFont="1" applyFill="1" applyBorder="1" applyAlignment="1" applyProtection="1">
      <alignment horizontal="center"/>
    </xf>
    <xf numFmtId="0" fontId="4" fillId="21" borderId="13" xfId="0" applyFont="1" applyFill="1" applyBorder="1" applyProtection="1"/>
    <xf numFmtId="1" fontId="9" fillId="0" borderId="0" xfId="0" applyNumberFormat="1" applyFont="1" applyFill="1" applyBorder="1" applyAlignment="1" applyProtection="1">
      <alignment horizontal="center"/>
    </xf>
    <xf numFmtId="1" fontId="4" fillId="0" borderId="0" xfId="0" applyNumberFormat="1" applyFont="1" applyFill="1" applyBorder="1" applyAlignment="1" applyProtection="1">
      <alignment horizontal="center" vertical="center" wrapText="1"/>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17" fillId="0" borderId="57" xfId="0" applyFont="1" applyFill="1" applyBorder="1" applyProtection="1"/>
    <xf numFmtId="0" fontId="117" fillId="2" borderId="0" xfId="0" applyFont="1" applyFill="1" applyBorder="1" applyProtection="1"/>
    <xf numFmtId="0" fontId="117" fillId="29" borderId="0" xfId="0" applyFont="1" applyFill="1" applyProtection="1"/>
    <xf numFmtId="0" fontId="6" fillId="21" borderId="184" xfId="5" applyFont="1" applyFill="1" applyBorder="1" applyProtection="1"/>
    <xf numFmtId="3" fontId="6" fillId="21" borderId="151" xfId="5" applyNumberFormat="1" applyFont="1" applyFill="1" applyBorder="1" applyProtection="1"/>
    <xf numFmtId="0" fontId="6" fillId="21" borderId="112" xfId="5" applyFont="1" applyFill="1" applyBorder="1" applyProtection="1"/>
    <xf numFmtId="0" fontId="13" fillId="21" borderId="153" xfId="5" applyFont="1" applyFill="1" applyBorder="1" applyProtection="1"/>
    <xf numFmtId="0" fontId="4" fillId="21" borderId="16" xfId="5" applyFont="1" applyFill="1" applyBorder="1" applyAlignment="1" applyProtection="1">
      <alignment vertical="top" wrapText="1"/>
    </xf>
    <xf numFmtId="3" fontId="6" fillId="21" borderId="153" xfId="0" applyNumberFormat="1" applyFont="1" applyFill="1" applyBorder="1" applyAlignment="1" applyProtection="1">
      <alignment vertical="top"/>
    </xf>
    <xf numFmtId="3" fontId="4" fillId="21" borderId="90" xfId="5" applyNumberFormat="1" applyFont="1" applyFill="1" applyBorder="1" applyAlignment="1" applyProtection="1"/>
    <xf numFmtId="168" fontId="10" fillId="0" borderId="0" xfId="0" applyNumberFormat="1" applyFont="1" applyFill="1" applyBorder="1" applyProtection="1"/>
    <xf numFmtId="0" fontId="101" fillId="0" borderId="0" xfId="0" applyFont="1" applyFill="1" applyBorder="1" applyProtection="1"/>
    <xf numFmtId="0" fontId="101" fillId="0" borderId="0" xfId="0" applyFont="1" applyFill="1" applyBorder="1" applyAlignment="1" applyProtection="1">
      <alignment horizontal="center"/>
    </xf>
    <xf numFmtId="0" fontId="4" fillId="21" borderId="149" xfId="0" applyFont="1" applyFill="1" applyBorder="1" applyAlignment="1" applyProtection="1">
      <alignment horizontal="left" vertical="top" wrapText="1"/>
    </xf>
    <xf numFmtId="0" fontId="4" fillId="21" borderId="87" xfId="0" applyFont="1" applyFill="1" applyBorder="1" applyAlignment="1" applyProtection="1">
      <alignment horizontal="left" vertical="top"/>
    </xf>
    <xf numFmtId="3" fontId="4" fillId="21" borderId="26" xfId="0" applyNumberFormat="1" applyFont="1" applyFill="1" applyBorder="1" applyAlignment="1" applyProtection="1">
      <alignment vertical="top" wrapText="1"/>
    </xf>
    <xf numFmtId="0" fontId="18" fillId="21" borderId="153" xfId="0" applyFont="1" applyFill="1" applyBorder="1" applyAlignment="1" applyProtection="1">
      <alignment vertical="top" wrapText="1"/>
    </xf>
    <xf numFmtId="0" fontId="4" fillId="21" borderId="168" xfId="0" applyFont="1" applyFill="1" applyBorder="1" applyAlignment="1" applyProtection="1">
      <alignment horizontal="left" wrapText="1"/>
    </xf>
    <xf numFmtId="0" fontId="18" fillId="21" borderId="152" xfId="0" applyFont="1" applyFill="1" applyBorder="1" applyAlignment="1" applyProtection="1">
      <alignment vertical="top" wrapText="1"/>
    </xf>
    <xf numFmtId="0" fontId="4" fillId="21" borderId="16" xfId="5" applyFont="1" applyFill="1" applyBorder="1" applyAlignment="1" applyProtection="1">
      <alignment horizontal="left" vertical="center" wrapText="1"/>
    </xf>
    <xf numFmtId="0" fontId="6" fillId="21" borderId="185" xfId="5" applyFont="1" applyFill="1" applyBorder="1" applyProtection="1"/>
    <xf numFmtId="0" fontId="113" fillId="2" borderId="0" xfId="0" applyFont="1" applyFill="1" applyProtection="1"/>
    <xf numFmtId="3" fontId="4" fillId="21" borderId="155" xfId="0" applyNumberFormat="1" applyFont="1" applyFill="1" applyBorder="1" applyAlignment="1" applyProtection="1">
      <alignment horizontal="left" vertical="top"/>
    </xf>
    <xf numFmtId="3" fontId="3" fillId="2" borderId="3" xfId="0" applyNumberFormat="1" applyFont="1" applyFill="1" applyBorder="1" applyAlignment="1" applyProtection="1">
      <alignment horizontal="right"/>
      <protection locked="0"/>
    </xf>
    <xf numFmtId="3" fontId="3" fillId="3" borderId="3" xfId="0" applyNumberFormat="1" applyFont="1" applyFill="1" applyBorder="1" applyAlignment="1" applyProtection="1">
      <alignment horizontal="right"/>
    </xf>
    <xf numFmtId="3" fontId="3" fillId="2" borderId="28" xfId="0" applyNumberFormat="1" applyFont="1" applyFill="1" applyBorder="1" applyAlignment="1" applyProtection="1">
      <alignment horizontal="right"/>
      <protection locked="0"/>
    </xf>
    <xf numFmtId="3" fontId="3" fillId="3" borderId="99" xfId="0" applyNumberFormat="1" applyFont="1" applyFill="1" applyBorder="1" applyAlignment="1" applyProtection="1">
      <alignment horizontal="right"/>
    </xf>
    <xf numFmtId="3" fontId="4" fillId="21" borderId="75" xfId="0" applyNumberFormat="1" applyFont="1" applyFill="1" applyBorder="1" applyProtection="1"/>
    <xf numFmtId="3" fontId="6" fillId="0" borderId="57" xfId="0" applyNumberFormat="1" applyFont="1" applyFill="1" applyBorder="1" applyProtection="1"/>
    <xf numFmtId="3" fontId="6" fillId="0" borderId="56" xfId="0" applyNumberFormat="1" applyFont="1" applyFill="1" applyBorder="1" applyProtection="1"/>
    <xf numFmtId="0" fontId="25" fillId="2" borderId="57" xfId="0" applyFont="1" applyFill="1" applyBorder="1" applyProtection="1"/>
    <xf numFmtId="0" fontId="4" fillId="21" borderId="108" xfId="0" applyFont="1" applyFill="1" applyBorder="1" applyProtection="1"/>
    <xf numFmtId="0" fontId="4" fillId="21" borderId="27" xfId="0" applyFont="1" applyFill="1" applyBorder="1" applyProtection="1"/>
    <xf numFmtId="3" fontId="3" fillId="22" borderId="0" xfId="0" applyNumberFormat="1" applyFont="1" applyFill="1" applyBorder="1" applyAlignment="1" applyProtection="1">
      <alignment horizontal="right"/>
    </xf>
    <xf numFmtId="0" fontId="3" fillId="22" borderId="0" xfId="0" applyFont="1" applyFill="1" applyBorder="1" applyProtection="1"/>
    <xf numFmtId="14" fontId="4" fillId="21" borderId="119" xfId="0" applyNumberFormat="1" applyFont="1" applyFill="1" applyBorder="1" applyAlignment="1" applyProtection="1">
      <alignment horizontal="center"/>
    </xf>
    <xf numFmtId="0" fontId="4" fillId="21" borderId="97" xfId="0" applyFont="1" applyFill="1" applyBorder="1" applyProtection="1"/>
    <xf numFmtId="14" fontId="4" fillId="21" borderId="91" xfId="0" applyNumberFormat="1" applyFont="1" applyFill="1" applyBorder="1" applyAlignment="1" applyProtection="1">
      <alignment horizontal="center"/>
    </xf>
    <xf numFmtId="3" fontId="3" fillId="22" borderId="38" xfId="0" applyNumberFormat="1" applyFont="1" applyFill="1" applyBorder="1" applyAlignment="1" applyProtection="1">
      <alignment horizontal="right"/>
    </xf>
    <xf numFmtId="0" fontId="3" fillId="22" borderId="38" xfId="0" applyFont="1" applyFill="1" applyBorder="1" applyProtection="1"/>
    <xf numFmtId="14" fontId="4" fillId="21" borderId="0" xfId="0" applyNumberFormat="1" applyFont="1" applyFill="1" applyBorder="1" applyAlignment="1" applyProtection="1">
      <alignment horizontal="center"/>
    </xf>
    <xf numFmtId="0" fontId="4" fillId="21" borderId="38" xfId="0" applyFont="1" applyFill="1" applyBorder="1" applyProtection="1"/>
    <xf numFmtId="0" fontId="4" fillId="21" borderId="66" xfId="0" applyFont="1" applyFill="1" applyBorder="1" applyProtection="1"/>
    <xf numFmtId="0" fontId="3" fillId="21" borderId="27" xfId="0" applyFont="1" applyFill="1" applyBorder="1" applyProtection="1"/>
    <xf numFmtId="14" fontId="4" fillId="21" borderId="38" xfId="0" applyNumberFormat="1" applyFont="1" applyFill="1" applyBorder="1" applyAlignment="1" applyProtection="1">
      <alignment horizontal="center"/>
    </xf>
    <xf numFmtId="49" fontId="3" fillId="10" borderId="37" xfId="0" applyNumberFormat="1" applyFont="1" applyFill="1" applyBorder="1" applyAlignment="1" applyProtection="1"/>
    <xf numFmtId="0" fontId="4" fillId="21" borderId="109" xfId="0" applyFont="1" applyFill="1" applyBorder="1" applyProtection="1"/>
    <xf numFmtId="0" fontId="4" fillId="21" borderId="67" xfId="0" applyFont="1" applyFill="1" applyBorder="1" applyAlignment="1" applyProtection="1">
      <alignment wrapText="1"/>
    </xf>
    <xf numFmtId="0" fontId="4" fillId="21" borderId="153" xfId="0" applyFont="1" applyFill="1" applyBorder="1" applyAlignment="1" applyProtection="1">
      <alignment vertical="top" wrapText="1"/>
    </xf>
    <xf numFmtId="49" fontId="4" fillId="21" borderId="41" xfId="0" applyNumberFormat="1" applyFont="1" applyFill="1" applyBorder="1" applyAlignment="1" applyProtection="1">
      <alignment horizontal="center" wrapText="1"/>
    </xf>
    <xf numFmtId="49" fontId="4" fillId="21" borderId="127" xfId="0" applyNumberFormat="1" applyFont="1" applyFill="1" applyBorder="1" applyAlignment="1" applyProtection="1">
      <alignment horizontal="center"/>
    </xf>
    <xf numFmtId="49" fontId="4" fillId="21" borderId="128" xfId="0" applyNumberFormat="1" applyFont="1" applyFill="1" applyBorder="1" applyAlignment="1" applyProtection="1">
      <alignment horizontal="center"/>
    </xf>
    <xf numFmtId="0" fontId="4" fillId="21" borderId="5" xfId="0" applyFont="1" applyFill="1" applyBorder="1" applyAlignment="1" applyProtection="1">
      <alignment horizontal="center" wrapText="1"/>
    </xf>
    <xf numFmtId="49" fontId="4" fillId="21" borderId="34" xfId="0" applyNumberFormat="1" applyFont="1" applyFill="1" applyBorder="1" applyAlignment="1" applyProtection="1">
      <alignment horizontal="center"/>
    </xf>
    <xf numFmtId="49" fontId="4" fillId="21" borderId="35" xfId="0" applyNumberFormat="1" applyFont="1" applyFill="1" applyBorder="1" applyAlignment="1" applyProtection="1">
      <alignment horizontal="center"/>
    </xf>
    <xf numFmtId="49" fontId="4" fillId="21" borderId="102" xfId="0" applyNumberFormat="1" applyFont="1" applyFill="1" applyBorder="1" applyAlignment="1" applyProtection="1">
      <alignment horizontal="center"/>
    </xf>
    <xf numFmtId="1" fontId="4" fillId="21" borderId="2" xfId="0" applyNumberFormat="1" applyFont="1" applyFill="1" applyBorder="1" applyAlignment="1" applyProtection="1">
      <alignment horizontal="center" wrapText="1"/>
    </xf>
    <xf numFmtId="0" fontId="9" fillId="0" borderId="0" xfId="0" applyFont="1" applyFill="1" applyProtection="1"/>
    <xf numFmtId="1" fontId="4" fillId="21" borderId="41" xfId="0" applyNumberFormat="1" applyFont="1" applyFill="1" applyBorder="1" applyAlignment="1" applyProtection="1">
      <alignment horizontal="center" vertical="top" wrapText="1"/>
    </xf>
    <xf numFmtId="49" fontId="4" fillId="21" borderId="9" xfId="0" applyNumberFormat="1" applyFont="1" applyFill="1" applyBorder="1" applyAlignment="1" applyProtection="1">
      <alignment horizontal="center"/>
    </xf>
    <xf numFmtId="0" fontId="4" fillId="21" borderId="87" xfId="0" applyFont="1" applyFill="1" applyBorder="1" applyAlignment="1" applyProtection="1">
      <alignment horizontal="center"/>
    </xf>
    <xf numFmtId="0" fontId="4" fillId="30" borderId="97" xfId="0" applyFont="1" applyFill="1" applyBorder="1" applyAlignment="1" applyProtection="1">
      <alignment horizontal="left" vertical="top" wrapText="1"/>
    </xf>
    <xf numFmtId="0" fontId="4" fillId="30" borderId="112" xfId="0" applyFont="1" applyFill="1" applyBorder="1" applyAlignment="1" applyProtection="1">
      <alignment horizontal="left" vertical="top"/>
    </xf>
    <xf numFmtId="0" fontId="0" fillId="30" borderId="43" xfId="0" applyFill="1" applyBorder="1" applyProtection="1"/>
    <xf numFmtId="0" fontId="4" fillId="30" borderId="16" xfId="0" applyFont="1" applyFill="1" applyBorder="1" applyAlignment="1" applyProtection="1">
      <alignment horizontal="left" vertical="top" wrapText="1"/>
    </xf>
    <xf numFmtId="3" fontId="4" fillId="30" borderId="162" xfId="0" applyNumberFormat="1" applyFont="1" applyFill="1" applyBorder="1" applyProtection="1"/>
    <xf numFmtId="3" fontId="4" fillId="30" borderId="97" xfId="0" applyNumberFormat="1" applyFont="1" applyFill="1" applyBorder="1" applyAlignment="1" applyProtection="1">
      <alignment horizontal="left" vertical="top" wrapText="1"/>
    </xf>
    <xf numFmtId="0" fontId="4" fillId="30" borderId="115" xfId="0" applyFont="1" applyFill="1" applyBorder="1" applyAlignment="1" applyProtection="1">
      <alignment horizontal="left" vertical="top" wrapText="1"/>
    </xf>
    <xf numFmtId="3" fontId="4" fillId="30" borderId="113" xfId="0" applyNumberFormat="1" applyFont="1" applyFill="1" applyBorder="1" applyAlignment="1" applyProtection="1">
      <alignment horizontal="left" wrapText="1"/>
    </xf>
    <xf numFmtId="49" fontId="4" fillId="30" borderId="113" xfId="0" applyNumberFormat="1" applyFont="1" applyFill="1" applyBorder="1" applyAlignment="1" applyProtection="1">
      <alignment vertical="top"/>
    </xf>
    <xf numFmtId="3" fontId="4" fillId="30" borderId="97" xfId="0" applyNumberFormat="1" applyFont="1" applyFill="1" applyBorder="1" applyAlignment="1" applyProtection="1">
      <alignment vertical="top"/>
    </xf>
    <xf numFmtId="3" fontId="4" fillId="30" borderId="84" xfId="0" applyNumberFormat="1" applyFont="1" applyFill="1" applyBorder="1" applyAlignment="1" applyProtection="1">
      <alignment vertical="top" wrapText="1"/>
    </xf>
    <xf numFmtId="3" fontId="4" fillId="30" borderId="16" xfId="0" applyNumberFormat="1" applyFont="1" applyFill="1" applyBorder="1" applyAlignment="1" applyProtection="1">
      <alignment horizontal="left" vertical="top" wrapText="1"/>
    </xf>
    <xf numFmtId="0" fontId="4" fillId="30" borderId="148" xfId="0" applyFont="1" applyFill="1" applyBorder="1" applyAlignment="1" applyProtection="1">
      <alignment horizontal="left" vertical="top" wrapText="1"/>
    </xf>
    <xf numFmtId="3" fontId="4" fillId="30" borderId="15" xfId="0" applyNumberFormat="1" applyFont="1" applyFill="1" applyBorder="1" applyAlignment="1" applyProtection="1">
      <alignment horizontal="left" vertical="top" wrapText="1"/>
    </xf>
    <xf numFmtId="0" fontId="12" fillId="30" borderId="0" xfId="0" applyFont="1" applyFill="1" applyBorder="1" applyProtection="1"/>
    <xf numFmtId="3" fontId="4" fillId="30" borderId="16" xfId="0" applyNumberFormat="1" applyFont="1" applyFill="1" applyBorder="1" applyAlignment="1" applyProtection="1">
      <alignment vertical="top"/>
    </xf>
    <xf numFmtId="3" fontId="9" fillId="30" borderId="59" xfId="0" applyNumberFormat="1" applyFont="1" applyFill="1" applyBorder="1" applyProtection="1"/>
    <xf numFmtId="0" fontId="6" fillId="30" borderId="43" xfId="0" applyFont="1" applyFill="1" applyBorder="1" applyProtection="1"/>
    <xf numFmtId="3" fontId="9" fillId="30" borderId="16" xfId="0" applyNumberFormat="1" applyFont="1" applyFill="1" applyBorder="1" applyAlignment="1" applyProtection="1">
      <alignment horizontal="left"/>
    </xf>
    <xf numFmtId="0" fontId="9" fillId="30" borderId="162" xfId="0" applyFont="1" applyFill="1" applyBorder="1" applyProtection="1"/>
    <xf numFmtId="3" fontId="9" fillId="30" borderId="148" xfId="0" applyNumberFormat="1" applyFont="1" applyFill="1" applyBorder="1" applyAlignment="1" applyProtection="1">
      <alignment horizontal="left" vertical="top"/>
    </xf>
    <xf numFmtId="0" fontId="0" fillId="30" borderId="0" xfId="0" applyFill="1" applyBorder="1" applyAlignment="1" applyProtection="1">
      <alignment vertical="top" wrapText="1"/>
    </xf>
    <xf numFmtId="0" fontId="12" fillId="30" borderId="16" xfId="0" applyFont="1" applyFill="1" applyBorder="1" applyProtection="1"/>
    <xf numFmtId="0" fontId="9" fillId="30" borderId="59" xfId="0" applyFont="1" applyFill="1" applyBorder="1" applyProtection="1"/>
    <xf numFmtId="0" fontId="12" fillId="30" borderId="61" xfId="0" applyFont="1" applyFill="1" applyBorder="1" applyProtection="1"/>
    <xf numFmtId="0" fontId="9" fillId="30" borderId="145" xfId="0" applyFont="1" applyFill="1" applyBorder="1" applyProtection="1"/>
    <xf numFmtId="0" fontId="9" fillId="30" borderId="41" xfId="0" applyFont="1" applyFill="1" applyBorder="1" applyProtection="1"/>
    <xf numFmtId="3" fontId="9" fillId="30" borderId="145" xfId="0" applyNumberFormat="1" applyFont="1" applyFill="1" applyBorder="1" applyProtection="1"/>
    <xf numFmtId="3" fontId="4" fillId="30" borderId="15" xfId="0" applyNumberFormat="1" applyFont="1" applyFill="1" applyBorder="1" applyAlignment="1" applyProtection="1">
      <alignment horizontal="left" vertical="top"/>
    </xf>
    <xf numFmtId="49" fontId="9" fillId="30" borderId="85" xfId="0" applyNumberFormat="1" applyFont="1" applyFill="1" applyBorder="1" applyProtection="1"/>
    <xf numFmtId="0" fontId="9" fillId="30" borderId="86" xfId="0" applyFont="1" applyFill="1" applyBorder="1" applyProtection="1"/>
    <xf numFmtId="0" fontId="4" fillId="30" borderId="122" xfId="0" applyFont="1" applyFill="1" applyBorder="1" applyAlignment="1" applyProtection="1">
      <alignment vertical="top" wrapText="1"/>
    </xf>
    <xf numFmtId="0" fontId="4" fillId="30" borderId="15" xfId="0" applyFont="1" applyFill="1" applyBorder="1" applyAlignment="1" applyProtection="1">
      <alignment vertical="top" wrapText="1"/>
    </xf>
    <xf numFmtId="3" fontId="4" fillId="30" borderId="59" xfId="0" applyNumberFormat="1" applyFont="1" applyFill="1" applyBorder="1" applyAlignment="1" applyProtection="1">
      <alignment vertical="top" wrapText="1"/>
    </xf>
    <xf numFmtId="0" fontId="9" fillId="30" borderId="122" xfId="0" applyFont="1" applyFill="1" applyBorder="1" applyProtection="1"/>
    <xf numFmtId="0" fontId="9" fillId="30" borderId="15" xfId="0" applyFont="1" applyFill="1" applyBorder="1" applyProtection="1"/>
    <xf numFmtId="0" fontId="9" fillId="30" borderId="111" xfId="0" applyFont="1" applyFill="1" applyBorder="1" applyProtection="1"/>
    <xf numFmtId="171" fontId="37" fillId="0" borderId="0" xfId="0" applyNumberFormat="1" applyFont="1" applyFill="1" applyBorder="1" applyAlignment="1" applyProtection="1">
      <alignment horizontal="left" vertical="top" wrapText="1"/>
    </xf>
    <xf numFmtId="3" fontId="3" fillId="2" borderId="0" xfId="0" applyNumberFormat="1" applyFont="1" applyFill="1" applyBorder="1" applyAlignment="1" applyProtection="1">
      <alignment horizontal="right"/>
      <protection locked="0"/>
    </xf>
    <xf numFmtId="3" fontId="3" fillId="2" borderId="39" xfId="0" applyNumberFormat="1" applyFont="1" applyFill="1" applyBorder="1" applyAlignment="1" applyProtection="1">
      <alignment horizontal="right"/>
      <protection locked="0"/>
    </xf>
    <xf numFmtId="0" fontId="6" fillId="21" borderId="25" xfId="0" applyFont="1" applyFill="1" applyBorder="1" applyAlignment="1" applyProtection="1">
      <alignment horizontal="left"/>
    </xf>
    <xf numFmtId="49" fontId="9" fillId="0" borderId="196" xfId="0" applyNumberFormat="1" applyFont="1" applyFill="1" applyBorder="1" applyAlignment="1" applyProtection="1">
      <alignment horizontal="center"/>
    </xf>
    <xf numFmtId="49" fontId="4" fillId="0" borderId="196" xfId="0" applyNumberFormat="1" applyFont="1" applyFill="1" applyBorder="1" applyAlignment="1" applyProtection="1">
      <alignment horizontal="center" wrapText="1"/>
    </xf>
    <xf numFmtId="49" fontId="4" fillId="0" borderId="196" xfId="0" applyNumberFormat="1" applyFont="1" applyFill="1" applyBorder="1" applyAlignment="1" applyProtection="1">
      <alignment horizontal="left"/>
    </xf>
    <xf numFmtId="3" fontId="4" fillId="21" borderId="15" xfId="0" applyNumberFormat="1" applyFont="1" applyFill="1" applyBorder="1" applyAlignment="1" applyProtection="1">
      <alignment horizontal="left" wrapText="1"/>
    </xf>
    <xf numFmtId="0" fontId="72" fillId="2" borderId="0" xfId="0" applyFont="1" applyFill="1" applyAlignment="1" applyProtection="1"/>
    <xf numFmtId="3" fontId="6" fillId="21" borderId="113" xfId="0" applyNumberFormat="1" applyFont="1" applyFill="1" applyBorder="1" applyAlignment="1" applyProtection="1">
      <alignment horizontal="left"/>
    </xf>
    <xf numFmtId="3" fontId="6" fillId="21" borderId="15" xfId="0" applyNumberFormat="1" applyFont="1" applyFill="1" applyBorder="1" applyAlignment="1" applyProtection="1">
      <alignment horizontal="left" vertical="top" wrapText="1"/>
    </xf>
    <xf numFmtId="49" fontId="4" fillId="21" borderId="41" xfId="0" applyNumberFormat="1" applyFont="1" applyFill="1" applyBorder="1" applyAlignment="1" applyProtection="1">
      <alignment horizontal="left"/>
    </xf>
    <xf numFmtId="3" fontId="14" fillId="9" borderId="62" xfId="0" applyNumberFormat="1" applyFont="1" applyFill="1" applyBorder="1" applyProtection="1"/>
    <xf numFmtId="0" fontId="10" fillId="0" borderId="0" xfId="0" applyFont="1" applyFill="1" applyProtection="1"/>
    <xf numFmtId="3" fontId="11" fillId="0" borderId="5" xfId="0" quotePrefix="1" applyNumberFormat="1" applyFont="1" applyFill="1" applyBorder="1" applyAlignment="1" applyProtection="1">
      <alignment horizontal="right"/>
      <protection locked="0"/>
    </xf>
    <xf numFmtId="0" fontId="19" fillId="2" borderId="0" xfId="0" applyFont="1" applyFill="1" applyBorder="1" applyAlignment="1" applyProtection="1"/>
    <xf numFmtId="3" fontId="118" fillId="21" borderId="0" xfId="0" applyNumberFormat="1" applyFont="1" applyFill="1" applyBorder="1" applyAlignment="1" applyProtection="1"/>
    <xf numFmtId="3" fontId="118" fillId="21" borderId="43" xfId="0" applyNumberFormat="1" applyFont="1" applyFill="1" applyBorder="1" applyAlignment="1" applyProtection="1"/>
    <xf numFmtId="0" fontId="119" fillId="2" borderId="0" xfId="0" applyFont="1" applyFill="1" applyBorder="1" applyProtection="1"/>
    <xf numFmtId="166" fontId="8" fillId="0" borderId="1" xfId="0" applyNumberFormat="1" applyFont="1" applyFill="1" applyBorder="1" applyAlignment="1" applyProtection="1">
      <alignment horizontal="center" vertical="center"/>
    </xf>
    <xf numFmtId="0" fontId="0" fillId="2" borderId="1" xfId="0" applyFill="1" applyBorder="1" applyProtection="1"/>
    <xf numFmtId="0" fontId="4" fillId="2" borderId="1" xfId="0" applyFont="1" applyFill="1" applyBorder="1" applyProtection="1"/>
    <xf numFmtId="3" fontId="10" fillId="2" borderId="110" xfId="0" applyNumberFormat="1" applyFont="1" applyFill="1" applyBorder="1" applyProtection="1">
      <protection locked="0"/>
    </xf>
    <xf numFmtId="3" fontId="10" fillId="2" borderId="70" xfId="0" applyNumberFormat="1" applyFont="1" applyFill="1" applyBorder="1" applyProtection="1">
      <protection locked="0"/>
    </xf>
    <xf numFmtId="0" fontId="4" fillId="21" borderId="129" xfId="0" applyFont="1" applyFill="1" applyBorder="1" applyAlignment="1" applyProtection="1">
      <alignment horizontal="center"/>
    </xf>
    <xf numFmtId="0" fontId="95" fillId="7" borderId="0" xfId="0" quotePrefix="1" applyFont="1" applyFill="1" applyBorder="1" applyAlignment="1" applyProtection="1">
      <alignment horizontal="left"/>
    </xf>
    <xf numFmtId="0" fontId="113" fillId="0" borderId="0" xfId="0" applyFont="1" applyFill="1" applyAlignment="1" applyProtection="1">
      <alignment wrapText="1"/>
    </xf>
    <xf numFmtId="3" fontId="4" fillId="21" borderId="9" xfId="0" applyNumberFormat="1" applyFont="1" applyFill="1" applyBorder="1" applyProtection="1"/>
    <xf numFmtId="3" fontId="10" fillId="21" borderId="0" xfId="0" applyNumberFormat="1" applyFont="1" applyFill="1" applyBorder="1" applyProtection="1"/>
    <xf numFmtId="3" fontId="10" fillId="21" borderId="38" xfId="0" applyNumberFormat="1" applyFont="1" applyFill="1" applyBorder="1" applyProtection="1"/>
    <xf numFmtId="3" fontId="8" fillId="21" borderId="0" xfId="0" applyNumberFormat="1" applyFont="1" applyFill="1" applyBorder="1" applyProtection="1"/>
    <xf numFmtId="3" fontId="8" fillId="21" borderId="0" xfId="0" applyNumberFormat="1" applyFont="1" applyFill="1" applyBorder="1" applyAlignment="1" applyProtection="1">
      <alignment horizontal="left" vertical="top" wrapText="1"/>
    </xf>
    <xf numFmtId="3" fontId="3" fillId="21" borderId="152" xfId="0" applyNumberFormat="1" applyFont="1" applyFill="1" applyBorder="1" applyAlignment="1" applyProtection="1">
      <alignment horizontal="right"/>
    </xf>
    <xf numFmtId="3" fontId="3" fillId="21" borderId="126" xfId="0" applyNumberFormat="1" applyFont="1" applyFill="1" applyBorder="1" applyAlignment="1" applyProtection="1">
      <alignment horizontal="right"/>
    </xf>
    <xf numFmtId="3" fontId="3" fillId="22" borderId="152" xfId="0" applyNumberFormat="1" applyFont="1" applyFill="1" applyBorder="1" applyAlignment="1" applyProtection="1">
      <alignment horizontal="left"/>
    </xf>
    <xf numFmtId="3" fontId="3" fillId="22" borderId="44" xfId="0" applyNumberFormat="1" applyFont="1" applyFill="1" applyBorder="1" applyAlignment="1" applyProtection="1">
      <alignment horizontal="right"/>
    </xf>
    <xf numFmtId="0" fontId="10" fillId="31" borderId="197" xfId="0" applyFont="1" applyFill="1" applyBorder="1" applyAlignment="1" applyProtection="1">
      <alignment horizontal="left" vertical="center"/>
    </xf>
    <xf numFmtId="0" fontId="92" fillId="31" borderId="197" xfId="0" applyFont="1" applyFill="1" applyBorder="1" applyAlignment="1" applyProtection="1">
      <alignment horizontal="left" vertical="center"/>
    </xf>
    <xf numFmtId="0" fontId="18" fillId="30" borderId="112" xfId="0" applyFont="1" applyFill="1" applyBorder="1" applyAlignment="1" applyProtection="1">
      <alignment horizontal="center" vertical="center"/>
    </xf>
    <xf numFmtId="0" fontId="0" fillId="0" borderId="0" xfId="0" applyFill="1" applyBorder="1" applyAlignment="1">
      <alignment horizontal="left" wrapText="1"/>
    </xf>
    <xf numFmtId="0" fontId="25" fillId="21" borderId="57" xfId="5" applyFill="1" applyBorder="1" applyAlignment="1" applyProtection="1">
      <alignment wrapText="1"/>
    </xf>
    <xf numFmtId="0" fontId="25" fillId="21" borderId="43" xfId="5" applyFill="1" applyBorder="1" applyAlignment="1" applyProtection="1">
      <alignment wrapText="1"/>
    </xf>
    <xf numFmtId="49" fontId="4" fillId="21" borderId="145" xfId="0" applyNumberFormat="1" applyFont="1" applyFill="1" applyBorder="1" applyAlignment="1" applyProtection="1">
      <alignment horizontal="center"/>
    </xf>
    <xf numFmtId="49" fontId="4" fillId="21" borderId="155" xfId="0" applyNumberFormat="1" applyFont="1" applyFill="1" applyBorder="1" applyAlignment="1" applyProtection="1">
      <alignment horizontal="center"/>
    </xf>
    <xf numFmtId="0" fontId="4" fillId="21" borderId="35" xfId="0" applyFont="1" applyFill="1" applyBorder="1" applyAlignment="1" applyProtection="1">
      <alignment horizontal="center"/>
    </xf>
    <xf numFmtId="0" fontId="4" fillId="21" borderId="69" xfId="0" applyFont="1" applyFill="1" applyBorder="1" applyAlignment="1" applyProtection="1">
      <alignment horizontal="center"/>
    </xf>
    <xf numFmtId="3" fontId="4" fillId="21" borderId="27" xfId="0" applyNumberFormat="1" applyFont="1" applyFill="1" applyBorder="1" applyAlignment="1" applyProtection="1"/>
    <xf numFmtId="49" fontId="4" fillId="21" borderId="57" xfId="0" applyNumberFormat="1" applyFont="1" applyFill="1" applyBorder="1" applyAlignment="1" applyProtection="1">
      <alignment horizontal="left" vertical="top"/>
    </xf>
    <xf numFmtId="0" fontId="32" fillId="7" borderId="0" xfId="0" applyFont="1" applyFill="1" applyBorder="1" applyProtection="1"/>
    <xf numFmtId="1" fontId="18" fillId="0" borderId="0" xfId="0" applyNumberFormat="1" applyFont="1" applyFill="1" applyBorder="1" applyAlignment="1" applyProtection="1">
      <alignment horizontal="center"/>
    </xf>
    <xf numFmtId="166" fontId="4" fillId="0" borderId="0" xfId="0" applyNumberFormat="1" applyFont="1" applyFill="1" applyBorder="1" applyProtection="1"/>
    <xf numFmtId="0" fontId="6" fillId="0" borderId="0" xfId="0" applyNumberFormat="1" applyFont="1" applyFill="1" applyBorder="1" applyAlignment="1" applyProtection="1">
      <alignment horizontal="center"/>
    </xf>
    <xf numFmtId="49" fontId="6"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1" fontId="6" fillId="0" borderId="0" xfId="0" applyNumberFormat="1" applyFont="1" applyFill="1" applyBorder="1" applyAlignment="1" applyProtection="1">
      <alignment horizontal="center" wrapText="1"/>
    </xf>
    <xf numFmtId="3" fontId="9" fillId="0" borderId="0" xfId="0" applyNumberFormat="1" applyFont="1" applyFill="1" applyBorder="1" applyAlignment="1" applyProtection="1">
      <alignment horizontal="center"/>
    </xf>
    <xf numFmtId="3" fontId="6" fillId="0" borderId="0" xfId="0" applyNumberFormat="1" applyFont="1" applyFill="1" applyBorder="1" applyAlignment="1" applyProtection="1">
      <alignment horizontal="center"/>
    </xf>
    <xf numFmtId="0" fontId="4" fillId="0" borderId="0" xfId="0" applyFont="1" applyFill="1" applyBorder="1" applyAlignment="1" applyProtection="1">
      <alignment horizontal="left" vertical="top"/>
    </xf>
    <xf numFmtId="0" fontId="6" fillId="0" borderId="0" xfId="0" applyFont="1" applyFill="1" applyBorder="1" applyAlignment="1" applyProtection="1">
      <alignment horizontal="left" vertical="top"/>
    </xf>
    <xf numFmtId="1" fontId="4" fillId="0" borderId="0" xfId="0" applyNumberFormat="1" applyFont="1" applyFill="1" applyBorder="1" applyAlignment="1" applyProtection="1">
      <alignment horizontal="center" vertical="top" wrapText="1"/>
    </xf>
    <xf numFmtId="2" fontId="4" fillId="0" borderId="0" xfId="0" applyNumberFormat="1" applyFont="1" applyFill="1" applyBorder="1" applyAlignment="1" applyProtection="1">
      <alignment horizontal="center" wrapText="1"/>
    </xf>
    <xf numFmtId="49" fontId="4" fillId="0" borderId="0" xfId="0" applyNumberFormat="1" applyFont="1" applyFill="1" applyBorder="1" applyAlignment="1" applyProtection="1">
      <alignment horizontal="center" wrapText="1"/>
    </xf>
    <xf numFmtId="49" fontId="118" fillId="0" borderId="0" xfId="0" applyNumberFormat="1" applyFont="1" applyFill="1" applyBorder="1" applyAlignment="1" applyProtection="1">
      <alignment horizontal="center" wrapText="1"/>
    </xf>
    <xf numFmtId="1" fontId="118"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1" fontId="9" fillId="0" borderId="0" xfId="0" applyNumberFormat="1" applyFont="1" applyFill="1" applyBorder="1" applyAlignment="1" applyProtection="1">
      <alignment horizontal="center" vertical="center" wrapText="1"/>
    </xf>
    <xf numFmtId="3" fontId="3" fillId="2" borderId="110" xfId="0" applyNumberFormat="1" applyFont="1" applyFill="1" applyBorder="1" applyAlignment="1" applyProtection="1">
      <alignment horizontal="right"/>
      <protection locked="0"/>
    </xf>
    <xf numFmtId="3" fontId="3" fillId="2" borderId="6" xfId="0" applyNumberFormat="1" applyFont="1" applyFill="1" applyBorder="1" applyAlignment="1" applyProtection="1">
      <alignment horizontal="right"/>
      <protection locked="0"/>
    </xf>
    <xf numFmtId="49" fontId="4" fillId="21" borderId="35" xfId="0" applyNumberFormat="1" applyFont="1" applyFill="1" applyBorder="1" applyAlignment="1" applyProtection="1">
      <alignment horizontal="left" wrapText="1"/>
    </xf>
    <xf numFmtId="3" fontId="6" fillId="21" borderId="151" xfId="5" applyNumberFormat="1" applyFont="1" applyFill="1" applyBorder="1" applyAlignment="1" applyProtection="1">
      <alignment vertical="top"/>
    </xf>
    <xf numFmtId="3" fontId="5" fillId="0" borderId="0" xfId="0" applyNumberFormat="1" applyFont="1" applyFill="1" applyBorder="1" applyProtection="1"/>
    <xf numFmtId="49" fontId="13" fillId="0" borderId="0" xfId="0" applyNumberFormat="1" applyFont="1" applyFill="1" applyBorder="1" applyAlignment="1" applyProtection="1">
      <alignment horizontal="center"/>
    </xf>
    <xf numFmtId="3" fontId="4" fillId="0" borderId="0" xfId="0" applyNumberFormat="1" applyFont="1" applyFill="1" applyBorder="1" applyAlignment="1" applyProtection="1"/>
    <xf numFmtId="0" fontId="0" fillId="21" borderId="145" xfId="0" applyFill="1" applyBorder="1" applyAlignment="1">
      <alignment vertical="center"/>
    </xf>
    <xf numFmtId="0" fontId="0" fillId="21" borderId="41" xfId="0" applyFill="1" applyBorder="1" applyAlignment="1">
      <alignment vertical="center"/>
    </xf>
    <xf numFmtId="0" fontId="8" fillId="21" borderId="41" xfId="0" applyFont="1" applyFill="1" applyBorder="1" applyAlignment="1" applyProtection="1"/>
    <xf numFmtId="0" fontId="0" fillId="21" borderId="156" xfId="0" applyFill="1" applyBorder="1" applyAlignment="1" applyProtection="1">
      <alignment wrapText="1"/>
    </xf>
    <xf numFmtId="0" fontId="0" fillId="21" borderId="41" xfId="0" applyFill="1" applyBorder="1" applyAlignment="1">
      <alignment vertical="center" wrapText="1"/>
    </xf>
    <xf numFmtId="0" fontId="8" fillId="21" borderId="41" xfId="0" applyFont="1" applyFill="1" applyBorder="1" applyProtection="1"/>
    <xf numFmtId="0" fontId="0" fillId="21" borderId="137" xfId="0" applyFill="1" applyBorder="1" applyAlignment="1">
      <alignment horizontal="left" vertical="center"/>
    </xf>
    <xf numFmtId="0" fontId="0" fillId="21" borderId="1" xfId="0" applyFill="1" applyBorder="1" applyAlignment="1">
      <alignment horizontal="left" vertical="center"/>
    </xf>
    <xf numFmtId="0" fontId="0" fillId="21" borderId="85" xfId="0" applyFill="1" applyBorder="1" applyAlignment="1">
      <alignment horizontal="left" vertical="center"/>
    </xf>
    <xf numFmtId="0" fontId="0" fillId="21" borderId="86" xfId="0" applyFill="1" applyBorder="1" applyAlignment="1">
      <alignment horizontal="left" wrapText="1"/>
    </xf>
    <xf numFmtId="0" fontId="6" fillId="21" borderId="152" xfId="0" applyFont="1" applyFill="1" applyBorder="1" applyAlignment="1" applyProtection="1">
      <alignment vertical="top" wrapText="1"/>
    </xf>
    <xf numFmtId="0" fontId="4" fillId="21" borderId="16" xfId="0" applyFont="1" applyFill="1" applyBorder="1" applyAlignment="1" applyProtection="1">
      <alignment vertical="center"/>
    </xf>
    <xf numFmtId="0" fontId="4" fillId="21" borderId="15" xfId="0" applyFont="1" applyFill="1" applyBorder="1" applyAlignment="1" applyProtection="1">
      <alignment vertical="center"/>
    </xf>
    <xf numFmtId="0" fontId="4" fillId="21" borderId="15" xfId="0" applyFont="1" applyFill="1" applyBorder="1" applyAlignment="1" applyProtection="1">
      <alignment vertical="center" wrapText="1"/>
    </xf>
    <xf numFmtId="0" fontId="0" fillId="21" borderId="185" xfId="0" applyFill="1" applyBorder="1" applyAlignment="1">
      <alignment horizontal="center" vertical="center"/>
    </xf>
    <xf numFmtId="0" fontId="0" fillId="21" borderId="170" xfId="0" applyFill="1" applyBorder="1" applyAlignment="1" applyProtection="1">
      <alignment vertical="top" wrapText="1"/>
    </xf>
    <xf numFmtId="0" fontId="4" fillId="21" borderId="118" xfId="0" applyFont="1" applyFill="1" applyBorder="1" applyAlignment="1" applyProtection="1">
      <alignment vertical="top"/>
    </xf>
    <xf numFmtId="0" fontId="4" fillId="21" borderId="67" xfId="0" applyFont="1" applyFill="1" applyBorder="1" applyAlignment="1" applyProtection="1">
      <alignment horizontal="left" vertical="top" wrapText="1"/>
    </xf>
    <xf numFmtId="0" fontId="18" fillId="21" borderId="162" xfId="0" applyFont="1" applyFill="1" applyBorder="1" applyAlignment="1" applyProtection="1">
      <alignment horizontal="center" vertical="center" wrapText="1"/>
    </xf>
    <xf numFmtId="0" fontId="8" fillId="21" borderId="153" xfId="0" applyFont="1" applyFill="1" applyBorder="1" applyAlignment="1" applyProtection="1"/>
    <xf numFmtId="0" fontId="4" fillId="21" borderId="15" xfId="0" applyFont="1" applyFill="1" applyBorder="1" applyAlignment="1" applyProtection="1"/>
    <xf numFmtId="0" fontId="4" fillId="21" borderId="123" xfId="0" applyFont="1" applyFill="1" applyBorder="1" applyAlignment="1" applyProtection="1">
      <alignment horizontal="left" vertical="top" wrapText="1"/>
    </xf>
    <xf numFmtId="0" fontId="4" fillId="21" borderId="57" xfId="0" applyFont="1" applyFill="1" applyBorder="1" applyAlignment="1" applyProtection="1">
      <alignment horizontal="left" vertical="center"/>
    </xf>
    <xf numFmtId="0" fontId="4" fillId="21" borderId="148" xfId="0" applyFont="1" applyFill="1" applyBorder="1" applyAlignment="1" applyProtection="1">
      <alignment horizontal="left" vertical="center"/>
    </xf>
    <xf numFmtId="0" fontId="4" fillId="21" borderId="59" xfId="0" applyFont="1" applyFill="1" applyBorder="1" applyAlignment="1" applyProtection="1">
      <alignment horizontal="left" wrapText="1"/>
    </xf>
    <xf numFmtId="3" fontId="4" fillId="21" borderId="153" xfId="5" applyNumberFormat="1" applyFont="1" applyFill="1" applyBorder="1" applyAlignment="1" applyProtection="1"/>
    <xf numFmtId="3" fontId="6" fillId="21" borderId="153" xfId="5" applyNumberFormat="1" applyFont="1" applyFill="1" applyBorder="1" applyAlignment="1" applyProtection="1">
      <alignment vertical="top" wrapText="1"/>
    </xf>
    <xf numFmtId="49" fontId="4" fillId="21" borderId="170" xfId="5" applyNumberFormat="1" applyFont="1" applyFill="1" applyBorder="1" applyProtection="1"/>
    <xf numFmtId="3" fontId="4" fillId="21" borderId="162" xfId="5" applyNumberFormat="1" applyFont="1" applyFill="1" applyBorder="1" applyAlignment="1" applyProtection="1"/>
    <xf numFmtId="0" fontId="4" fillId="21" borderId="185" xfId="5" applyFont="1" applyFill="1" applyBorder="1" applyAlignment="1" applyProtection="1">
      <alignment horizontal="left" vertical="center"/>
    </xf>
    <xf numFmtId="0" fontId="6" fillId="21" borderId="155" xfId="5" applyFont="1" applyFill="1" applyBorder="1" applyAlignment="1" applyProtection="1">
      <alignment vertical="top"/>
    </xf>
    <xf numFmtId="0" fontId="4" fillId="21" borderId="67" xfId="0" applyFont="1" applyFill="1" applyBorder="1" applyAlignment="1" applyProtection="1">
      <alignment vertical="top"/>
    </xf>
    <xf numFmtId="0" fontId="6" fillId="21" borderId="27" xfId="5" applyFont="1" applyFill="1" applyBorder="1" applyAlignment="1" applyProtection="1"/>
    <xf numFmtId="0" fontId="4" fillId="21" borderId="15" xfId="5" applyFont="1" applyFill="1" applyBorder="1" applyAlignment="1" applyProtection="1">
      <alignment horizontal="right"/>
    </xf>
    <xf numFmtId="0" fontId="4" fillId="21" borderId="148" xfId="5" applyFont="1" applyFill="1" applyBorder="1" applyAlignment="1" applyProtection="1"/>
    <xf numFmtId="0" fontId="4" fillId="21" borderId="15" xfId="5" applyFont="1" applyFill="1" applyBorder="1" applyAlignment="1" applyProtection="1"/>
    <xf numFmtId="0" fontId="4" fillId="21" borderId="15" xfId="5" applyFont="1" applyFill="1" applyBorder="1" applyAlignment="1" applyProtection="1">
      <alignment horizontal="left" vertical="top" wrapText="1"/>
    </xf>
    <xf numFmtId="0" fontId="4" fillId="21" borderId="16" xfId="5" applyFont="1" applyFill="1" applyBorder="1" applyAlignment="1" applyProtection="1">
      <alignment horizontal="left" vertical="top" wrapText="1"/>
    </xf>
    <xf numFmtId="49" fontId="4" fillId="21" borderId="153" xfId="5" applyNumberFormat="1" applyFont="1" applyFill="1" applyBorder="1" applyAlignment="1" applyProtection="1">
      <alignment vertical="top"/>
    </xf>
    <xf numFmtId="0" fontId="0" fillId="21" borderId="15" xfId="0" applyFill="1" applyBorder="1" applyAlignment="1">
      <alignment vertical="top" wrapText="1"/>
    </xf>
    <xf numFmtId="0" fontId="0" fillId="21" borderId="41" xfId="0" applyFill="1" applyBorder="1" applyAlignment="1">
      <alignment vertical="top" wrapText="1"/>
    </xf>
    <xf numFmtId="0" fontId="4" fillId="21" borderId="170" xfId="0" applyFont="1" applyFill="1" applyBorder="1" applyAlignment="1" applyProtection="1">
      <alignment horizontal="left" vertical="center"/>
    </xf>
    <xf numFmtId="3" fontId="112" fillId="0" borderId="57" xfId="0" applyNumberFormat="1" applyFont="1" applyFill="1" applyBorder="1" applyProtection="1"/>
    <xf numFmtId="3" fontId="4" fillId="32" borderId="41" xfId="0" applyNumberFormat="1" applyFont="1" applyFill="1" applyBorder="1" applyAlignment="1" applyProtection="1">
      <alignment horizontal="left" vertical="top" wrapText="1"/>
    </xf>
    <xf numFmtId="3" fontId="4" fillId="21" borderId="41" xfId="0" applyNumberFormat="1" applyFont="1" applyFill="1" applyBorder="1" applyAlignment="1" applyProtection="1">
      <alignment horizontal="left" vertical="top"/>
    </xf>
    <xf numFmtId="0" fontId="0" fillId="21" borderId="43" xfId="0" applyFill="1" applyBorder="1" applyProtection="1"/>
    <xf numFmtId="3" fontId="6" fillId="21" borderId="199" xfId="0" applyNumberFormat="1" applyFont="1" applyFill="1" applyBorder="1" applyAlignment="1" applyProtection="1">
      <alignment horizontal="left" vertical="center" wrapText="1"/>
    </xf>
    <xf numFmtId="0" fontId="4" fillId="21" borderId="128" xfId="0" applyFont="1" applyFill="1" applyBorder="1" applyProtection="1"/>
    <xf numFmtId="3" fontId="10" fillId="2" borderId="198" xfId="0" applyNumberFormat="1" applyFont="1" applyFill="1" applyBorder="1" applyProtection="1">
      <protection locked="0"/>
    </xf>
    <xf numFmtId="0" fontId="6" fillId="21" borderId="92" xfId="5" applyFont="1" applyFill="1" applyBorder="1" applyProtection="1"/>
    <xf numFmtId="0" fontId="6" fillId="21" borderId="43" xfId="5" applyFont="1" applyFill="1" applyBorder="1" applyProtection="1"/>
    <xf numFmtId="0" fontId="6" fillId="21" borderId="27" xfId="5" applyFont="1" applyFill="1" applyBorder="1" applyAlignment="1" applyProtection="1">
      <alignment horizontal="left"/>
    </xf>
    <xf numFmtId="0" fontId="6" fillId="21" borderId="184" xfId="5" applyFont="1" applyFill="1" applyBorder="1" applyAlignment="1" applyProtection="1">
      <alignment horizontal="left"/>
    </xf>
    <xf numFmtId="0" fontId="4" fillId="21" borderId="55" xfId="5" applyFont="1" applyFill="1" applyBorder="1" applyAlignment="1" applyProtection="1">
      <alignment vertical="top"/>
    </xf>
    <xf numFmtId="0" fontId="4" fillId="21" borderId="55" xfId="5" applyFont="1" applyFill="1" applyBorder="1" applyAlignment="1" applyProtection="1">
      <alignment horizontal="left" vertical="center"/>
    </xf>
    <xf numFmtId="3" fontId="4" fillId="21" borderId="43" xfId="5" applyNumberFormat="1" applyFont="1" applyFill="1" applyBorder="1" applyAlignment="1" applyProtection="1">
      <alignment wrapText="1"/>
    </xf>
    <xf numFmtId="3" fontId="4" fillId="21" borderId="43" xfId="5" applyNumberFormat="1" applyFont="1" applyFill="1" applyBorder="1" applyAlignment="1" applyProtection="1">
      <alignment vertical="center" wrapText="1"/>
    </xf>
    <xf numFmtId="0" fontId="6" fillId="21" borderId="184" xfId="0" applyFont="1" applyFill="1" applyBorder="1" applyAlignment="1" applyProtection="1">
      <alignment horizontal="left"/>
    </xf>
    <xf numFmtId="0" fontId="6" fillId="21" borderId="92" xfId="0" applyFont="1" applyFill="1" applyBorder="1" applyAlignment="1" applyProtection="1">
      <alignment horizontal="left"/>
    </xf>
    <xf numFmtId="0" fontId="6" fillId="21" borderId="27" xfId="0" applyFont="1" applyFill="1" applyBorder="1" applyAlignment="1" applyProtection="1">
      <alignment horizontal="left"/>
    </xf>
    <xf numFmtId="0" fontId="6" fillId="21" borderId="43" xfId="0" applyFont="1" applyFill="1" applyBorder="1" applyAlignment="1" applyProtection="1">
      <alignment horizontal="left"/>
    </xf>
    <xf numFmtId="0" fontId="4" fillId="21" borderId="153" xfId="0" applyFont="1" applyFill="1" applyBorder="1" applyAlignment="1" applyProtection="1">
      <alignment horizontal="center"/>
    </xf>
    <xf numFmtId="0" fontId="4" fillId="21" borderId="55" xfId="5" applyFont="1" applyFill="1" applyBorder="1" applyAlignment="1" applyProtection="1">
      <alignment vertical="top" wrapText="1"/>
    </xf>
    <xf numFmtId="0" fontId="4" fillId="21" borderId="61" xfId="5" applyFont="1" applyFill="1" applyBorder="1" applyProtection="1"/>
    <xf numFmtId="1" fontId="4" fillId="21" borderId="16" xfId="5" applyNumberFormat="1" applyFont="1" applyFill="1" applyBorder="1" applyAlignment="1" applyProtection="1">
      <alignment horizontal="center"/>
    </xf>
    <xf numFmtId="1" fontId="4" fillId="21" borderId="162" xfId="5" applyNumberFormat="1" applyFont="1" applyFill="1" applyBorder="1" applyAlignment="1" applyProtection="1">
      <alignment horizontal="center"/>
    </xf>
    <xf numFmtId="3" fontId="6" fillId="21" borderId="170" xfId="5" applyNumberFormat="1" applyFont="1" applyFill="1" applyBorder="1" applyAlignment="1" applyProtection="1">
      <alignment vertical="top"/>
    </xf>
    <xf numFmtId="3" fontId="6" fillId="21" borderId="43" xfId="5" applyNumberFormat="1" applyFont="1" applyFill="1" applyBorder="1" applyAlignment="1" applyProtection="1">
      <alignment vertical="center"/>
    </xf>
    <xf numFmtId="3" fontId="6" fillId="21" borderId="43" xfId="0" applyNumberFormat="1" applyFont="1" applyFill="1" applyBorder="1" applyAlignment="1" applyProtection="1">
      <alignment vertical="center"/>
    </xf>
    <xf numFmtId="3" fontId="6" fillId="21" borderId="170" xfId="0" applyNumberFormat="1" applyFont="1" applyFill="1" applyBorder="1" applyAlignment="1" applyProtection="1">
      <alignment vertical="top"/>
    </xf>
    <xf numFmtId="0" fontId="4" fillId="21" borderId="153" xfId="5" applyFont="1" applyFill="1" applyBorder="1" applyAlignment="1" applyProtection="1">
      <alignment vertical="top" wrapText="1"/>
    </xf>
    <xf numFmtId="0" fontId="4" fillId="21" borderId="153" xfId="5" applyFont="1" applyFill="1" applyBorder="1" applyAlignment="1" applyProtection="1">
      <alignment vertical="center" wrapText="1"/>
    </xf>
    <xf numFmtId="0" fontId="4" fillId="10" borderId="57" xfId="0" applyFont="1" applyFill="1" applyBorder="1" applyAlignment="1" applyProtection="1">
      <alignment horizontal="center"/>
    </xf>
    <xf numFmtId="3" fontId="3" fillId="21" borderId="49" xfId="0" applyNumberFormat="1" applyFont="1" applyFill="1" applyBorder="1" applyAlignment="1" applyProtection="1">
      <alignment horizontal="right"/>
    </xf>
    <xf numFmtId="3" fontId="19" fillId="21" borderId="7" xfId="0" applyNumberFormat="1" applyFont="1" applyFill="1" applyBorder="1" applyProtection="1"/>
    <xf numFmtId="3" fontId="45" fillId="21" borderId="5" xfId="0" applyNumberFormat="1" applyFont="1" applyFill="1" applyBorder="1" applyProtection="1"/>
    <xf numFmtId="3" fontId="91" fillId="21" borderId="5" xfId="0" applyNumberFormat="1" applyFont="1" applyFill="1" applyBorder="1" applyProtection="1"/>
    <xf numFmtId="0" fontId="3" fillId="21" borderId="7" xfId="0" applyFont="1" applyFill="1" applyBorder="1" applyAlignment="1" applyProtection="1">
      <alignment vertical="top"/>
    </xf>
    <xf numFmtId="0" fontId="3" fillId="21" borderId="5" xfId="0" applyFont="1" applyFill="1" applyBorder="1" applyAlignment="1" applyProtection="1">
      <alignment vertical="top"/>
    </xf>
    <xf numFmtId="0" fontId="22" fillId="21" borderId="0" xfId="0" applyFont="1" applyFill="1" applyBorder="1" applyProtection="1"/>
    <xf numFmtId="0" fontId="22" fillId="21" borderId="15" xfId="0" applyFont="1" applyFill="1" applyBorder="1" applyProtection="1"/>
    <xf numFmtId="0" fontId="5" fillId="21" borderId="15" xfId="0" applyFont="1" applyFill="1" applyBorder="1" applyProtection="1"/>
    <xf numFmtId="0" fontId="9" fillId="21" borderId="201" xfId="0" applyFont="1" applyFill="1" applyBorder="1" applyAlignment="1" applyProtection="1">
      <alignment horizontal="left"/>
    </xf>
    <xf numFmtId="0" fontId="9" fillId="21" borderId="65" xfId="0" applyFont="1" applyFill="1" applyBorder="1" applyAlignment="1" applyProtection="1">
      <alignment horizontal="left"/>
    </xf>
    <xf numFmtId="0" fontId="4" fillId="21" borderId="65" xfId="0" applyFont="1" applyFill="1" applyBorder="1" applyAlignment="1" applyProtection="1">
      <alignment horizontal="left"/>
    </xf>
    <xf numFmtId="0" fontId="3" fillId="21" borderId="102" xfId="0" applyFont="1" applyFill="1" applyBorder="1" applyAlignment="1" applyProtection="1">
      <alignment vertical="top"/>
    </xf>
    <xf numFmtId="0" fontId="3" fillId="21" borderId="69" xfId="0" applyFont="1" applyFill="1" applyBorder="1" applyAlignment="1" applyProtection="1">
      <alignment vertical="top"/>
    </xf>
    <xf numFmtId="3" fontId="48" fillId="21" borderId="7" xfId="0" applyNumberFormat="1" applyFont="1" applyFill="1" applyBorder="1" applyProtection="1"/>
    <xf numFmtId="3" fontId="45" fillId="21" borderId="8" xfId="0" applyNumberFormat="1" applyFont="1" applyFill="1" applyBorder="1" applyProtection="1"/>
    <xf numFmtId="3" fontId="91" fillId="21" borderId="8" xfId="0" applyNumberFormat="1" applyFont="1" applyFill="1" applyBorder="1" applyProtection="1"/>
    <xf numFmtId="3" fontId="45" fillId="21" borderId="7" xfId="0" applyNumberFormat="1" applyFont="1" applyFill="1" applyBorder="1" applyProtection="1"/>
    <xf numFmtId="3" fontId="3" fillId="21" borderId="7" xfId="0" applyNumberFormat="1" applyFont="1" applyFill="1" applyBorder="1" applyAlignment="1" applyProtection="1">
      <alignment vertical="top"/>
    </xf>
    <xf numFmtId="3" fontId="43" fillId="21" borderId="29" xfId="0" applyNumberFormat="1" applyFont="1" applyFill="1" applyBorder="1" applyAlignment="1" applyProtection="1">
      <alignment vertical="top" wrapText="1"/>
    </xf>
    <xf numFmtId="3" fontId="3" fillId="21" borderId="45" xfId="0" applyNumberFormat="1" applyFont="1" applyFill="1" applyBorder="1" applyAlignment="1" applyProtection="1">
      <alignment horizontal="right"/>
    </xf>
    <xf numFmtId="3" fontId="43" fillId="21" borderId="141" xfId="0" applyNumberFormat="1" applyFont="1" applyFill="1" applyBorder="1" applyAlignment="1" applyProtection="1">
      <alignment vertical="top" wrapText="1"/>
    </xf>
    <xf numFmtId="169" fontId="42" fillId="21" borderId="152" xfId="0" applyNumberFormat="1" applyFont="1" applyFill="1" applyBorder="1" applyProtection="1"/>
    <xf numFmtId="3" fontId="11" fillId="21" borderId="7" xfId="0" applyNumberFormat="1" applyFont="1" applyFill="1" applyBorder="1" applyAlignment="1" applyProtection="1">
      <alignment vertical="top"/>
      <protection locked="0"/>
    </xf>
    <xf numFmtId="3" fontId="11" fillId="21" borderId="5" xfId="0" applyNumberFormat="1" applyFont="1" applyFill="1" applyBorder="1" applyAlignment="1" applyProtection="1">
      <alignment vertical="top"/>
      <protection locked="0"/>
    </xf>
    <xf numFmtId="0" fontId="3" fillId="21" borderId="5" xfId="0" applyFont="1" applyFill="1" applyBorder="1" applyAlignment="1" applyProtection="1">
      <alignment vertical="top"/>
      <protection locked="0"/>
    </xf>
    <xf numFmtId="0" fontId="3" fillId="21" borderId="155" xfId="0" applyFont="1" applyFill="1" applyBorder="1" applyAlignment="1" applyProtection="1">
      <alignment vertical="top"/>
      <protection locked="0"/>
    </xf>
    <xf numFmtId="0" fontId="3" fillId="21" borderId="67" xfId="0" applyFont="1" applyFill="1" applyBorder="1" applyAlignment="1" applyProtection="1">
      <alignment vertical="top"/>
      <protection locked="0"/>
    </xf>
    <xf numFmtId="3" fontId="19" fillId="21" borderId="14" xfId="0" applyNumberFormat="1" applyFont="1" applyFill="1" applyBorder="1" applyProtection="1"/>
    <xf numFmtId="3" fontId="45" fillId="21" borderId="17" xfId="0" applyNumberFormat="1" applyFont="1" applyFill="1" applyBorder="1" applyProtection="1"/>
    <xf numFmtId="3" fontId="91" fillId="21" borderId="17" xfId="0" applyNumberFormat="1" applyFont="1" applyFill="1" applyBorder="1" applyProtection="1"/>
    <xf numFmtId="3" fontId="3" fillId="21" borderId="7" xfId="0" applyNumberFormat="1" applyFont="1" applyFill="1" applyBorder="1" applyAlignment="1" applyProtection="1">
      <alignment vertical="top"/>
      <protection locked="0"/>
    </xf>
    <xf numFmtId="0" fontId="17" fillId="21" borderId="90" xfId="0" applyFont="1" applyFill="1" applyBorder="1" applyAlignment="1" applyProtection="1">
      <alignment wrapText="1"/>
    </xf>
    <xf numFmtId="0" fontId="10" fillId="21" borderId="186" xfId="0" applyFont="1" applyFill="1" applyBorder="1" applyProtection="1"/>
    <xf numFmtId="3" fontId="112" fillId="21" borderId="7" xfId="0" applyNumberFormat="1" applyFont="1" applyFill="1" applyBorder="1" applyProtection="1"/>
    <xf numFmtId="3" fontId="114" fillId="21" borderId="5" xfId="0" applyNumberFormat="1" applyFont="1" applyFill="1" applyBorder="1" applyProtection="1"/>
    <xf numFmtId="3" fontId="26" fillId="21" borderId="5" xfId="0" applyNumberFormat="1" applyFont="1" applyFill="1" applyBorder="1" applyProtection="1"/>
    <xf numFmtId="3" fontId="46" fillId="21" borderId="155" xfId="0" applyNumberFormat="1" applyFont="1" applyFill="1" applyBorder="1" applyProtection="1"/>
    <xf numFmtId="3" fontId="46" fillId="21" borderId="123" xfId="0" applyNumberFormat="1" applyFont="1" applyFill="1" applyBorder="1" applyProtection="1"/>
    <xf numFmtId="3" fontId="3" fillId="21" borderId="45" xfId="0" applyNumberFormat="1" applyFont="1" applyFill="1" applyBorder="1" applyAlignment="1" applyProtection="1">
      <alignment horizontal="right" vertical="top" wrapText="1"/>
    </xf>
    <xf numFmtId="3" fontId="43" fillId="21" borderId="22" xfId="0" applyNumberFormat="1" applyFont="1" applyFill="1" applyBorder="1" applyAlignment="1" applyProtection="1">
      <alignment vertical="top"/>
    </xf>
    <xf numFmtId="0" fontId="10" fillId="21" borderId="5" xfId="0" applyFont="1" applyFill="1" applyBorder="1" applyAlignment="1" applyProtection="1">
      <alignment vertical="top"/>
    </xf>
    <xf numFmtId="3" fontId="4" fillId="21" borderId="128" xfId="0" applyNumberFormat="1" applyFont="1" applyFill="1" applyBorder="1" applyProtection="1"/>
    <xf numFmtId="3" fontId="46" fillId="21" borderId="16" xfId="0" applyNumberFormat="1" applyFont="1" applyFill="1" applyBorder="1" applyProtection="1"/>
    <xf numFmtId="3" fontId="46" fillId="21" borderId="67" xfId="0" applyNumberFormat="1" applyFont="1" applyFill="1" applyBorder="1" applyProtection="1"/>
    <xf numFmtId="0" fontId="10" fillId="21" borderId="7" xfId="0" applyFont="1" applyFill="1" applyBorder="1" applyAlignment="1" applyProtection="1">
      <alignment vertical="top"/>
    </xf>
    <xf numFmtId="3" fontId="120" fillId="3" borderId="62" xfId="0" applyNumberFormat="1" applyFont="1" applyFill="1" applyBorder="1" applyAlignment="1" applyProtection="1">
      <alignment horizontal="right"/>
    </xf>
    <xf numFmtId="3" fontId="120" fillId="3" borderId="200" xfId="0" applyNumberFormat="1" applyFont="1" applyFill="1" applyBorder="1" applyAlignment="1" applyProtection="1">
      <alignment horizontal="right"/>
    </xf>
    <xf numFmtId="3" fontId="4" fillId="0" borderId="0" xfId="0" applyNumberFormat="1" applyFont="1" applyFill="1" applyBorder="1" applyAlignment="1" applyProtection="1">
      <alignment horizontal="center"/>
    </xf>
    <xf numFmtId="3" fontId="6" fillId="0" borderId="0" xfId="0" applyNumberFormat="1" applyFont="1" applyFill="1" applyBorder="1" applyAlignment="1" applyProtection="1"/>
    <xf numFmtId="3" fontId="9" fillId="0" borderId="0" xfId="0" applyNumberFormat="1" applyFont="1" applyFill="1" applyBorder="1" applyAlignment="1" applyProtection="1"/>
    <xf numFmtId="3" fontId="9" fillId="21" borderId="12" xfId="0" applyNumberFormat="1" applyFont="1" applyFill="1" applyBorder="1" applyAlignment="1" applyProtection="1"/>
    <xf numFmtId="3" fontId="14" fillId="2" borderId="63" xfId="0" applyNumberFormat="1" applyFont="1" applyFill="1" applyBorder="1" applyAlignment="1" applyProtection="1">
      <alignment horizontal="right"/>
      <protection locked="0"/>
    </xf>
    <xf numFmtId="0" fontId="113" fillId="0" borderId="0" xfId="0" applyFont="1" applyFill="1" applyProtection="1"/>
    <xf numFmtId="0" fontId="113" fillId="0" borderId="0" xfId="0" applyFont="1" applyFill="1" applyBorder="1" applyProtection="1"/>
    <xf numFmtId="0" fontId="113" fillId="2" borderId="0" xfId="0" applyFont="1" applyFill="1" applyBorder="1" applyProtection="1"/>
    <xf numFmtId="3" fontId="113" fillId="2" borderId="0" xfId="0" applyNumberFormat="1" applyFont="1" applyFill="1" applyBorder="1" applyProtection="1"/>
    <xf numFmtId="0" fontId="25" fillId="21" borderId="5" xfId="0" applyFont="1" applyFill="1" applyBorder="1" applyProtection="1"/>
    <xf numFmtId="0" fontId="2" fillId="21" borderId="5" xfId="0" applyFont="1" applyFill="1" applyBorder="1" applyProtection="1"/>
    <xf numFmtId="3" fontId="121" fillId="21" borderId="5" xfId="0" applyNumberFormat="1" applyFont="1" applyFill="1" applyBorder="1" applyAlignment="1" applyProtection="1"/>
    <xf numFmtId="3" fontId="46" fillId="23" borderId="133" xfId="0" applyNumberFormat="1" applyFont="1" applyFill="1" applyBorder="1" applyProtection="1"/>
    <xf numFmtId="3" fontId="37" fillId="2" borderId="0" xfId="0" applyNumberFormat="1" applyFont="1" applyFill="1" applyAlignment="1" applyProtection="1">
      <alignment vertical="top" wrapText="1"/>
    </xf>
    <xf numFmtId="0" fontId="117" fillId="0" borderId="0" xfId="0" applyFont="1" applyFill="1" applyProtection="1"/>
    <xf numFmtId="0" fontId="4" fillId="21" borderId="25" xfId="5" applyFont="1" applyFill="1" applyBorder="1" applyProtection="1"/>
    <xf numFmtId="3" fontId="112" fillId="0" borderId="0" xfId="0" applyNumberFormat="1" applyFont="1" applyFill="1" applyBorder="1" applyAlignment="1" applyProtection="1">
      <alignment vertical="top"/>
    </xf>
    <xf numFmtId="3" fontId="3" fillId="0" borderId="18" xfId="0" applyNumberFormat="1" applyFont="1" applyFill="1" applyBorder="1" applyProtection="1">
      <protection locked="0"/>
    </xf>
    <xf numFmtId="3" fontId="10" fillId="0" borderId="0" xfId="0" applyNumberFormat="1" applyFont="1" applyFill="1" applyBorder="1" applyProtection="1">
      <protection locked="0"/>
    </xf>
    <xf numFmtId="3" fontId="3" fillId="0" borderId="0" xfId="0" applyNumberFormat="1" applyFont="1" applyFill="1" applyBorder="1" applyAlignment="1" applyProtection="1">
      <alignment horizontal="right"/>
      <protection locked="0"/>
    </xf>
    <xf numFmtId="49" fontId="4" fillId="21" borderId="202" xfId="0" applyNumberFormat="1" applyFont="1" applyFill="1" applyBorder="1" applyAlignment="1" applyProtection="1">
      <alignment horizontal="left"/>
    </xf>
    <xf numFmtId="0" fontId="52" fillId="2" borderId="163" xfId="0" applyFont="1" applyFill="1" applyBorder="1" applyProtection="1"/>
    <xf numFmtId="0" fontId="52" fillId="2" borderId="161" xfId="0" applyFont="1" applyFill="1" applyBorder="1" applyProtection="1"/>
    <xf numFmtId="3" fontId="3" fillId="2" borderId="42" xfId="0" applyNumberFormat="1" applyFont="1" applyFill="1" applyBorder="1" applyAlignment="1" applyProtection="1">
      <alignment horizontal="right"/>
      <protection locked="0"/>
    </xf>
    <xf numFmtId="0" fontId="0" fillId="2" borderId="56" xfId="0" applyFill="1" applyBorder="1" applyProtection="1"/>
    <xf numFmtId="0" fontId="3" fillId="0" borderId="0" xfId="0" applyFont="1" applyBorder="1" applyAlignment="1" applyProtection="1">
      <alignment wrapText="1"/>
      <protection locked="0"/>
    </xf>
    <xf numFmtId="0" fontId="52" fillId="2" borderId="1" xfId="0" applyFont="1" applyFill="1" applyBorder="1" applyProtection="1"/>
    <xf numFmtId="0" fontId="0" fillId="2" borderId="61" xfId="0" applyFill="1" applyBorder="1" applyProtection="1"/>
    <xf numFmtId="49" fontId="4" fillId="0" borderId="196" xfId="0" applyNumberFormat="1" applyFont="1" applyFill="1" applyBorder="1" applyAlignment="1" applyProtection="1">
      <alignment horizontal="center"/>
    </xf>
    <xf numFmtId="0" fontId="52" fillId="2" borderId="42" xfId="0" applyFont="1" applyFill="1" applyBorder="1" applyProtection="1"/>
    <xf numFmtId="3" fontId="3" fillId="9" borderId="81" xfId="0" applyNumberFormat="1" applyFont="1" applyFill="1" applyBorder="1" applyProtection="1"/>
    <xf numFmtId="3" fontId="14" fillId="2" borderId="35" xfId="0" applyNumberFormat="1" applyFont="1" applyFill="1" applyBorder="1" applyAlignment="1" applyProtection="1">
      <alignment horizontal="right"/>
      <protection locked="0"/>
    </xf>
    <xf numFmtId="3" fontId="14" fillId="2" borderId="39" xfId="0" applyNumberFormat="1" applyFont="1" applyFill="1" applyBorder="1" applyAlignment="1" applyProtection="1">
      <alignment horizontal="right"/>
      <protection locked="0"/>
    </xf>
    <xf numFmtId="0" fontId="4" fillId="21" borderId="128" xfId="0" applyFont="1" applyFill="1" applyBorder="1" applyAlignment="1" applyProtection="1">
      <alignment horizontal="center"/>
    </xf>
    <xf numFmtId="3" fontId="3" fillId="0" borderId="36" xfId="0" applyNumberFormat="1" applyFont="1" applyFill="1" applyBorder="1" applyProtection="1"/>
    <xf numFmtId="0" fontId="112" fillId="2" borderId="0" xfId="0" applyFont="1" applyFill="1" applyBorder="1" applyProtection="1"/>
    <xf numFmtId="167" fontId="6" fillId="21" borderId="142" xfId="0" applyNumberFormat="1" applyFont="1" applyFill="1" applyBorder="1" applyAlignment="1" applyProtection="1">
      <alignment horizontal="left"/>
    </xf>
    <xf numFmtId="3" fontId="14" fillId="2" borderId="103" xfId="0" applyNumberFormat="1" applyFont="1" applyFill="1" applyBorder="1" applyAlignment="1" applyProtection="1">
      <alignment horizontal="right"/>
      <protection locked="0"/>
    </xf>
    <xf numFmtId="167" fontId="6" fillId="21" borderId="91" xfId="0" applyNumberFormat="1" applyFont="1" applyFill="1" applyBorder="1" applyAlignment="1" applyProtection="1">
      <alignment horizontal="left"/>
    </xf>
    <xf numFmtId="167" fontId="4" fillId="21" borderId="55" xfId="0" applyNumberFormat="1" applyFont="1" applyFill="1" applyBorder="1" applyAlignment="1" applyProtection="1">
      <alignment horizontal="left"/>
    </xf>
    <xf numFmtId="0" fontId="4" fillId="21" borderId="34" xfId="0" applyNumberFormat="1" applyFont="1" applyFill="1" applyBorder="1" applyAlignment="1" applyProtection="1">
      <alignment horizontal="center"/>
    </xf>
    <xf numFmtId="49" fontId="4" fillId="21" borderId="35" xfId="0" applyNumberFormat="1" applyFont="1" applyFill="1" applyBorder="1" applyAlignment="1" applyProtection="1">
      <alignment horizontal="center" wrapText="1"/>
    </xf>
    <xf numFmtId="3" fontId="3" fillId="9" borderId="26" xfId="0" applyNumberFormat="1" applyFont="1" applyFill="1" applyBorder="1" applyAlignment="1" applyProtection="1"/>
    <xf numFmtId="1" fontId="122" fillId="21" borderId="86" xfId="0" applyNumberFormat="1" applyFont="1" applyFill="1" applyBorder="1" applyAlignment="1" applyProtection="1">
      <alignment horizontal="left" vertical="top" wrapText="1"/>
    </xf>
    <xf numFmtId="0" fontId="4" fillId="21" borderId="190" xfId="0" applyFont="1" applyFill="1" applyBorder="1" applyAlignment="1" applyProtection="1">
      <alignment wrapText="1"/>
    </xf>
    <xf numFmtId="0" fontId="4" fillId="21" borderId="198" xfId="0" applyFont="1" applyFill="1" applyBorder="1" applyAlignment="1" applyProtection="1">
      <alignment horizontal="left" wrapText="1"/>
    </xf>
    <xf numFmtId="0" fontId="124" fillId="21" borderId="145" xfId="0" applyFont="1" applyFill="1" applyBorder="1" applyProtection="1"/>
    <xf numFmtId="3" fontId="3" fillId="3" borderId="110" xfId="0" applyNumberFormat="1" applyFont="1" applyFill="1" applyBorder="1" applyProtection="1"/>
    <xf numFmtId="3" fontId="3" fillId="3" borderId="7" xfId="0" applyNumberFormat="1" applyFont="1" applyFill="1" applyBorder="1" applyProtection="1"/>
    <xf numFmtId="3" fontId="11" fillId="2" borderId="6" xfId="0" quotePrefix="1" applyNumberFormat="1" applyFont="1" applyFill="1" applyBorder="1" applyAlignment="1" applyProtection="1">
      <alignment horizontal="right"/>
      <protection locked="0"/>
    </xf>
    <xf numFmtId="3" fontId="11" fillId="0" borderId="6" xfId="0" quotePrefix="1" applyNumberFormat="1" applyFont="1" applyFill="1" applyBorder="1" applyAlignment="1" applyProtection="1">
      <alignment horizontal="right"/>
      <protection locked="0"/>
    </xf>
    <xf numFmtId="3" fontId="3" fillId="9" borderId="171" xfId="0" applyNumberFormat="1" applyFont="1" applyFill="1" applyBorder="1" applyAlignment="1" applyProtection="1"/>
    <xf numFmtId="3" fontId="3" fillId="9" borderId="87" xfId="0" applyNumberFormat="1" applyFont="1" applyFill="1" applyBorder="1" applyAlignment="1" applyProtection="1"/>
    <xf numFmtId="1" fontId="3" fillId="0" borderId="0" xfId="0" applyNumberFormat="1" applyFont="1" applyFill="1" applyBorder="1" applyAlignment="1" applyProtection="1">
      <alignment horizontal="left" vertical="top"/>
    </xf>
    <xf numFmtId="3" fontId="3" fillId="0" borderId="18" xfId="5" applyNumberFormat="1" applyFont="1" applyFill="1" applyBorder="1" applyAlignment="1" applyProtection="1">
      <alignment horizontal="right"/>
      <protection locked="0"/>
    </xf>
    <xf numFmtId="0" fontId="4" fillId="21" borderId="23" xfId="0" applyFont="1" applyFill="1" applyBorder="1" applyAlignment="1" applyProtection="1">
      <alignment horizontal="left" vertical="top" wrapText="1"/>
    </xf>
    <xf numFmtId="0" fontId="4" fillId="21" borderId="23" xfId="5" applyFont="1" applyFill="1" applyBorder="1" applyAlignment="1" applyProtection="1">
      <alignment horizontal="left" vertical="top" wrapText="1"/>
    </xf>
    <xf numFmtId="0" fontId="3" fillId="0" borderId="0" xfId="0" quotePrefix="1" applyFont="1" applyFill="1" applyBorder="1" applyAlignment="1" applyProtection="1">
      <alignment vertical="top"/>
    </xf>
    <xf numFmtId="49" fontId="4" fillId="21" borderId="0" xfId="5" applyNumberFormat="1" applyFont="1" applyFill="1" applyBorder="1" applyAlignment="1" applyProtection="1">
      <alignment horizontal="center"/>
    </xf>
    <xf numFmtId="0" fontId="4" fillId="21" borderId="36" xfId="5" applyFont="1" applyFill="1" applyBorder="1" applyAlignment="1" applyProtection="1">
      <alignment horizontal="left" vertical="top" wrapText="1"/>
    </xf>
    <xf numFmtId="0" fontId="6" fillId="21" borderId="15" xfId="5" applyFont="1" applyFill="1" applyBorder="1" applyProtection="1"/>
    <xf numFmtId="0" fontId="4" fillId="21" borderId="41" xfId="5" applyFont="1" applyFill="1" applyBorder="1" applyProtection="1"/>
    <xf numFmtId="3" fontId="3" fillId="3" borderId="62" xfId="5" applyNumberFormat="1" applyFont="1" applyFill="1" applyBorder="1" applyAlignment="1" applyProtection="1">
      <alignment horizontal="right"/>
    </xf>
    <xf numFmtId="0" fontId="37" fillId="2" borderId="0" xfId="5" applyFont="1" applyFill="1" applyBorder="1" applyAlignment="1" applyProtection="1">
      <alignment horizontal="left" vertical="top"/>
    </xf>
    <xf numFmtId="3" fontId="3" fillId="3" borderId="80" xfId="5" applyNumberFormat="1" applyFont="1" applyFill="1" applyBorder="1" applyAlignment="1" applyProtection="1">
      <alignment horizontal="right"/>
    </xf>
    <xf numFmtId="0" fontId="6" fillId="21" borderId="113" xfId="5" applyFont="1" applyFill="1" applyBorder="1" applyAlignment="1" applyProtection="1">
      <alignment horizontal="left"/>
    </xf>
    <xf numFmtId="0" fontId="3" fillId="0" borderId="0" xfId="5" applyFont="1" applyFill="1" applyBorder="1" applyAlignment="1" applyProtection="1">
      <alignment vertical="top"/>
    </xf>
    <xf numFmtId="0" fontId="4" fillId="21" borderId="15" xfId="5" applyFont="1" applyFill="1" applyBorder="1" applyProtection="1"/>
    <xf numFmtId="3" fontId="3" fillId="0" borderId="2" xfId="5" applyNumberFormat="1" applyFont="1" applyFill="1" applyBorder="1" applyAlignment="1" applyProtection="1">
      <alignment horizontal="right"/>
      <protection locked="0"/>
    </xf>
    <xf numFmtId="3" fontId="3" fillId="0" borderId="15" xfId="5" applyNumberFormat="1" applyFont="1" applyFill="1" applyBorder="1" applyAlignment="1" applyProtection="1">
      <alignment horizontal="right"/>
      <protection locked="0"/>
    </xf>
    <xf numFmtId="3" fontId="3" fillId="0" borderId="59" xfId="5" applyNumberFormat="1" applyFont="1" applyFill="1" applyBorder="1" applyAlignment="1" applyProtection="1">
      <alignment horizontal="right"/>
      <protection locked="0"/>
    </xf>
    <xf numFmtId="0" fontId="2" fillId="2" borderId="0" xfId="5" applyFont="1" applyFill="1" applyAlignment="1" applyProtection="1">
      <alignment vertical="top"/>
    </xf>
    <xf numFmtId="3" fontId="37" fillId="2" borderId="0" xfId="5" applyNumberFormat="1" applyFont="1" applyFill="1" applyAlignment="1" applyProtection="1">
      <alignment vertical="top"/>
    </xf>
    <xf numFmtId="0" fontId="69" fillId="2" borderId="0" xfId="5" applyFont="1" applyFill="1" applyAlignment="1" applyProtection="1">
      <alignment vertical="top"/>
    </xf>
    <xf numFmtId="0" fontId="25" fillId="2" borderId="0" xfId="5" applyFill="1" applyBorder="1" applyAlignment="1" applyProtection="1">
      <alignment horizontal="left" vertical="top"/>
    </xf>
    <xf numFmtId="0" fontId="25" fillId="2" borderId="0" xfId="5" applyFill="1" applyAlignment="1" applyProtection="1">
      <alignment vertical="top"/>
    </xf>
    <xf numFmtId="0" fontId="70" fillId="2" borderId="0" xfId="5" applyFont="1" applyFill="1" applyAlignment="1" applyProtection="1">
      <alignment vertical="top"/>
    </xf>
    <xf numFmtId="3" fontId="4" fillId="21" borderId="20" xfId="0" applyNumberFormat="1" applyFont="1" applyFill="1" applyBorder="1" applyAlignment="1" applyProtection="1">
      <alignment horizontal="center"/>
    </xf>
    <xf numFmtId="3" fontId="3" fillId="21" borderId="35" xfId="5" applyNumberFormat="1" applyFont="1" applyFill="1" applyBorder="1" applyProtection="1"/>
    <xf numFmtId="3" fontId="4" fillId="21" borderId="153" xfId="5" applyNumberFormat="1" applyFont="1" applyFill="1" applyBorder="1" applyProtection="1"/>
    <xf numFmtId="0" fontId="8" fillId="21" borderId="170" xfId="5" applyFont="1" applyFill="1" applyBorder="1" applyProtection="1"/>
    <xf numFmtId="3" fontId="3" fillId="21" borderId="5" xfId="5" applyNumberFormat="1" applyFont="1" applyFill="1" applyBorder="1" applyProtection="1"/>
    <xf numFmtId="3" fontId="43" fillId="21" borderId="38" xfId="5" applyNumberFormat="1" applyFont="1" applyFill="1" applyBorder="1" applyAlignment="1" applyProtection="1">
      <alignment horizontal="right"/>
    </xf>
    <xf numFmtId="169" fontId="42" fillId="21" borderId="145" xfId="5" applyNumberFormat="1" applyFont="1" applyFill="1" applyBorder="1" applyProtection="1"/>
    <xf numFmtId="169" fontId="42" fillId="21" borderId="185" xfId="5" applyNumberFormat="1" applyFont="1" applyFill="1" applyBorder="1" applyProtection="1"/>
    <xf numFmtId="0" fontId="4" fillId="21" borderId="151" xfId="5" applyFont="1" applyFill="1" applyBorder="1" applyProtection="1"/>
    <xf numFmtId="3" fontId="6" fillId="21" borderId="107" xfId="5" applyNumberFormat="1" applyFont="1" applyFill="1" applyBorder="1" applyAlignment="1" applyProtection="1">
      <alignment vertical="top"/>
    </xf>
    <xf numFmtId="3" fontId="4" fillId="21" borderId="0" xfId="5" applyNumberFormat="1" applyFont="1" applyFill="1" applyBorder="1" applyAlignment="1" applyProtection="1">
      <alignment vertical="top"/>
    </xf>
    <xf numFmtId="169" fontId="4" fillId="21" borderId="1" xfId="5" applyNumberFormat="1" applyFont="1" applyFill="1" applyBorder="1" applyProtection="1"/>
    <xf numFmtId="3" fontId="3" fillId="21" borderId="67" xfId="5" applyNumberFormat="1" applyFont="1" applyFill="1" applyBorder="1" applyProtection="1"/>
    <xf numFmtId="3" fontId="46" fillId="21" borderId="35" xfId="5" applyNumberFormat="1" applyFont="1" applyFill="1" applyBorder="1" applyProtection="1"/>
    <xf numFmtId="3" fontId="4" fillId="21" borderId="167" xfId="5" applyNumberFormat="1" applyFont="1" applyFill="1" applyBorder="1" applyAlignment="1" applyProtection="1">
      <alignment vertical="top" wrapText="1"/>
    </xf>
    <xf numFmtId="0" fontId="4" fillId="21" borderId="163" xfId="5" applyFont="1" applyFill="1" applyBorder="1" applyAlignment="1" applyProtection="1">
      <alignment vertical="top" wrapText="1"/>
    </xf>
    <xf numFmtId="3" fontId="4" fillId="21" borderId="153" xfId="5" applyNumberFormat="1" applyFont="1" applyFill="1" applyBorder="1" applyAlignment="1" applyProtection="1">
      <alignment vertical="center"/>
    </xf>
    <xf numFmtId="0" fontId="4" fillId="21" borderId="16" xfId="5" applyFont="1" applyFill="1" applyBorder="1" applyAlignment="1" applyProtection="1">
      <alignment horizontal="left" vertical="center"/>
    </xf>
    <xf numFmtId="0" fontId="4" fillId="21" borderId="16" xfId="5" applyFont="1" applyFill="1" applyBorder="1" applyAlignment="1" applyProtection="1">
      <alignment vertical="top"/>
    </xf>
    <xf numFmtId="3" fontId="3" fillId="21" borderId="15" xfId="5" applyNumberFormat="1" applyFont="1" applyFill="1" applyBorder="1" applyProtection="1"/>
    <xf numFmtId="3" fontId="3" fillId="21" borderId="13" xfId="5" applyNumberFormat="1" applyFont="1" applyFill="1" applyBorder="1" applyProtection="1"/>
    <xf numFmtId="0" fontId="4" fillId="21" borderId="184" xfId="0" applyFont="1" applyFill="1" applyBorder="1" applyAlignment="1" applyProtection="1"/>
    <xf numFmtId="3" fontId="4" fillId="21" borderId="151" xfId="0" applyNumberFormat="1" applyFont="1" applyFill="1" applyBorder="1" applyAlignment="1" applyProtection="1"/>
    <xf numFmtId="3" fontId="4" fillId="21" borderId="153" xfId="0" applyNumberFormat="1" applyFont="1" applyFill="1" applyBorder="1" applyAlignment="1" applyProtection="1"/>
    <xf numFmtId="0" fontId="0" fillId="2" borderId="0" xfId="0" applyFill="1" applyAlignment="1" applyProtection="1"/>
    <xf numFmtId="0" fontId="4" fillId="21" borderId="113" xfId="0" applyFont="1" applyFill="1" applyBorder="1" applyAlignment="1" applyProtection="1"/>
    <xf numFmtId="3" fontId="6" fillId="21" borderId="92" xfId="0" applyNumberFormat="1" applyFont="1" applyFill="1" applyBorder="1" applyAlignment="1" applyProtection="1"/>
    <xf numFmtId="3" fontId="3" fillId="9" borderId="5" xfId="0" applyNumberFormat="1" applyFont="1" applyFill="1" applyBorder="1" applyAlignment="1" applyProtection="1"/>
    <xf numFmtId="0" fontId="4" fillId="21" borderId="55" xfId="0" applyFont="1" applyFill="1" applyBorder="1" applyAlignment="1" applyProtection="1"/>
    <xf numFmtId="0" fontId="4" fillId="21" borderId="107" xfId="5" applyFont="1" applyFill="1" applyBorder="1" applyAlignment="1" applyProtection="1"/>
    <xf numFmtId="0" fontId="4" fillId="21" borderId="61" xfId="5" applyFont="1" applyFill="1" applyBorder="1" applyAlignment="1" applyProtection="1"/>
    <xf numFmtId="0" fontId="4" fillId="21" borderId="0" xfId="0" applyFont="1" applyFill="1" applyBorder="1" applyAlignment="1" applyProtection="1"/>
    <xf numFmtId="0" fontId="4" fillId="21" borderId="162" xfId="0" applyFont="1" applyFill="1" applyBorder="1" applyAlignment="1" applyProtection="1"/>
    <xf numFmtId="0" fontId="4" fillId="21" borderId="153" xfId="0" applyFont="1" applyFill="1" applyBorder="1" applyAlignment="1" applyProtection="1"/>
    <xf numFmtId="0" fontId="4" fillId="21" borderId="142" xfId="0" applyFont="1" applyFill="1" applyBorder="1" applyAlignment="1" applyProtection="1"/>
    <xf numFmtId="0" fontId="6" fillId="21" borderId="53" xfId="0" applyFont="1" applyFill="1" applyBorder="1" applyAlignment="1" applyProtection="1"/>
    <xf numFmtId="3" fontId="3" fillId="9" borderId="35" xfId="0" applyNumberFormat="1" applyFont="1" applyFill="1" applyBorder="1" applyAlignment="1" applyProtection="1"/>
    <xf numFmtId="3" fontId="3" fillId="9" borderId="131" xfId="0" applyNumberFormat="1" applyFont="1" applyFill="1" applyBorder="1" applyAlignment="1" applyProtection="1"/>
    <xf numFmtId="0" fontId="4" fillId="21" borderId="5" xfId="0" applyFont="1" applyFill="1" applyBorder="1" applyAlignment="1" applyProtection="1"/>
    <xf numFmtId="0" fontId="6" fillId="21" borderId="5" xfId="0" applyFont="1" applyFill="1" applyBorder="1" applyAlignment="1" applyProtection="1"/>
    <xf numFmtId="0" fontId="6" fillId="21" borderId="54" xfId="0" applyFont="1" applyFill="1" applyBorder="1" applyAlignment="1" applyProtection="1"/>
    <xf numFmtId="3" fontId="3" fillId="9" borderId="2" xfId="0" applyNumberFormat="1" applyFont="1" applyFill="1" applyBorder="1" applyAlignment="1" applyProtection="1"/>
    <xf numFmtId="3" fontId="3" fillId="9" borderId="53" xfId="0" applyNumberFormat="1" applyFont="1" applyFill="1" applyBorder="1" applyAlignment="1" applyProtection="1"/>
    <xf numFmtId="0" fontId="4" fillId="21" borderId="2" xfId="0" applyFont="1" applyFill="1" applyBorder="1" applyAlignment="1" applyProtection="1"/>
    <xf numFmtId="0" fontId="6" fillId="21" borderId="2" xfId="0" applyFont="1" applyFill="1" applyBorder="1" applyAlignment="1" applyProtection="1"/>
    <xf numFmtId="0" fontId="6" fillId="21" borderId="13" xfId="0" applyFont="1" applyFill="1" applyBorder="1" applyAlignment="1" applyProtection="1"/>
    <xf numFmtId="0" fontId="11" fillId="0" borderId="0" xfId="0" applyFont="1" applyFill="1" applyBorder="1" applyAlignment="1" applyProtection="1"/>
    <xf numFmtId="0" fontId="25" fillId="0" borderId="0" xfId="0" applyFont="1" applyFill="1" applyAlignment="1" applyProtection="1"/>
    <xf numFmtId="0" fontId="25" fillId="0" borderId="0" xfId="0" applyFont="1" applyFill="1" applyBorder="1" applyAlignment="1" applyProtection="1"/>
    <xf numFmtId="3" fontId="4" fillId="21" borderId="153" xfId="0" applyNumberFormat="1" applyFont="1" applyFill="1" applyBorder="1" applyAlignment="1" applyProtection="1">
      <alignment vertical="top"/>
    </xf>
    <xf numFmtId="3" fontId="43" fillId="0" borderId="0" xfId="5" applyNumberFormat="1" applyFont="1" applyFill="1" applyBorder="1" applyAlignment="1" applyProtection="1">
      <alignment horizontal="right"/>
    </xf>
    <xf numFmtId="3" fontId="112" fillId="2" borderId="0" xfId="0" applyNumberFormat="1" applyFont="1" applyFill="1" applyProtection="1"/>
    <xf numFmtId="3" fontId="3" fillId="0" borderId="7" xfId="0" applyNumberFormat="1" applyFont="1" applyFill="1" applyBorder="1" applyAlignment="1" applyProtection="1">
      <alignment horizontal="right"/>
      <protection locked="0"/>
    </xf>
    <xf numFmtId="0" fontId="112" fillId="2" borderId="0" xfId="0" applyFont="1" applyFill="1" applyBorder="1" applyAlignment="1" applyProtection="1">
      <alignment horizontal="left"/>
    </xf>
    <xf numFmtId="0" fontId="112" fillId="2" borderId="0" xfId="0" applyFont="1" applyFill="1" applyBorder="1" applyAlignment="1" applyProtection="1"/>
    <xf numFmtId="3" fontId="43" fillId="0" borderId="119" xfId="5" applyNumberFormat="1" applyFont="1" applyFill="1" applyBorder="1" applyAlignment="1" applyProtection="1">
      <alignment horizontal="right"/>
    </xf>
    <xf numFmtId="49" fontId="4" fillId="21" borderId="125" xfId="0" applyNumberFormat="1" applyFont="1" applyFill="1" applyBorder="1" applyAlignment="1" applyProtection="1">
      <alignment horizontal="left"/>
    </xf>
    <xf numFmtId="49" fontId="4" fillId="21" borderId="165" xfId="0" applyNumberFormat="1" applyFont="1" applyFill="1" applyBorder="1" applyProtection="1"/>
    <xf numFmtId="3" fontId="11" fillId="28" borderId="155" xfId="0" applyNumberFormat="1" applyFont="1" applyFill="1" applyBorder="1" applyProtection="1"/>
    <xf numFmtId="3" fontId="11" fillId="28" borderId="67" xfId="0" applyNumberFormat="1" applyFont="1" applyFill="1" applyBorder="1" applyProtection="1"/>
    <xf numFmtId="3" fontId="11" fillId="28" borderId="68" xfId="0" applyNumberFormat="1" applyFont="1" applyFill="1" applyBorder="1" applyProtection="1"/>
    <xf numFmtId="1" fontId="4" fillId="21" borderId="204" xfId="0" applyNumberFormat="1" applyFont="1" applyFill="1" applyBorder="1" applyAlignment="1" applyProtection="1">
      <alignment horizontal="left"/>
    </xf>
    <xf numFmtId="1" fontId="4" fillId="21" borderId="204" xfId="0" applyNumberFormat="1" applyFont="1" applyFill="1" applyBorder="1" applyProtection="1"/>
    <xf numFmtId="1" fontId="3" fillId="21" borderId="205" xfId="0" applyNumberFormat="1" applyFont="1" applyFill="1" applyBorder="1" applyAlignment="1" applyProtection="1"/>
    <xf numFmtId="1" fontId="125" fillId="21" borderId="207" xfId="0" applyNumberFormat="1" applyFont="1" applyFill="1" applyBorder="1" applyProtection="1"/>
    <xf numFmtId="1" fontId="126" fillId="21" borderId="206" xfId="0" applyNumberFormat="1" applyFont="1" applyFill="1" applyBorder="1" applyAlignment="1" applyProtection="1"/>
    <xf numFmtId="1" fontId="125" fillId="21" borderId="208" xfId="0" applyNumberFormat="1" applyFont="1" applyFill="1" applyBorder="1" applyProtection="1"/>
    <xf numFmtId="1" fontId="125" fillId="21" borderId="209" xfId="0" applyNumberFormat="1" applyFont="1" applyFill="1" applyBorder="1" applyProtection="1"/>
    <xf numFmtId="1" fontId="126" fillId="21" borderId="173" xfId="0" applyNumberFormat="1" applyFont="1" applyFill="1" applyBorder="1" applyAlignment="1" applyProtection="1"/>
    <xf numFmtId="1" fontId="126" fillId="21" borderId="38" xfId="0" applyNumberFormat="1" applyFont="1" applyFill="1" applyBorder="1" applyAlignment="1" applyProtection="1"/>
    <xf numFmtId="1" fontId="126" fillId="21" borderId="58" xfId="0" applyNumberFormat="1" applyFont="1" applyFill="1" applyBorder="1" applyAlignment="1" applyProtection="1"/>
    <xf numFmtId="1" fontId="126" fillId="21" borderId="0" xfId="0" applyNumberFormat="1" applyFont="1" applyFill="1" applyBorder="1" applyAlignment="1" applyProtection="1"/>
    <xf numFmtId="0" fontId="118" fillId="21" borderId="38" xfId="0" applyNumberFormat="1" applyFont="1" applyFill="1" applyBorder="1" applyAlignment="1" applyProtection="1"/>
    <xf numFmtId="0" fontId="118" fillId="21" borderId="65" xfId="0" applyNumberFormat="1" applyFont="1" applyFill="1" applyBorder="1" applyAlignment="1" applyProtection="1"/>
    <xf numFmtId="0" fontId="118" fillId="21" borderId="173" xfId="0" applyNumberFormat="1" applyFont="1" applyFill="1" applyBorder="1" applyAlignment="1" applyProtection="1"/>
    <xf numFmtId="49" fontId="126" fillId="21" borderId="38" xfId="0" applyNumberFormat="1" applyFont="1" applyFill="1" applyBorder="1" applyAlignment="1" applyProtection="1"/>
    <xf numFmtId="0" fontId="118" fillId="21" borderId="58" xfId="0" applyNumberFormat="1" applyFont="1" applyFill="1" applyBorder="1" applyAlignment="1" applyProtection="1"/>
    <xf numFmtId="0" fontId="25" fillId="21" borderId="154" xfId="5" applyFont="1" applyFill="1" applyBorder="1" applyAlignment="1" applyProtection="1">
      <alignment horizontal="left" wrapText="1"/>
    </xf>
    <xf numFmtId="169" fontId="42" fillId="21" borderId="154" xfId="5" applyNumberFormat="1" applyFont="1" applyFill="1" applyBorder="1" applyProtection="1"/>
    <xf numFmtId="0" fontId="25" fillId="21" borderId="154" xfId="5" applyFill="1" applyBorder="1" applyProtection="1"/>
    <xf numFmtId="3" fontId="43" fillId="21" borderId="154" xfId="5" applyNumberFormat="1" applyFont="1" applyFill="1" applyBorder="1" applyProtection="1"/>
    <xf numFmtId="3" fontId="3" fillId="21" borderId="32" xfId="5" applyNumberFormat="1" applyFont="1" applyFill="1" applyBorder="1" applyAlignment="1" applyProtection="1">
      <alignment horizontal="right"/>
    </xf>
    <xf numFmtId="3" fontId="3" fillId="21" borderId="31" xfId="5" applyNumberFormat="1" applyFont="1" applyFill="1" applyBorder="1" applyAlignment="1" applyProtection="1">
      <alignment horizontal="right"/>
    </xf>
    <xf numFmtId="3" fontId="3" fillId="21" borderId="33" xfId="5" applyNumberFormat="1" applyFont="1" applyFill="1" applyBorder="1" applyAlignment="1" applyProtection="1">
      <alignment horizontal="right"/>
    </xf>
    <xf numFmtId="3" fontId="3" fillId="21" borderId="114" xfId="5" applyNumberFormat="1" applyFont="1" applyFill="1" applyBorder="1" applyAlignment="1" applyProtection="1">
      <alignment horizontal="right"/>
    </xf>
    <xf numFmtId="3" fontId="3" fillId="21" borderId="99" xfId="5" applyNumberFormat="1" applyFont="1" applyFill="1" applyBorder="1" applyAlignment="1" applyProtection="1">
      <alignment horizontal="right"/>
    </xf>
    <xf numFmtId="3" fontId="3" fillId="21" borderId="203" xfId="5" applyNumberFormat="1" applyFont="1" applyFill="1" applyBorder="1" applyAlignment="1" applyProtection="1">
      <alignment horizontal="right"/>
    </xf>
    <xf numFmtId="3" fontId="3" fillId="21" borderId="200" xfId="5" applyNumberFormat="1" applyFont="1" applyFill="1" applyBorder="1" applyAlignment="1" applyProtection="1">
      <alignment horizontal="right"/>
    </xf>
    <xf numFmtId="3" fontId="3" fillId="21" borderId="33" xfId="5" applyNumberFormat="1" applyFont="1" applyFill="1" applyBorder="1" applyProtection="1"/>
    <xf numFmtId="0" fontId="25" fillId="21" borderId="174" xfId="5" applyFill="1" applyBorder="1" applyProtection="1"/>
    <xf numFmtId="3" fontId="46" fillId="22" borderId="125" xfId="0" applyNumberFormat="1" applyFont="1" applyFill="1" applyBorder="1" applyProtection="1"/>
    <xf numFmtId="0" fontId="0" fillId="0" borderId="56" xfId="0" applyFill="1" applyBorder="1" applyProtection="1"/>
    <xf numFmtId="3" fontId="112" fillId="0" borderId="119" xfId="5" applyNumberFormat="1" applyFont="1" applyFill="1" applyBorder="1" applyAlignment="1" applyProtection="1">
      <alignment horizontal="right"/>
    </xf>
    <xf numFmtId="0" fontId="0" fillId="0" borderId="0" xfId="0" applyBorder="1" applyAlignment="1" applyProtection="1">
      <alignment wrapText="1"/>
      <protection locked="0"/>
    </xf>
    <xf numFmtId="3" fontId="3" fillId="0" borderId="19" xfId="0" applyNumberFormat="1" applyFont="1" applyFill="1" applyBorder="1" applyAlignment="1" applyProtection="1">
      <alignment horizontal="right"/>
      <protection locked="0"/>
    </xf>
    <xf numFmtId="3" fontId="4" fillId="21" borderId="55" xfId="0" applyNumberFormat="1" applyFont="1" applyFill="1" applyBorder="1" applyAlignment="1" applyProtection="1">
      <alignment horizontal="left" wrapText="1"/>
    </xf>
    <xf numFmtId="3" fontId="4" fillId="21" borderId="55" xfId="0" applyNumberFormat="1" applyFont="1" applyFill="1" applyBorder="1" applyAlignment="1" applyProtection="1">
      <alignment horizontal="left" vertical="top"/>
    </xf>
    <xf numFmtId="3" fontId="4" fillId="21" borderId="142" xfId="0" applyNumberFormat="1" applyFont="1" applyFill="1" applyBorder="1" applyAlignment="1" applyProtection="1">
      <alignment horizontal="left" vertical="top"/>
    </xf>
    <xf numFmtId="170" fontId="4" fillId="21" borderId="211" xfId="0" applyNumberFormat="1" applyFont="1" applyFill="1" applyBorder="1" applyAlignment="1" applyProtection="1">
      <alignment horizontal="left"/>
    </xf>
    <xf numFmtId="3" fontId="14" fillId="2" borderId="142" xfId="0" applyNumberFormat="1" applyFont="1" applyFill="1" applyBorder="1" applyAlignment="1" applyProtection="1">
      <alignment horizontal="right"/>
      <protection locked="0"/>
    </xf>
    <xf numFmtId="3" fontId="3" fillId="3" borderId="212" xfId="0" applyNumberFormat="1" applyFont="1" applyFill="1" applyBorder="1" applyAlignment="1" applyProtection="1">
      <alignment horizontal="right"/>
    </xf>
    <xf numFmtId="3" fontId="14" fillId="6" borderId="142" xfId="0" applyNumberFormat="1" applyFont="1" applyFill="1" applyBorder="1" applyAlignment="1" applyProtection="1">
      <alignment horizontal="right"/>
      <protection locked="0"/>
    </xf>
    <xf numFmtId="3" fontId="3" fillId="21" borderId="211" xfId="0" applyNumberFormat="1" applyFont="1" applyFill="1" applyBorder="1" applyAlignment="1" applyProtection="1">
      <alignment horizontal="right"/>
    </xf>
    <xf numFmtId="3" fontId="3" fillId="3" borderId="142" xfId="0" applyNumberFormat="1" applyFont="1" applyFill="1" applyBorder="1" applyAlignment="1" applyProtection="1">
      <alignment horizontal="right"/>
    </xf>
    <xf numFmtId="3" fontId="3" fillId="3" borderId="202" xfId="0" applyNumberFormat="1" applyFont="1" applyFill="1" applyBorder="1" applyAlignment="1" applyProtection="1">
      <alignment horizontal="right"/>
    </xf>
    <xf numFmtId="3" fontId="14" fillId="2" borderId="82" xfId="0" applyNumberFormat="1" applyFont="1" applyFill="1" applyBorder="1" applyAlignment="1" applyProtection="1">
      <alignment horizontal="right"/>
      <protection locked="0"/>
    </xf>
    <xf numFmtId="3" fontId="3" fillId="3" borderId="193" xfId="0" applyNumberFormat="1" applyFont="1" applyFill="1" applyBorder="1" applyAlignment="1" applyProtection="1">
      <alignment horizontal="right"/>
    </xf>
    <xf numFmtId="3" fontId="6" fillId="0" borderId="57" xfId="0" applyNumberFormat="1" applyFont="1" applyFill="1" applyBorder="1" applyAlignment="1" applyProtection="1">
      <alignment horizontal="left"/>
    </xf>
    <xf numFmtId="3" fontId="4" fillId="0" borderId="0" xfId="0" applyNumberFormat="1" applyFont="1" applyFill="1" applyBorder="1" applyAlignment="1" applyProtection="1">
      <alignment horizontal="left"/>
    </xf>
    <xf numFmtId="3" fontId="6" fillId="0" borderId="57" xfId="0" applyNumberFormat="1" applyFont="1" applyFill="1" applyBorder="1" applyAlignment="1" applyProtection="1">
      <alignment horizontal="left" vertical="top" wrapText="1"/>
    </xf>
    <xf numFmtId="3" fontId="4" fillId="0" borderId="0" xfId="0" applyNumberFormat="1" applyFont="1" applyFill="1" applyBorder="1" applyAlignment="1" applyProtection="1">
      <alignment horizontal="left" wrapText="1"/>
    </xf>
    <xf numFmtId="0" fontId="6" fillId="0" borderId="57" xfId="0" applyFont="1" applyFill="1" applyBorder="1" applyAlignment="1" applyProtection="1">
      <alignment horizontal="left"/>
    </xf>
    <xf numFmtId="3" fontId="4" fillId="0" borderId="0" xfId="0" applyNumberFormat="1" applyFont="1" applyFill="1" applyBorder="1" applyAlignment="1" applyProtection="1">
      <alignment horizontal="left" vertical="top"/>
    </xf>
    <xf numFmtId="3" fontId="4" fillId="0" borderId="57" xfId="0" applyNumberFormat="1" applyFont="1" applyFill="1" applyBorder="1" applyAlignment="1" applyProtection="1">
      <alignment horizontal="left" vertical="top" wrapText="1"/>
    </xf>
    <xf numFmtId="170" fontId="4" fillId="0" borderId="57" xfId="0" applyNumberFormat="1" applyFont="1" applyFill="1" applyBorder="1" applyAlignment="1" applyProtection="1">
      <alignment horizontal="left"/>
    </xf>
    <xf numFmtId="170" fontId="4" fillId="0" borderId="0" xfId="0" applyNumberFormat="1" applyFont="1" applyFill="1" applyBorder="1" applyAlignment="1" applyProtection="1">
      <alignment horizontal="left"/>
    </xf>
    <xf numFmtId="3" fontId="112" fillId="0" borderId="0" xfId="0" applyNumberFormat="1" applyFont="1" applyFill="1" applyBorder="1" applyAlignment="1" applyProtection="1">
      <alignment horizontal="right"/>
    </xf>
    <xf numFmtId="0" fontId="3" fillId="0" borderId="0" xfId="0" applyFont="1" applyBorder="1" applyAlignment="1" applyProtection="1"/>
    <xf numFmtId="0" fontId="0" fillId="0" borderId="0" xfId="0" applyBorder="1" applyAlignment="1">
      <alignment wrapText="1"/>
    </xf>
    <xf numFmtId="0" fontId="0" fillId="0" borderId="0" xfId="0" applyBorder="1" applyAlignment="1" applyProtection="1">
      <alignment vertical="top"/>
    </xf>
    <xf numFmtId="0" fontId="4" fillId="0" borderId="0" xfId="0" applyFont="1" applyBorder="1" applyAlignment="1" applyProtection="1"/>
    <xf numFmtId="49" fontId="4" fillId="21" borderId="87" xfId="0" applyNumberFormat="1" applyFont="1" applyFill="1" applyBorder="1" applyAlignment="1" applyProtection="1">
      <alignment horizontal="center"/>
    </xf>
    <xf numFmtId="0" fontId="3" fillId="21" borderId="106" xfId="0" applyFont="1" applyFill="1" applyBorder="1" applyProtection="1"/>
    <xf numFmtId="49" fontId="4" fillId="21" borderId="70" xfId="0" applyNumberFormat="1" applyFont="1" applyFill="1" applyBorder="1" applyAlignment="1" applyProtection="1">
      <alignment horizontal="left"/>
    </xf>
    <xf numFmtId="0" fontId="112" fillId="0" borderId="57" xfId="0" applyNumberFormat="1" applyFont="1" applyFill="1" applyBorder="1" applyAlignment="1" applyProtection="1">
      <alignment horizontal="left"/>
    </xf>
    <xf numFmtId="0" fontId="3" fillId="21" borderId="94" xfId="0" applyFont="1" applyFill="1" applyBorder="1" applyAlignment="1" applyProtection="1">
      <alignment horizontal="left" vertical="top" wrapText="1"/>
    </xf>
    <xf numFmtId="0" fontId="37" fillId="0" borderId="0" xfId="0" applyFont="1" applyFill="1" applyAlignment="1" applyProtection="1"/>
    <xf numFmtId="0" fontId="4" fillId="21" borderId="107" xfId="5" applyFont="1" applyFill="1" applyBorder="1" applyAlignment="1" applyProtection="1">
      <alignment horizontal="left" vertical="top"/>
    </xf>
    <xf numFmtId="3" fontId="46" fillId="21" borderId="9" xfId="5" applyNumberFormat="1" applyFont="1" applyFill="1" applyBorder="1" applyAlignment="1" applyProtection="1">
      <alignment horizontal="right"/>
    </xf>
    <xf numFmtId="0" fontId="4" fillId="21" borderId="3" xfId="0" applyFont="1" applyFill="1" applyBorder="1" applyAlignment="1" applyProtection="1">
      <alignment vertical="top" wrapText="1"/>
    </xf>
    <xf numFmtId="3" fontId="3" fillId="2" borderId="213" xfId="0" applyNumberFormat="1" applyFont="1" applyFill="1" applyBorder="1" applyProtection="1">
      <protection locked="0"/>
    </xf>
    <xf numFmtId="3" fontId="3" fillId="2" borderId="106" xfId="0" applyNumberFormat="1" applyFont="1" applyFill="1" applyBorder="1" applyProtection="1">
      <protection locked="0"/>
    </xf>
    <xf numFmtId="3" fontId="3" fillId="0" borderId="34" xfId="0" applyNumberFormat="1" applyFont="1" applyFill="1" applyBorder="1" applyProtection="1">
      <protection locked="0"/>
    </xf>
    <xf numFmtId="3" fontId="3" fillId="0" borderId="110" xfId="0" applyNumberFormat="1" applyFont="1" applyFill="1" applyBorder="1" applyProtection="1">
      <protection locked="0"/>
    </xf>
    <xf numFmtId="3" fontId="14" fillId="0" borderId="22" xfId="0" applyNumberFormat="1" applyFont="1" applyFill="1" applyBorder="1" applyAlignment="1" applyProtection="1">
      <alignment horizontal="right"/>
      <protection locked="0"/>
    </xf>
    <xf numFmtId="3" fontId="14" fillId="0" borderId="5" xfId="0" applyNumberFormat="1" applyFont="1" applyFill="1" applyBorder="1" applyAlignment="1" applyProtection="1">
      <alignment horizontal="right"/>
      <protection locked="0"/>
    </xf>
    <xf numFmtId="3" fontId="14" fillId="0" borderId="21" xfId="0" applyNumberFormat="1" applyFont="1" applyFill="1" applyBorder="1" applyAlignment="1" applyProtection="1">
      <alignment horizontal="right"/>
      <protection locked="0"/>
    </xf>
    <xf numFmtId="3" fontId="14" fillId="0" borderId="2" xfId="0" applyNumberFormat="1" applyFont="1" applyFill="1" applyBorder="1" applyAlignment="1" applyProtection="1">
      <alignment horizontal="right"/>
      <protection locked="0"/>
    </xf>
    <xf numFmtId="3" fontId="14" fillId="28" borderId="29" xfId="0" applyNumberFormat="1" applyFont="1" applyFill="1" applyBorder="1" applyAlignment="1" applyProtection="1">
      <alignment horizontal="right"/>
    </xf>
    <xf numFmtId="0" fontId="112" fillId="0" borderId="0" xfId="0" applyNumberFormat="1" applyFont="1" applyFill="1" applyBorder="1" applyAlignment="1" applyProtection="1">
      <alignment horizontal="left"/>
    </xf>
    <xf numFmtId="3" fontId="3" fillId="3" borderId="81" xfId="0" applyNumberFormat="1" applyFont="1" applyFill="1" applyBorder="1" applyAlignment="1" applyProtection="1">
      <alignment horizontal="right"/>
    </xf>
    <xf numFmtId="0" fontId="25" fillId="0" borderId="0" xfId="0" quotePrefix="1" applyFont="1" applyBorder="1" applyAlignment="1" applyProtection="1">
      <alignment vertical="top" wrapText="1"/>
    </xf>
    <xf numFmtId="0" fontId="4" fillId="0" borderId="0" xfId="0" applyFont="1" applyAlignment="1" applyProtection="1"/>
    <xf numFmtId="0" fontId="3" fillId="0" borderId="0" xfId="0" applyFont="1" applyBorder="1" applyAlignment="1" applyProtection="1">
      <alignment wrapText="1"/>
    </xf>
    <xf numFmtId="3" fontId="4" fillId="21" borderId="20" xfId="5" applyNumberFormat="1" applyFont="1" applyFill="1" applyBorder="1" applyAlignment="1" applyProtection="1">
      <alignment horizontal="center"/>
    </xf>
    <xf numFmtId="3" fontId="3" fillId="33" borderId="109" xfId="5" applyNumberFormat="1" applyFont="1" applyFill="1" applyBorder="1" applyProtection="1"/>
    <xf numFmtId="3" fontId="3" fillId="33" borderId="5" xfId="5" applyNumberFormat="1" applyFont="1" applyFill="1" applyBorder="1" applyAlignment="1" applyProtection="1">
      <alignment horizontal="right"/>
    </xf>
    <xf numFmtId="3" fontId="3" fillId="33" borderId="69" xfId="5" applyNumberFormat="1" applyFont="1" applyFill="1" applyBorder="1" applyAlignment="1" applyProtection="1">
      <alignment horizontal="right"/>
    </xf>
    <xf numFmtId="3" fontId="3" fillId="33" borderId="25" xfId="5" applyNumberFormat="1" applyFont="1" applyFill="1" applyBorder="1" applyAlignment="1" applyProtection="1">
      <alignment horizontal="right"/>
    </xf>
    <xf numFmtId="3" fontId="112" fillId="21" borderId="14" xfId="0" applyNumberFormat="1" applyFont="1" applyFill="1" applyBorder="1" applyProtection="1"/>
    <xf numFmtId="3" fontId="114" fillId="21" borderId="9" xfId="0" applyNumberFormat="1" applyFont="1" applyFill="1" applyBorder="1" applyProtection="1"/>
    <xf numFmtId="3" fontId="115" fillId="21" borderId="9" xfId="0" applyNumberFormat="1" applyFont="1" applyFill="1" applyBorder="1" applyProtection="1"/>
    <xf numFmtId="3" fontId="115" fillId="21" borderId="5" xfId="0" applyNumberFormat="1" applyFont="1" applyFill="1" applyBorder="1" applyProtection="1"/>
    <xf numFmtId="0" fontId="112" fillId="0" borderId="0" xfId="0" applyNumberFormat="1" applyFont="1" applyFill="1" applyBorder="1" applyAlignment="1" applyProtection="1"/>
    <xf numFmtId="0" fontId="0" fillId="0" borderId="0" xfId="0" applyFill="1" applyBorder="1" applyAlignment="1" applyProtection="1">
      <alignment vertical="top" wrapText="1"/>
    </xf>
    <xf numFmtId="3" fontId="4" fillId="21" borderId="15" xfId="5" applyNumberFormat="1" applyFont="1" applyFill="1" applyBorder="1" applyAlignment="1" applyProtection="1">
      <alignment vertical="top" wrapText="1"/>
    </xf>
    <xf numFmtId="3" fontId="4" fillId="21" borderId="153" xfId="5" applyNumberFormat="1" applyFont="1" applyFill="1" applyBorder="1" applyAlignment="1" applyProtection="1">
      <alignment vertical="center" wrapText="1"/>
    </xf>
    <xf numFmtId="49" fontId="4" fillId="21" borderId="69" xfId="0" applyNumberFormat="1" applyFont="1" applyFill="1" applyBorder="1" applyAlignment="1" applyProtection="1">
      <alignment horizontal="center"/>
    </xf>
    <xf numFmtId="167" fontId="6" fillId="21" borderId="84" xfId="0" applyNumberFormat="1" applyFont="1" applyFill="1" applyBorder="1" applyAlignment="1" applyProtection="1">
      <alignment horizontal="left"/>
    </xf>
    <xf numFmtId="167" fontId="4" fillId="21" borderId="59" xfId="0" applyNumberFormat="1" applyFont="1" applyFill="1" applyBorder="1" applyAlignment="1" applyProtection="1">
      <alignment horizontal="left"/>
    </xf>
    <xf numFmtId="0" fontId="6" fillId="21" borderId="84" xfId="0" applyFont="1" applyFill="1" applyBorder="1" applyAlignment="1" applyProtection="1">
      <alignment horizontal="left"/>
    </xf>
    <xf numFmtId="0" fontId="123" fillId="21" borderId="97" xfId="0" applyFont="1" applyFill="1" applyBorder="1" applyAlignment="1" applyProtection="1">
      <alignment vertical="top" wrapText="1"/>
    </xf>
    <xf numFmtId="0" fontId="123" fillId="21" borderId="84" xfId="0" applyFont="1" applyFill="1" applyBorder="1" applyAlignment="1" applyProtection="1">
      <alignment vertical="top" wrapText="1"/>
    </xf>
    <xf numFmtId="49" fontId="4" fillId="21" borderId="22" xfId="5" applyNumberFormat="1" applyFont="1" applyFill="1" applyBorder="1" applyAlignment="1" applyProtection="1">
      <alignment horizontal="center"/>
    </xf>
    <xf numFmtId="0" fontId="6" fillId="21" borderId="80" xfId="5" applyFont="1" applyFill="1" applyBorder="1" applyProtection="1"/>
    <xf numFmtId="3" fontId="6" fillId="21" borderId="113" xfId="5" applyNumberFormat="1" applyFont="1" applyFill="1" applyBorder="1" applyAlignment="1" applyProtection="1">
      <alignment horizontal="left" vertical="top" wrapText="1"/>
    </xf>
    <xf numFmtId="3" fontId="6" fillId="21" borderId="84" xfId="5" applyNumberFormat="1" applyFont="1" applyFill="1" applyBorder="1" applyAlignment="1" applyProtection="1">
      <alignment horizontal="left" vertical="top" wrapText="1"/>
    </xf>
    <xf numFmtId="3" fontId="6" fillId="21" borderId="59" xfId="5" applyNumberFormat="1" applyFont="1" applyFill="1" applyBorder="1" applyAlignment="1" applyProtection="1">
      <alignment horizontal="left"/>
    </xf>
    <xf numFmtId="3" fontId="6" fillId="21" borderId="59" xfId="5" quotePrefix="1" applyNumberFormat="1" applyFont="1" applyFill="1" applyBorder="1" applyAlignment="1" applyProtection="1">
      <alignment horizontal="left" vertical="top"/>
    </xf>
    <xf numFmtId="0" fontId="4" fillId="21" borderId="41" xfId="5" applyFont="1" applyFill="1" applyBorder="1" applyAlignment="1" applyProtection="1">
      <alignment horizontal="center" wrapText="1"/>
    </xf>
    <xf numFmtId="3" fontId="4" fillId="21" borderId="86" xfId="5" applyNumberFormat="1" applyFont="1" applyFill="1" applyBorder="1" applyAlignment="1" applyProtection="1">
      <alignment horizontal="center" wrapText="1"/>
    </xf>
    <xf numFmtId="3" fontId="6" fillId="21" borderId="184" xfId="5" applyNumberFormat="1" applyFont="1" applyFill="1" applyBorder="1" applyProtection="1"/>
    <xf numFmtId="3" fontId="6" fillId="21" borderId="0" xfId="5" applyNumberFormat="1" applyFont="1" applyFill="1" applyBorder="1" applyAlignment="1" applyProtection="1">
      <alignment vertical="center"/>
    </xf>
    <xf numFmtId="3" fontId="4" fillId="21" borderId="184" xfId="0" applyNumberFormat="1" applyFont="1" applyFill="1" applyBorder="1" applyAlignment="1" applyProtection="1"/>
    <xf numFmtId="49" fontId="4" fillId="21" borderId="2" xfId="0" applyNumberFormat="1" applyFont="1" applyFill="1" applyBorder="1" applyAlignment="1" applyProtection="1">
      <alignment horizontal="left" vertical="top" wrapText="1"/>
    </xf>
    <xf numFmtId="3" fontId="6" fillId="21" borderId="210" xfId="5" applyNumberFormat="1" applyFont="1" applyFill="1" applyBorder="1" applyAlignment="1" applyProtection="1">
      <alignment horizontal="left" vertical="center" wrapText="1"/>
    </xf>
    <xf numFmtId="0" fontId="128" fillId="21" borderId="2" xfId="5" applyFont="1" applyFill="1" applyBorder="1" applyAlignment="1" applyProtection="1">
      <alignment horizontal="left"/>
    </xf>
    <xf numFmtId="49" fontId="101" fillId="21" borderId="22" xfId="0" applyNumberFormat="1" applyFont="1" applyFill="1" applyBorder="1" applyAlignment="1" applyProtection="1">
      <alignment horizontal="center"/>
    </xf>
    <xf numFmtId="0" fontId="101" fillId="21" borderId="24" xfId="0" applyFont="1" applyFill="1" applyBorder="1" applyAlignment="1" applyProtection="1">
      <alignment horizontal="center"/>
    </xf>
    <xf numFmtId="49" fontId="128" fillId="21" borderId="22" xfId="5" applyNumberFormat="1" applyFont="1" applyFill="1" applyBorder="1" applyAlignment="1" applyProtection="1">
      <alignment horizontal="center"/>
    </xf>
    <xf numFmtId="49" fontId="128" fillId="21" borderId="24" xfId="5" applyNumberFormat="1" applyFont="1" applyFill="1" applyBorder="1" applyAlignment="1" applyProtection="1">
      <alignment horizontal="center"/>
    </xf>
    <xf numFmtId="49" fontId="128" fillId="21" borderId="137" xfId="0" applyNumberFormat="1" applyFont="1" applyFill="1" applyBorder="1" applyAlignment="1" applyProtection="1">
      <alignment horizontal="center"/>
    </xf>
    <xf numFmtId="49" fontId="128" fillId="21" borderId="141" xfId="5" applyNumberFormat="1" applyFont="1" applyFill="1" applyBorder="1" applyAlignment="1" applyProtection="1">
      <alignment horizontal="center"/>
    </xf>
    <xf numFmtId="0" fontId="129" fillId="21" borderId="9" xfId="0" applyFont="1" applyFill="1" applyBorder="1" applyAlignment="1" applyProtection="1">
      <alignment horizontal="left"/>
    </xf>
    <xf numFmtId="3" fontId="3" fillId="22" borderId="20" xfId="0" applyNumberFormat="1" applyFont="1" applyFill="1" applyBorder="1" applyProtection="1"/>
    <xf numFmtId="3" fontId="3" fillId="9" borderId="174" xfId="0" applyNumberFormat="1" applyFont="1" applyFill="1" applyBorder="1" applyProtection="1"/>
    <xf numFmtId="3" fontId="3" fillId="21" borderId="32" xfId="0" applyNumberFormat="1" applyFont="1" applyFill="1" applyBorder="1" applyAlignment="1" applyProtection="1">
      <alignment horizontal="right"/>
    </xf>
    <xf numFmtId="3" fontId="3" fillId="0" borderId="19" xfId="0" applyNumberFormat="1" applyFont="1" applyFill="1" applyBorder="1" applyProtection="1">
      <protection locked="0"/>
    </xf>
    <xf numFmtId="3" fontId="3" fillId="0" borderId="26" xfId="0" applyNumberFormat="1" applyFont="1" applyFill="1" applyBorder="1" applyProtection="1">
      <protection locked="0"/>
    </xf>
    <xf numFmtId="0" fontId="64" fillId="21" borderId="27" xfId="0" applyFont="1" applyFill="1" applyBorder="1" applyAlignment="1">
      <alignment horizontal="right" wrapText="1"/>
    </xf>
    <xf numFmtId="0" fontId="0" fillId="21" borderId="0" xfId="0" applyFill="1" applyAlignment="1"/>
    <xf numFmtId="0" fontId="128" fillId="21" borderId="0" xfId="0" applyFont="1" applyFill="1" applyAlignment="1">
      <alignment wrapText="1"/>
    </xf>
    <xf numFmtId="0" fontId="128" fillId="21" borderId="206" xfId="0" applyFont="1" applyFill="1" applyBorder="1" applyAlignment="1">
      <alignment wrapText="1"/>
    </xf>
    <xf numFmtId="0" fontId="130" fillId="21" borderId="0" xfId="0" applyFont="1" applyFill="1" applyAlignment="1">
      <alignment vertical="top" wrapText="1"/>
    </xf>
    <xf numFmtId="0" fontId="130" fillId="21" borderId="0" xfId="0" applyFont="1" applyFill="1" applyAlignment="1">
      <alignment wrapText="1"/>
    </xf>
    <xf numFmtId="0" fontId="129" fillId="21" borderId="0" xfId="0" applyFont="1" applyFill="1" applyAlignment="1">
      <alignment wrapText="1"/>
    </xf>
    <xf numFmtId="0" fontId="112" fillId="21" borderId="0" xfId="0" applyFont="1" applyFill="1" applyBorder="1" applyAlignment="1" applyProtection="1">
      <alignment wrapText="1"/>
    </xf>
    <xf numFmtId="0" fontId="0" fillId="21" borderId="0" xfId="0" applyFill="1" applyAlignment="1">
      <alignment wrapText="1"/>
    </xf>
    <xf numFmtId="0" fontId="0" fillId="21" borderId="0" xfId="0" applyFill="1" applyAlignment="1">
      <alignment horizontal="left" vertical="top" wrapText="1"/>
    </xf>
    <xf numFmtId="0" fontId="128" fillId="21" borderId="38" xfId="0" applyFont="1" applyFill="1" applyBorder="1" applyAlignment="1">
      <alignment wrapText="1"/>
    </xf>
    <xf numFmtId="0" fontId="8" fillId="21" borderId="0" xfId="0" applyFont="1" applyFill="1" applyAlignment="1">
      <alignment wrapText="1"/>
    </xf>
    <xf numFmtId="0" fontId="37" fillId="0" borderId="0" xfId="0" quotePrefix="1" applyFont="1" applyFill="1" applyProtection="1"/>
    <xf numFmtId="0" fontId="100" fillId="0" borderId="0" xfId="0" applyFont="1" applyFill="1" applyAlignment="1" applyProtection="1">
      <alignment wrapText="1"/>
    </xf>
    <xf numFmtId="0" fontId="113" fillId="0" borderId="0" xfId="0" applyFont="1" applyFill="1" applyAlignment="1" applyProtection="1">
      <alignment vertical="top" wrapText="1"/>
    </xf>
    <xf numFmtId="1" fontId="112" fillId="0" borderId="57" xfId="0" applyNumberFormat="1" applyFont="1" applyFill="1" applyBorder="1" applyAlignment="1" applyProtection="1">
      <alignment horizontal="left"/>
    </xf>
    <xf numFmtId="0" fontId="112" fillId="0" borderId="0" xfId="0" applyNumberFormat="1" applyFont="1" applyFill="1" applyBorder="1" applyAlignment="1" applyProtection="1">
      <alignment horizontal="left" wrapText="1"/>
    </xf>
    <xf numFmtId="0" fontId="127" fillId="0" borderId="0" xfId="0" applyFont="1" applyFill="1" applyBorder="1" applyProtection="1"/>
    <xf numFmtId="3" fontId="37" fillId="0" borderId="55" xfId="5" quotePrefix="1" applyNumberFormat="1" applyFont="1" applyFill="1" applyBorder="1" applyAlignment="1" applyProtection="1">
      <alignment horizontal="left"/>
    </xf>
    <xf numFmtId="0" fontId="112" fillId="0" borderId="0" xfId="0" applyFont="1" applyFill="1" applyAlignment="1" applyProtection="1"/>
    <xf numFmtId="49" fontId="128" fillId="21" borderId="7" xfId="0" applyNumberFormat="1" applyFont="1" applyFill="1" applyBorder="1" applyAlignment="1" applyProtection="1">
      <alignment horizontal="center"/>
    </xf>
    <xf numFmtId="0" fontId="113" fillId="0" borderId="0" xfId="0" applyFont="1" applyFill="1" applyAlignment="1" applyProtection="1">
      <alignment horizontal="right" vertical="top" wrapText="1"/>
    </xf>
    <xf numFmtId="3" fontId="3" fillId="0" borderId="32" xfId="0" applyNumberFormat="1" applyFont="1" applyFill="1" applyBorder="1" applyProtection="1">
      <protection locked="0"/>
    </xf>
    <xf numFmtId="49" fontId="4" fillId="21" borderId="41" xfId="0" applyNumberFormat="1" applyFont="1" applyFill="1" applyBorder="1" applyAlignment="1" applyProtection="1">
      <alignment horizontal="center"/>
    </xf>
    <xf numFmtId="49" fontId="128" fillId="21" borderId="2" xfId="0" applyNumberFormat="1" applyFont="1" applyFill="1" applyBorder="1" applyAlignment="1" applyProtection="1">
      <alignment horizontal="center" vertical="top" wrapText="1"/>
    </xf>
    <xf numFmtId="0" fontId="4" fillId="21" borderId="59" xfId="5" applyFont="1" applyFill="1" applyBorder="1" applyAlignment="1" applyProtection="1">
      <alignment horizontal="left" wrapText="1"/>
    </xf>
    <xf numFmtId="0" fontId="135" fillId="0" borderId="0" xfId="0" applyFont="1" applyFill="1" applyBorder="1" applyAlignment="1" applyProtection="1">
      <alignment horizontal="left" vertical="top"/>
    </xf>
    <xf numFmtId="0" fontId="0" fillId="0" borderId="56" xfId="0" applyFill="1" applyBorder="1" applyAlignment="1"/>
    <xf numFmtId="0" fontId="0" fillId="0" borderId="0" xfId="0" applyFill="1" applyAlignment="1"/>
    <xf numFmtId="0" fontId="127" fillId="2" borderId="0" xfId="0" applyFont="1" applyFill="1" applyProtection="1"/>
    <xf numFmtId="0" fontId="137" fillId="0" borderId="0" xfId="0" applyFont="1" applyFill="1" applyAlignment="1">
      <alignment wrapText="1"/>
    </xf>
    <xf numFmtId="0" fontId="0" fillId="0" borderId="0" xfId="0" applyAlignment="1">
      <alignment wrapText="1"/>
    </xf>
    <xf numFmtId="0" fontId="10" fillId="0" borderId="0" xfId="0" applyFont="1" applyAlignment="1">
      <alignment wrapText="1"/>
    </xf>
    <xf numFmtId="3" fontId="112" fillId="0" borderId="0" xfId="0" applyNumberFormat="1" applyFont="1" applyFill="1" applyBorder="1" applyProtection="1"/>
    <xf numFmtId="0" fontId="37" fillId="0" borderId="0" xfId="0" applyFont="1" applyFill="1" applyAlignment="1" applyProtection="1">
      <alignment horizontal="left" vertical="top"/>
    </xf>
    <xf numFmtId="0" fontId="113" fillId="0" borderId="0" xfId="0" applyFont="1" applyFill="1" applyAlignment="1" applyProtection="1">
      <alignment horizontal="right"/>
    </xf>
    <xf numFmtId="0" fontId="113" fillId="0" borderId="0" xfId="0" applyFont="1" applyFill="1" applyAlignment="1" applyProtection="1">
      <alignment horizontal="left" vertical="top" wrapText="1"/>
    </xf>
    <xf numFmtId="3" fontId="6" fillId="21" borderId="15" xfId="5" applyNumberFormat="1" applyFont="1" applyFill="1" applyBorder="1" applyAlignment="1" applyProtection="1">
      <alignment horizontal="left"/>
    </xf>
    <xf numFmtId="3" fontId="6" fillId="21" borderId="15" xfId="5" applyNumberFormat="1" applyFont="1" applyFill="1" applyBorder="1" applyAlignment="1" applyProtection="1">
      <alignment horizontal="left" vertical="center"/>
    </xf>
    <xf numFmtId="3" fontId="129" fillId="21" borderId="15" xfId="5" applyNumberFormat="1" applyFont="1" applyFill="1" applyBorder="1" applyAlignment="1" applyProtection="1">
      <alignment horizontal="left" vertical="top" wrapText="1"/>
    </xf>
    <xf numFmtId="0" fontId="112" fillId="0" borderId="0" xfId="0" applyFont="1" applyFill="1" applyBorder="1" applyAlignment="1" applyProtection="1">
      <alignment vertical="top"/>
    </xf>
    <xf numFmtId="0" fontId="127" fillId="0" borderId="0" xfId="0" applyFont="1" applyFill="1" applyBorder="1" applyAlignment="1" applyProtection="1">
      <alignment vertical="top"/>
    </xf>
    <xf numFmtId="0" fontId="137" fillId="0" borderId="0" xfId="0" applyFont="1" applyAlignment="1">
      <alignment wrapText="1"/>
    </xf>
    <xf numFmtId="3" fontId="138" fillId="0" borderId="0" xfId="0" applyNumberFormat="1" applyFont="1" applyFill="1" applyBorder="1" applyProtection="1"/>
    <xf numFmtId="0" fontId="0" fillId="0" borderId="0" xfId="0" applyFill="1" applyBorder="1" applyAlignment="1">
      <alignment horizontal="left" wrapText="1"/>
    </xf>
    <xf numFmtId="1" fontId="4" fillId="21" borderId="2" xfId="0" applyNumberFormat="1" applyFont="1" applyFill="1" applyBorder="1" applyAlignment="1" applyProtection="1">
      <alignment horizontal="center" vertical="center" wrapText="1"/>
    </xf>
    <xf numFmtId="0" fontId="4" fillId="21" borderId="2" xfId="0" applyFont="1" applyFill="1" applyBorder="1" applyAlignment="1" applyProtection="1">
      <alignment horizontal="left" vertical="center" wrapText="1"/>
    </xf>
    <xf numFmtId="0" fontId="6" fillId="21" borderId="25" xfId="0" applyFont="1" applyFill="1" applyBorder="1" applyAlignment="1" applyProtection="1">
      <alignment horizontal="left" vertical="center" wrapText="1"/>
    </xf>
    <xf numFmtId="0" fontId="37" fillId="0" borderId="0" xfId="0" applyFont="1" applyFill="1" applyAlignment="1" applyProtection="1">
      <alignment vertical="top" wrapText="1"/>
    </xf>
    <xf numFmtId="3" fontId="3" fillId="2" borderId="43" xfId="0" applyNumberFormat="1" applyFont="1" applyFill="1" applyBorder="1" applyAlignment="1" applyProtection="1">
      <alignment horizontal="right"/>
      <protection locked="0"/>
    </xf>
    <xf numFmtId="0" fontId="56" fillId="2" borderId="0" xfId="0" applyFont="1" applyFill="1" applyAlignment="1" applyProtection="1"/>
    <xf numFmtId="0" fontId="4" fillId="21" borderId="162" xfId="0" applyNumberFormat="1" applyFont="1" applyFill="1" applyBorder="1" applyAlignment="1" applyProtection="1">
      <alignment horizontal="center" vertical="top" wrapText="1"/>
    </xf>
    <xf numFmtId="49" fontId="4" fillId="21" borderId="12" xfId="0" applyNumberFormat="1" applyFont="1" applyFill="1" applyBorder="1" applyAlignment="1" applyProtection="1">
      <alignment horizontal="left" vertical="top" wrapText="1"/>
    </xf>
    <xf numFmtId="0" fontId="4" fillId="21" borderId="8" xfId="0" applyFont="1" applyFill="1" applyBorder="1" applyAlignment="1" applyProtection="1">
      <alignment vertical="top" wrapText="1"/>
    </xf>
    <xf numFmtId="49" fontId="4" fillId="21" borderId="211" xfId="0" applyNumberFormat="1" applyFont="1" applyFill="1" applyBorder="1" applyAlignment="1" applyProtection="1">
      <alignment horizontal="left"/>
    </xf>
    <xf numFmtId="0" fontId="52" fillId="21" borderId="63" xfId="0" applyFont="1" applyFill="1" applyBorder="1" applyProtection="1"/>
    <xf numFmtId="166" fontId="10" fillId="2" borderId="0" xfId="0" applyNumberFormat="1" applyFont="1" applyFill="1" applyBorder="1" applyAlignment="1" applyProtection="1">
      <alignment horizontal="center" vertical="center"/>
    </xf>
    <xf numFmtId="3" fontId="4" fillId="21" borderId="43" xfId="5" applyNumberFormat="1" applyFont="1" applyFill="1" applyBorder="1" applyAlignment="1" applyProtection="1"/>
    <xf numFmtId="3" fontId="4" fillId="21" borderId="43" xfId="5" applyNumberFormat="1" applyFont="1" applyFill="1" applyBorder="1" applyAlignment="1" applyProtection="1">
      <alignment vertical="top" wrapText="1"/>
    </xf>
    <xf numFmtId="3" fontId="3" fillId="27" borderId="35" xfId="0" applyNumberFormat="1" applyFont="1" applyFill="1" applyBorder="1" applyAlignment="1" applyProtection="1"/>
    <xf numFmtId="3" fontId="3" fillId="27" borderId="2" xfId="0" applyNumberFormat="1" applyFont="1" applyFill="1" applyBorder="1" applyAlignment="1" applyProtection="1"/>
    <xf numFmtId="3" fontId="3" fillId="27" borderId="5" xfId="0" applyNumberFormat="1" applyFont="1" applyFill="1" applyBorder="1" applyAlignment="1" applyProtection="1"/>
    <xf numFmtId="0" fontId="4" fillId="21" borderId="35" xfId="0" applyFont="1" applyFill="1" applyBorder="1" applyProtection="1"/>
    <xf numFmtId="49" fontId="8" fillId="0" borderId="0" xfId="0" applyNumberFormat="1" applyFont="1" applyFill="1" applyBorder="1" applyAlignment="1" applyProtection="1">
      <alignment horizontal="center"/>
    </xf>
    <xf numFmtId="49" fontId="4" fillId="21" borderId="119" xfId="0" applyNumberFormat="1" applyFont="1" applyFill="1" applyBorder="1" applyAlignment="1" applyProtection="1">
      <alignment horizontal="left"/>
    </xf>
    <xf numFmtId="0" fontId="17" fillId="21" borderId="119" xfId="0" applyFont="1" applyFill="1" applyBorder="1" applyProtection="1"/>
    <xf numFmtId="0" fontId="9" fillId="21" borderId="35" xfId="0" applyFont="1" applyFill="1" applyBorder="1" applyProtection="1"/>
    <xf numFmtId="49" fontId="4" fillId="21" borderId="12" xfId="0" applyNumberFormat="1" applyFont="1" applyFill="1" applyBorder="1" applyAlignment="1" applyProtection="1">
      <alignment horizontal="right" vertical="center" wrapText="1"/>
    </xf>
    <xf numFmtId="0" fontId="4" fillId="21" borderId="8" xfId="0" applyFont="1" applyFill="1" applyBorder="1" applyAlignment="1" applyProtection="1">
      <alignment horizontal="left" vertical="top" wrapText="1"/>
    </xf>
    <xf numFmtId="0" fontId="56" fillId="0" borderId="0" xfId="0" applyFont="1" applyFill="1" applyAlignment="1" applyProtection="1">
      <alignment vertical="top"/>
    </xf>
    <xf numFmtId="1" fontId="6" fillId="0" borderId="0" xfId="0" applyNumberFormat="1" applyFont="1" applyFill="1" applyBorder="1" applyAlignment="1" applyProtection="1">
      <alignment horizontal="left" wrapText="1"/>
    </xf>
    <xf numFmtId="1" fontId="4" fillId="0" borderId="0" xfId="0" applyNumberFormat="1" applyFont="1" applyFill="1" applyBorder="1" applyAlignment="1" applyProtection="1">
      <alignment horizontal="center" wrapText="1"/>
    </xf>
    <xf numFmtId="0" fontId="112" fillId="0" borderId="0" xfId="0" applyNumberFormat="1" applyFont="1" applyFill="1" applyAlignment="1" applyProtection="1"/>
    <xf numFmtId="3" fontId="112" fillId="0" borderId="0" xfId="0" applyNumberFormat="1" applyFont="1" applyFill="1" applyBorder="1" applyAlignment="1" applyProtection="1">
      <alignment horizontal="left" wrapText="1"/>
    </xf>
    <xf numFmtId="49" fontId="4" fillId="21" borderId="5" xfId="0" applyNumberFormat="1" applyFont="1" applyFill="1" applyBorder="1" applyAlignment="1" applyProtection="1">
      <alignment horizontal="left"/>
    </xf>
    <xf numFmtId="169" fontId="4" fillId="21" borderId="61" xfId="5" applyNumberFormat="1" applyFont="1" applyFill="1" applyBorder="1" applyAlignment="1" applyProtection="1">
      <alignment vertical="top"/>
    </xf>
    <xf numFmtId="169" fontId="4" fillId="21" borderId="170" xfId="0" applyNumberFormat="1" applyFont="1" applyFill="1" applyBorder="1" applyAlignment="1" applyProtection="1">
      <alignment vertical="top"/>
    </xf>
    <xf numFmtId="0" fontId="3" fillId="0" borderId="0" xfId="0" applyFont="1" applyBorder="1" applyAlignment="1" applyProtection="1">
      <alignment vertical="top" wrapText="1"/>
      <protection locked="0"/>
    </xf>
    <xf numFmtId="3" fontId="14" fillId="21" borderId="68" xfId="0" applyNumberFormat="1" applyFont="1" applyFill="1" applyBorder="1" applyAlignment="1" applyProtection="1">
      <alignment horizontal="right"/>
    </xf>
    <xf numFmtId="49" fontId="4" fillId="21" borderId="7" xfId="0" applyNumberFormat="1" applyFont="1" applyFill="1" applyBorder="1" applyAlignment="1" applyProtection="1">
      <alignment horizontal="center"/>
    </xf>
    <xf numFmtId="0" fontId="4" fillId="21" borderId="8" xfId="0" applyFont="1" applyFill="1" applyBorder="1" applyAlignment="1" applyProtection="1">
      <alignment horizontal="left"/>
    </xf>
    <xf numFmtId="49" fontId="4" fillId="21" borderId="73" xfId="0" applyNumberFormat="1" applyFont="1" applyFill="1" applyBorder="1" applyAlignment="1" applyProtection="1">
      <alignment wrapText="1"/>
    </xf>
    <xf numFmtId="49" fontId="4" fillId="21" borderId="11" xfId="0" applyNumberFormat="1" applyFont="1" applyFill="1" applyBorder="1" applyAlignment="1" applyProtection="1">
      <alignment wrapText="1"/>
    </xf>
    <xf numFmtId="0" fontId="4" fillId="2" borderId="1" xfId="0" applyFont="1" applyFill="1" applyBorder="1" applyAlignment="1" applyProtection="1">
      <alignment horizontal="center"/>
    </xf>
    <xf numFmtId="3" fontId="3" fillId="2" borderId="145" xfId="0" applyNumberFormat="1" applyFont="1" applyFill="1" applyBorder="1" applyAlignment="1" applyProtection="1">
      <alignment horizontal="right"/>
      <protection locked="0"/>
    </xf>
    <xf numFmtId="0" fontId="112" fillId="2" borderId="0" xfId="0" applyFont="1" applyFill="1" applyAlignment="1" applyProtection="1">
      <alignment wrapText="1"/>
    </xf>
    <xf numFmtId="0" fontId="47" fillId="0" borderId="0" xfId="0" applyNumberFormat="1" applyFont="1" applyFill="1" applyBorder="1" applyAlignment="1" applyProtection="1">
      <alignment horizontal="right"/>
    </xf>
    <xf numFmtId="0" fontId="4" fillId="21" borderId="8" xfId="0" applyFont="1" applyFill="1" applyBorder="1" applyAlignment="1" applyProtection="1">
      <alignment horizontal="center" wrapText="1"/>
    </xf>
    <xf numFmtId="0" fontId="4" fillId="21" borderId="54" xfId="0" applyFont="1" applyFill="1" applyBorder="1" applyAlignment="1" applyProtection="1">
      <alignment horizontal="center" wrapText="1"/>
    </xf>
    <xf numFmtId="1" fontId="4" fillId="21" borderId="25"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1" fontId="4" fillId="21" borderId="79" xfId="0" applyNumberFormat="1" applyFont="1" applyFill="1" applyBorder="1" applyAlignment="1" applyProtection="1">
      <alignment horizontal="center" wrapText="1"/>
    </xf>
    <xf numFmtId="3" fontId="14" fillId="0" borderId="221" xfId="0" applyNumberFormat="1" applyFont="1" applyFill="1" applyBorder="1" applyAlignment="1" applyProtection="1">
      <alignment horizontal="right"/>
    </xf>
    <xf numFmtId="0" fontId="4" fillId="0" borderId="218" xfId="0" applyFont="1" applyFill="1" applyBorder="1" applyAlignment="1" applyProtection="1">
      <alignment horizontal="center"/>
    </xf>
    <xf numFmtId="1" fontId="4" fillId="0" borderId="218" xfId="0" applyNumberFormat="1" applyFont="1" applyFill="1" applyBorder="1" applyAlignment="1" applyProtection="1">
      <alignment horizontal="center" wrapText="1"/>
    </xf>
    <xf numFmtId="1" fontId="4" fillId="0" borderId="218" xfId="0" applyNumberFormat="1" applyFont="1" applyFill="1" applyBorder="1" applyAlignment="1" applyProtection="1">
      <alignment horizontal="left"/>
    </xf>
    <xf numFmtId="0" fontId="4" fillId="0" borderId="221" xfId="0" applyFont="1" applyFill="1" applyBorder="1" applyAlignment="1" applyProtection="1">
      <alignment horizontal="center"/>
    </xf>
    <xf numFmtId="1" fontId="4" fillId="0" borderId="221" xfId="0" applyNumberFormat="1" applyFont="1" applyFill="1" applyBorder="1" applyAlignment="1" applyProtection="1">
      <alignment horizontal="center" wrapText="1"/>
    </xf>
    <xf numFmtId="1" fontId="4" fillId="0" borderId="221" xfId="0" applyNumberFormat="1" applyFont="1" applyFill="1" applyBorder="1" applyAlignment="1" applyProtection="1">
      <alignment horizontal="left"/>
    </xf>
    <xf numFmtId="0" fontId="4" fillId="21" borderId="21" xfId="0" applyNumberFormat="1" applyFont="1" applyFill="1" applyBorder="1" applyAlignment="1" applyProtection="1">
      <alignment horizontal="center"/>
    </xf>
    <xf numFmtId="0" fontId="4" fillId="21" borderId="2" xfId="0" applyNumberFormat="1" applyFont="1" applyFill="1" applyBorder="1" applyAlignment="1" applyProtection="1">
      <alignment horizontal="center"/>
    </xf>
    <xf numFmtId="0" fontId="6" fillId="21" borderId="15" xfId="0" applyNumberFormat="1" applyFont="1" applyFill="1" applyBorder="1" applyAlignment="1" applyProtection="1">
      <alignment horizontal="center"/>
    </xf>
    <xf numFmtId="0" fontId="4" fillId="21" borderId="5" xfId="0" applyNumberFormat="1" applyFont="1" applyFill="1" applyBorder="1" applyAlignment="1" applyProtection="1">
      <alignment horizontal="center"/>
    </xf>
    <xf numFmtId="0" fontId="9" fillId="21" borderId="2" xfId="0" applyNumberFormat="1" applyFont="1" applyFill="1" applyBorder="1" applyAlignment="1" applyProtection="1">
      <alignment horizontal="center"/>
    </xf>
    <xf numFmtId="0" fontId="17" fillId="21" borderId="2" xfId="0" applyNumberFormat="1" applyFont="1" applyFill="1" applyBorder="1" applyAlignment="1" applyProtection="1">
      <alignment horizontal="center"/>
    </xf>
    <xf numFmtId="0" fontId="4" fillId="21" borderId="124" xfId="0" applyNumberFormat="1" applyFont="1" applyFill="1" applyBorder="1" applyAlignment="1" applyProtection="1">
      <alignment horizontal="center"/>
    </xf>
    <xf numFmtId="0" fontId="17" fillId="21" borderId="13" xfId="0" applyNumberFormat="1" applyFont="1" applyFill="1" applyBorder="1" applyAlignment="1" applyProtection="1">
      <alignment horizontal="center"/>
    </xf>
    <xf numFmtId="0" fontId="4" fillId="21" borderId="122" xfId="0" applyNumberFormat="1" applyFont="1" applyFill="1" applyBorder="1" applyAlignment="1" applyProtection="1">
      <alignment horizontal="center"/>
    </xf>
    <xf numFmtId="0" fontId="9" fillId="21" borderId="94" xfId="0" applyNumberFormat="1" applyFont="1" applyFill="1" applyBorder="1" applyAlignment="1" applyProtection="1">
      <alignment horizontal="center"/>
    </xf>
    <xf numFmtId="0" fontId="9" fillId="21" borderId="113" xfId="0" applyNumberFormat="1" applyFont="1" applyFill="1" applyBorder="1" applyAlignment="1" applyProtection="1">
      <alignment horizontal="center"/>
    </xf>
    <xf numFmtId="0" fontId="4" fillId="21" borderId="24" xfId="0" applyNumberFormat="1" applyFont="1" applyFill="1" applyBorder="1" applyAlignment="1" applyProtection="1">
      <alignment horizontal="center"/>
    </xf>
    <xf numFmtId="0" fontId="4" fillId="21" borderId="141" xfId="0" applyNumberFormat="1" applyFont="1" applyFill="1" applyBorder="1" applyAlignment="1" applyProtection="1">
      <alignment horizontal="center"/>
    </xf>
    <xf numFmtId="0" fontId="4" fillId="21" borderId="22" xfId="0" applyNumberFormat="1" applyFont="1" applyFill="1" applyBorder="1" applyAlignment="1" applyProtection="1">
      <alignment horizontal="center"/>
    </xf>
    <xf numFmtId="0" fontId="9" fillId="21" borderId="36" xfId="0" applyNumberFormat="1" applyFont="1" applyFill="1" applyBorder="1" applyAlignment="1" applyProtection="1">
      <alignment horizontal="center"/>
    </xf>
    <xf numFmtId="0" fontId="9" fillId="21" borderId="122" xfId="0" applyNumberFormat="1" applyFont="1" applyFill="1" applyBorder="1" applyAlignment="1" applyProtection="1">
      <alignment horizontal="center"/>
    </xf>
    <xf numFmtId="0" fontId="118" fillId="21" borderId="122" xfId="0" applyNumberFormat="1" applyFont="1" applyFill="1" applyBorder="1" applyAlignment="1" applyProtection="1">
      <alignment horizontal="center"/>
    </xf>
    <xf numFmtId="0" fontId="9" fillId="21" borderId="37" xfId="0" applyNumberFormat="1" applyFont="1" applyFill="1" applyBorder="1" applyAlignment="1" applyProtection="1">
      <alignment horizontal="center"/>
    </xf>
    <xf numFmtId="0" fontId="12" fillId="21" borderId="57" xfId="0" applyNumberFormat="1" applyFont="1" applyFill="1" applyBorder="1" applyProtection="1"/>
    <xf numFmtId="0" fontId="4" fillId="21" borderId="126" xfId="0" applyNumberFormat="1" applyFont="1" applyFill="1" applyBorder="1" applyAlignment="1" applyProtection="1">
      <alignment horizontal="center"/>
    </xf>
    <xf numFmtId="0" fontId="9" fillId="21" borderId="125" xfId="0" applyNumberFormat="1" applyFont="1" applyFill="1" applyBorder="1" applyAlignment="1" applyProtection="1">
      <alignment horizontal="center"/>
    </xf>
    <xf numFmtId="0" fontId="105" fillId="21" borderId="21" xfId="0" applyNumberFormat="1" applyFont="1" applyFill="1" applyBorder="1" applyAlignment="1" applyProtection="1">
      <alignment horizontal="center"/>
    </xf>
    <xf numFmtId="49" fontId="4" fillId="21" borderId="24" xfId="5" applyNumberFormat="1" applyFont="1" applyFill="1" applyBorder="1" applyAlignment="1" applyProtection="1">
      <alignment horizontal="center"/>
    </xf>
    <xf numFmtId="3" fontId="112" fillId="2" borderId="0" xfId="0" applyNumberFormat="1" applyFont="1" applyFill="1" applyBorder="1" applyAlignment="1" applyProtection="1">
      <alignment horizontal="left"/>
      <protection locked="0"/>
    </xf>
    <xf numFmtId="167" fontId="3" fillId="21" borderId="51" xfId="0" applyNumberFormat="1" applyFont="1" applyFill="1" applyBorder="1" applyProtection="1"/>
    <xf numFmtId="167" fontId="3" fillId="21" borderId="58" xfId="0" applyNumberFormat="1" applyFont="1" applyFill="1" applyBorder="1" applyProtection="1"/>
    <xf numFmtId="3" fontId="14" fillId="2" borderId="218" xfId="0" applyNumberFormat="1" applyFont="1" applyFill="1" applyBorder="1" applyAlignment="1" applyProtection="1">
      <alignment horizontal="right"/>
    </xf>
    <xf numFmtId="3" fontId="14" fillId="21" borderId="26" xfId="0" applyNumberFormat="1" applyFont="1" applyFill="1" applyBorder="1" applyAlignment="1" applyProtection="1">
      <alignment horizontal="right"/>
      <protection locked="0"/>
    </xf>
    <xf numFmtId="49" fontId="9" fillId="21" borderId="163" xfId="0" applyNumberFormat="1" applyFont="1" applyFill="1" applyBorder="1" applyAlignment="1" applyProtection="1">
      <alignment horizontal="center"/>
    </xf>
    <xf numFmtId="49" fontId="4" fillId="21" borderId="131" xfId="0" applyNumberFormat="1" applyFont="1" applyFill="1" applyBorder="1" applyAlignment="1" applyProtection="1">
      <alignment horizontal="center" wrapText="1"/>
    </xf>
    <xf numFmtId="49" fontId="9" fillId="21" borderId="131" xfId="0" applyNumberFormat="1" applyFont="1" applyFill="1" applyBorder="1" applyAlignment="1" applyProtection="1">
      <alignment horizontal="left"/>
    </xf>
    <xf numFmtId="49" fontId="9" fillId="21" borderId="4" xfId="0" applyNumberFormat="1" applyFont="1" applyFill="1" applyBorder="1" applyAlignment="1" applyProtection="1">
      <alignment horizontal="center"/>
    </xf>
    <xf numFmtId="49" fontId="9" fillId="0" borderId="196" xfId="0" applyNumberFormat="1" applyFont="1" applyFill="1" applyBorder="1" applyAlignment="1" applyProtection="1">
      <alignment horizontal="left"/>
    </xf>
    <xf numFmtId="3" fontId="112" fillId="0" borderId="0" xfId="0" applyNumberFormat="1" applyFont="1" applyFill="1" applyBorder="1" applyProtection="1">
      <protection locked="0"/>
    </xf>
    <xf numFmtId="3" fontId="3" fillId="2" borderId="198" xfId="0" applyNumberFormat="1" applyFont="1" applyFill="1" applyBorder="1" applyAlignment="1" applyProtection="1">
      <alignment horizontal="right"/>
      <protection locked="0"/>
    </xf>
    <xf numFmtId="3" fontId="3" fillId="0" borderId="198" xfId="0" applyNumberFormat="1" applyFont="1" applyFill="1" applyBorder="1" applyProtection="1">
      <protection locked="0"/>
    </xf>
    <xf numFmtId="3" fontId="3" fillId="21" borderId="57" xfId="0" applyNumberFormat="1" applyFont="1" applyFill="1" applyBorder="1" applyAlignment="1" applyProtection="1">
      <alignment horizontal="right"/>
      <protection locked="0"/>
    </xf>
    <xf numFmtId="3" fontId="3" fillId="21" borderId="56" xfId="0" applyNumberFormat="1" applyFont="1" applyFill="1" applyBorder="1" applyAlignment="1" applyProtection="1">
      <alignment horizontal="right"/>
      <protection locked="0"/>
    </xf>
    <xf numFmtId="0" fontId="37" fillId="0" borderId="0" xfId="0" applyFont="1" applyFill="1" applyAlignment="1" applyProtection="1">
      <alignment vertical="top"/>
    </xf>
    <xf numFmtId="0" fontId="112" fillId="0" borderId="0" xfId="0" applyFont="1" applyFill="1" applyBorder="1" applyAlignment="1" applyProtection="1"/>
    <xf numFmtId="3" fontId="46" fillId="22" borderId="122" xfId="0" applyNumberFormat="1" applyFont="1" applyFill="1" applyBorder="1" applyAlignment="1" applyProtection="1"/>
    <xf numFmtId="3" fontId="46" fillId="22" borderId="59" xfId="0" applyNumberFormat="1" applyFont="1" applyFill="1" applyBorder="1" applyAlignment="1" applyProtection="1"/>
    <xf numFmtId="0" fontId="112" fillId="0" borderId="0" xfId="0" applyNumberFormat="1" applyFont="1" applyFill="1" applyBorder="1" applyAlignment="1" applyProtection="1">
      <alignment vertical="top" wrapText="1"/>
    </xf>
    <xf numFmtId="0" fontId="112" fillId="0" borderId="0" xfId="0" applyNumberFormat="1" applyFont="1" applyFill="1" applyBorder="1" applyAlignment="1" applyProtection="1">
      <alignment wrapText="1"/>
    </xf>
    <xf numFmtId="3" fontId="11" fillId="0" borderId="7" xfId="0" applyNumberFormat="1" applyFont="1" applyFill="1" applyBorder="1" applyAlignment="1" applyProtection="1">
      <alignment horizontal="right"/>
      <protection locked="0"/>
    </xf>
    <xf numFmtId="0" fontId="141" fillId="0" borderId="0" xfId="0" applyFont="1" applyFill="1" applyBorder="1" applyProtection="1"/>
    <xf numFmtId="3" fontId="112" fillId="0" borderId="0" xfId="0" applyNumberFormat="1" applyFont="1" applyFill="1" applyBorder="1" applyAlignment="1" applyProtection="1">
      <alignment horizontal="left" vertical="top" wrapText="1"/>
    </xf>
    <xf numFmtId="0" fontId="4" fillId="21" borderId="37" xfId="0" applyFont="1" applyFill="1" applyBorder="1" applyAlignment="1" applyProtection="1">
      <alignment horizontal="center"/>
    </xf>
    <xf numFmtId="0" fontId="9" fillId="21" borderId="223" xfId="0" applyFont="1" applyFill="1" applyBorder="1" applyAlignment="1" applyProtection="1">
      <alignment horizontal="center"/>
    </xf>
    <xf numFmtId="0" fontId="4" fillId="21" borderId="130" xfId="0" applyFont="1" applyFill="1" applyBorder="1" applyAlignment="1" applyProtection="1">
      <alignment horizontal="left" vertical="top" wrapText="1"/>
    </xf>
    <xf numFmtId="0" fontId="4" fillId="21" borderId="125" xfId="0" applyFont="1" applyFill="1" applyBorder="1" applyAlignment="1" applyProtection="1">
      <alignment horizontal="left" vertical="top" wrapText="1"/>
    </xf>
    <xf numFmtId="0" fontId="4" fillId="21" borderId="162" xfId="5" applyFont="1" applyFill="1" applyBorder="1" applyAlignment="1" applyProtection="1">
      <alignment vertical="top" wrapText="1"/>
    </xf>
    <xf numFmtId="3" fontId="4" fillId="21" borderId="183" xfId="0" applyNumberFormat="1" applyFont="1" applyFill="1" applyBorder="1" applyAlignment="1" applyProtection="1">
      <alignment vertical="top" wrapText="1"/>
    </xf>
    <xf numFmtId="0" fontId="0" fillId="0" borderId="0" xfId="0" applyFill="1" applyBorder="1" applyAlignment="1"/>
    <xf numFmtId="3" fontId="3" fillId="2" borderId="0" xfId="0" applyNumberFormat="1" applyFont="1" applyFill="1" applyBorder="1" applyProtection="1">
      <protection locked="0"/>
    </xf>
    <xf numFmtId="49" fontId="4" fillId="29" borderId="0" xfId="0" applyNumberFormat="1" applyFont="1" applyFill="1" applyBorder="1" applyAlignment="1" applyProtection="1">
      <alignment horizontal="center"/>
    </xf>
    <xf numFmtId="0" fontId="6" fillId="29" borderId="0" xfId="0" applyFont="1" applyFill="1" applyBorder="1" applyAlignment="1" applyProtection="1">
      <alignment horizontal="left"/>
    </xf>
    <xf numFmtId="3" fontId="3" fillId="3" borderId="149" xfId="0" applyNumberFormat="1" applyFont="1" applyFill="1" applyBorder="1" applyProtection="1"/>
    <xf numFmtId="49" fontId="4" fillId="21" borderId="15" xfId="0" applyNumberFormat="1" applyFont="1" applyFill="1" applyBorder="1" applyAlignment="1" applyProtection="1">
      <alignment horizontal="center"/>
    </xf>
    <xf numFmtId="167" fontId="4" fillId="21" borderId="15" xfId="0" applyNumberFormat="1" applyFont="1" applyFill="1" applyBorder="1" applyAlignment="1" applyProtection="1">
      <alignment horizontal="left"/>
    </xf>
    <xf numFmtId="3" fontId="3" fillId="2" borderId="182" xfId="0" applyNumberFormat="1" applyFont="1" applyFill="1" applyBorder="1" applyAlignment="1" applyProtection="1">
      <alignment horizontal="right"/>
      <protection locked="0"/>
    </xf>
    <xf numFmtId="3" fontId="3" fillId="2" borderId="91" xfId="0" applyNumberFormat="1" applyFont="1" applyFill="1" applyBorder="1" applyAlignment="1" applyProtection="1">
      <alignment horizontal="right"/>
      <protection locked="0"/>
    </xf>
    <xf numFmtId="0" fontId="37" fillId="0" borderId="152" xfId="0" applyFont="1" applyFill="1" applyBorder="1" applyProtection="1"/>
    <xf numFmtId="49" fontId="6" fillId="21" borderId="67" xfId="0" applyNumberFormat="1" applyFont="1" applyFill="1" applyBorder="1" applyAlignment="1" applyProtection="1">
      <alignment horizontal="center"/>
    </xf>
    <xf numFmtId="0" fontId="10" fillId="2" borderId="218" xfId="0" applyFont="1" applyFill="1" applyBorder="1" applyProtection="1"/>
    <xf numFmtId="0" fontId="0" fillId="0" borderId="218" xfId="0" applyFill="1" applyBorder="1" applyProtection="1"/>
    <xf numFmtId="0" fontId="10" fillId="2" borderId="196" xfId="0" applyFont="1" applyFill="1" applyBorder="1" applyProtection="1"/>
    <xf numFmtId="3" fontId="14" fillId="2" borderId="160" xfId="0" applyNumberFormat="1" applyFont="1" applyFill="1" applyBorder="1" applyAlignment="1" applyProtection="1">
      <alignment horizontal="right"/>
      <protection locked="0"/>
    </xf>
    <xf numFmtId="3" fontId="3" fillId="2" borderId="70" xfId="0" applyNumberFormat="1" applyFont="1" applyFill="1" applyBorder="1" applyAlignment="1" applyProtection="1">
      <alignment horizontal="right"/>
      <protection locked="0"/>
    </xf>
    <xf numFmtId="3" fontId="46" fillId="0" borderId="57" xfId="0" applyNumberFormat="1" applyFont="1" applyFill="1" applyBorder="1" applyProtection="1"/>
    <xf numFmtId="3" fontId="46" fillId="21" borderId="68" xfId="0" applyNumberFormat="1" applyFont="1" applyFill="1" applyBorder="1" applyProtection="1"/>
    <xf numFmtId="3" fontId="46" fillId="22" borderId="83" xfId="0" applyNumberFormat="1" applyFont="1" applyFill="1" applyBorder="1" applyProtection="1"/>
    <xf numFmtId="3" fontId="46" fillId="21" borderId="18" xfId="0" applyNumberFormat="1" applyFont="1" applyFill="1" applyBorder="1" applyProtection="1"/>
    <xf numFmtId="3" fontId="3" fillId="29" borderId="60" xfId="0" applyNumberFormat="1" applyFont="1" applyFill="1" applyBorder="1" applyAlignment="1" applyProtection="1">
      <alignment horizontal="right"/>
      <protection locked="0"/>
    </xf>
    <xf numFmtId="3" fontId="3" fillId="29" borderId="81" xfId="0" applyNumberFormat="1" applyFont="1" applyFill="1" applyBorder="1" applyProtection="1">
      <protection locked="0"/>
    </xf>
    <xf numFmtId="3" fontId="37" fillId="21" borderId="55" xfId="0" applyNumberFormat="1" applyFont="1" applyFill="1" applyBorder="1" applyAlignment="1" applyProtection="1"/>
    <xf numFmtId="3" fontId="112" fillId="21" borderId="55" xfId="0" applyNumberFormat="1" applyFont="1" applyFill="1" applyBorder="1" applyAlignment="1" applyProtection="1">
      <alignment vertical="center"/>
    </xf>
    <xf numFmtId="0" fontId="4" fillId="21" borderId="7" xfId="0" applyFont="1" applyFill="1" applyBorder="1" applyAlignment="1" applyProtection="1">
      <alignment horizontal="center"/>
    </xf>
    <xf numFmtId="49" fontId="4" fillId="21" borderId="27" xfId="0" applyNumberFormat="1" applyFont="1" applyFill="1" applyBorder="1" applyAlignment="1" applyProtection="1">
      <alignment horizontal="center"/>
    </xf>
    <xf numFmtId="0" fontId="4" fillId="21" borderId="8" xfId="0" applyFont="1" applyFill="1" applyBorder="1" applyAlignment="1" applyProtection="1">
      <alignment horizontal="left" wrapText="1"/>
    </xf>
    <xf numFmtId="1" fontId="4" fillId="21" borderId="69" xfId="0" applyNumberFormat="1" applyFont="1" applyFill="1" applyBorder="1" applyAlignment="1" applyProtection="1">
      <alignment horizontal="center"/>
    </xf>
    <xf numFmtId="0" fontId="4" fillId="21" borderId="67" xfId="0" applyFont="1" applyFill="1" applyBorder="1" applyAlignment="1" applyProtection="1">
      <alignment horizontal="left"/>
    </xf>
    <xf numFmtId="1" fontId="4" fillId="21" borderId="128" xfId="0" applyNumberFormat="1" applyFont="1" applyFill="1" applyBorder="1" applyAlignment="1" applyProtection="1">
      <alignment horizontal="center"/>
    </xf>
    <xf numFmtId="0" fontId="4" fillId="21" borderId="80" xfId="0" applyFont="1" applyFill="1" applyBorder="1" applyProtection="1"/>
    <xf numFmtId="1" fontId="9" fillId="21" borderId="69" xfId="0" applyNumberFormat="1" applyFont="1" applyFill="1" applyBorder="1" applyAlignment="1" applyProtection="1">
      <alignment horizontal="center"/>
    </xf>
    <xf numFmtId="3" fontId="3" fillId="21" borderId="20" xfId="0" applyNumberFormat="1" applyFont="1" applyFill="1" applyBorder="1" applyAlignment="1" applyProtection="1">
      <alignment horizontal="right"/>
    </xf>
    <xf numFmtId="0" fontId="4" fillId="21" borderId="24" xfId="0" applyFont="1" applyFill="1" applyBorder="1" applyAlignment="1" applyProtection="1">
      <alignment vertical="top"/>
    </xf>
    <xf numFmtId="3" fontId="4" fillId="21" borderId="25" xfId="0" applyNumberFormat="1" applyFont="1" applyFill="1" applyBorder="1" applyAlignment="1" applyProtection="1">
      <alignment vertical="top"/>
    </xf>
    <xf numFmtId="0" fontId="143" fillId="2" borderId="0" xfId="0" applyFont="1" applyFill="1" applyProtection="1"/>
    <xf numFmtId="0" fontId="6" fillId="21" borderId="9" xfId="0" applyFont="1" applyFill="1" applyBorder="1" applyAlignment="1" applyProtection="1">
      <alignment vertical="top" wrapText="1"/>
    </xf>
    <xf numFmtId="1" fontId="3" fillId="21" borderId="15" xfId="0" applyNumberFormat="1" applyFont="1" applyFill="1" applyBorder="1" applyAlignment="1" applyProtection="1">
      <alignment horizontal="left" wrapText="1"/>
    </xf>
    <xf numFmtId="49" fontId="4" fillId="21" borderId="63" xfId="0" applyNumberFormat="1" applyFont="1" applyFill="1" applyBorder="1" applyAlignment="1" applyProtection="1">
      <alignment horizontal="left"/>
    </xf>
    <xf numFmtId="0" fontId="4" fillId="21" borderId="9" xfId="0" applyFont="1" applyFill="1" applyBorder="1" applyAlignment="1" applyProtection="1">
      <alignment horizontal="center" wrapText="1"/>
    </xf>
    <xf numFmtId="1" fontId="4" fillId="21" borderId="69" xfId="0" applyNumberFormat="1" applyFont="1" applyFill="1" applyBorder="1" applyAlignment="1" applyProtection="1">
      <alignment horizontal="left"/>
    </xf>
    <xf numFmtId="3" fontId="3" fillId="0" borderId="12" xfId="0" applyNumberFormat="1" applyFont="1" applyFill="1" applyBorder="1" applyAlignment="1" applyProtection="1">
      <alignment horizontal="right"/>
      <protection locked="0"/>
    </xf>
    <xf numFmtId="3" fontId="3" fillId="21" borderId="19" xfId="0" applyNumberFormat="1" applyFont="1" applyFill="1" applyBorder="1" applyProtection="1"/>
    <xf numFmtId="3" fontId="6" fillId="21" borderId="91" xfId="0" applyNumberFormat="1" applyFont="1" applyFill="1" applyBorder="1" applyAlignment="1" applyProtection="1">
      <alignment wrapText="1"/>
    </xf>
    <xf numFmtId="3" fontId="3" fillId="29" borderId="0" xfId="0" applyNumberFormat="1" applyFont="1" applyFill="1" applyBorder="1" applyAlignment="1" applyProtection="1">
      <alignment horizontal="right"/>
    </xf>
    <xf numFmtId="3" fontId="3" fillId="2" borderId="218" xfId="0" applyNumberFormat="1" applyFont="1" applyFill="1" applyBorder="1" applyAlignment="1" applyProtection="1">
      <alignment horizontal="right"/>
      <protection locked="0"/>
    </xf>
    <xf numFmtId="0" fontId="4" fillId="21" borderId="185" xfId="0" applyNumberFormat="1" applyFont="1" applyFill="1" applyBorder="1" applyAlignment="1" applyProtection="1">
      <alignment horizontal="center" vertical="top" wrapText="1"/>
    </xf>
    <xf numFmtId="0" fontId="144" fillId="0" borderId="0" xfId="0" applyFont="1" applyFill="1" applyBorder="1" applyProtection="1"/>
    <xf numFmtId="0" fontId="6" fillId="21" borderId="65" xfId="0" applyFont="1" applyFill="1" applyBorder="1" applyAlignment="1" applyProtection="1">
      <alignment horizontal="left"/>
    </xf>
    <xf numFmtId="165" fontId="38" fillId="21" borderId="0" xfId="16" applyFont="1" applyFill="1" applyBorder="1" applyAlignment="1" applyProtection="1"/>
    <xf numFmtId="3" fontId="112" fillId="5" borderId="0" xfId="0" applyNumberFormat="1" applyFont="1" applyFill="1" applyBorder="1" applyProtection="1"/>
    <xf numFmtId="3" fontId="3" fillId="8" borderId="2" xfId="5" applyNumberFormat="1" applyFont="1" applyFill="1" applyBorder="1" applyAlignment="1">
      <alignment horizontal="right"/>
    </xf>
    <xf numFmtId="3" fontId="3" fillId="21" borderId="5" xfId="5" applyNumberFormat="1" applyFont="1" applyFill="1" applyBorder="1" applyAlignment="1">
      <alignment horizontal="right"/>
    </xf>
    <xf numFmtId="0" fontId="4" fillId="21" borderId="25" xfId="0" applyFont="1" applyFill="1" applyBorder="1" applyAlignment="1" applyProtection="1">
      <alignment horizontal="left"/>
    </xf>
    <xf numFmtId="0" fontId="6" fillId="21" borderId="13" xfId="0" applyNumberFormat="1" applyFont="1" applyFill="1" applyBorder="1" applyAlignment="1" applyProtection="1">
      <alignment horizontal="center"/>
    </xf>
    <xf numFmtId="1" fontId="5" fillId="21" borderId="113" xfId="0" applyNumberFormat="1" applyFont="1" applyFill="1" applyBorder="1" applyAlignment="1" applyProtection="1">
      <alignment horizontal="center"/>
    </xf>
    <xf numFmtId="49" fontId="4" fillId="21" borderId="185" xfId="0" applyNumberFormat="1" applyFont="1" applyFill="1" applyBorder="1" applyAlignment="1" applyProtection="1">
      <alignment horizontal="left"/>
    </xf>
    <xf numFmtId="49" fontId="4" fillId="21" borderId="202" xfId="0" applyNumberFormat="1" applyFont="1" applyFill="1" applyBorder="1" applyAlignment="1" applyProtection="1">
      <alignment horizontal="center"/>
    </xf>
    <xf numFmtId="0" fontId="6" fillId="21" borderId="194" xfId="0" applyFont="1" applyFill="1" applyBorder="1" applyAlignment="1" applyProtection="1">
      <alignment horizontal="left"/>
    </xf>
    <xf numFmtId="0" fontId="6" fillId="21" borderId="150" xfId="0" applyFont="1" applyFill="1" applyBorder="1" applyAlignment="1" applyProtection="1">
      <alignment horizontal="center"/>
    </xf>
    <xf numFmtId="0" fontId="6" fillId="21" borderId="13" xfId="0" applyFont="1" applyFill="1" applyBorder="1" applyAlignment="1" applyProtection="1">
      <alignment horizontal="center"/>
    </xf>
    <xf numFmtId="0" fontId="6" fillId="21" borderId="9" xfId="0" applyFont="1" applyFill="1" applyBorder="1" applyAlignment="1" applyProtection="1">
      <alignment horizontal="left" wrapText="1"/>
    </xf>
    <xf numFmtId="0" fontId="5" fillId="21" borderId="113" xfId="0" applyFont="1" applyFill="1" applyBorder="1" applyAlignment="1" applyProtection="1">
      <alignment horizontal="center"/>
    </xf>
    <xf numFmtId="0" fontId="6" fillId="21" borderId="189" xfId="0" applyFont="1" applyFill="1" applyBorder="1" applyProtection="1"/>
    <xf numFmtId="1" fontId="4" fillId="21" borderId="35" xfId="0" applyNumberFormat="1" applyFont="1" applyFill="1" applyBorder="1" applyAlignment="1" applyProtection="1">
      <alignment horizontal="center"/>
    </xf>
    <xf numFmtId="0" fontId="4" fillId="21" borderId="225" xfId="0" applyFont="1" applyFill="1" applyBorder="1" applyAlignment="1" applyProtection="1">
      <alignment horizontal="left" wrapText="1"/>
    </xf>
    <xf numFmtId="0" fontId="6" fillId="21" borderId="137" xfId="0" applyFont="1" applyFill="1" applyBorder="1" applyAlignment="1" applyProtection="1">
      <alignment horizontal="left"/>
    </xf>
    <xf numFmtId="0" fontId="4" fillId="21" borderId="41" xfId="0" applyFont="1" applyFill="1" applyBorder="1" applyAlignment="1" applyProtection="1">
      <alignment horizontal="left"/>
    </xf>
    <xf numFmtId="0" fontId="6" fillId="21" borderId="131" xfId="0" applyFont="1" applyFill="1" applyBorder="1" applyProtection="1"/>
    <xf numFmtId="3" fontId="4" fillId="21" borderId="71" xfId="0" applyNumberFormat="1" applyFont="1" applyFill="1" applyBorder="1" applyProtection="1"/>
    <xf numFmtId="3" fontId="9" fillId="21" borderId="149" xfId="0" applyNumberFormat="1" applyFont="1" applyFill="1" applyBorder="1" applyProtection="1"/>
    <xf numFmtId="3" fontId="4" fillId="21" borderId="25" xfId="0" applyNumberFormat="1" applyFont="1" applyFill="1" applyBorder="1" applyAlignment="1" applyProtection="1">
      <alignment vertical="top" wrapText="1"/>
    </xf>
    <xf numFmtId="3" fontId="6" fillId="21" borderId="71" xfId="0" applyNumberFormat="1" applyFont="1" applyFill="1" applyBorder="1" applyAlignment="1" applyProtection="1">
      <alignment vertical="top" wrapText="1"/>
    </xf>
    <xf numFmtId="0" fontId="12" fillId="21" borderId="124" xfId="0" applyFont="1" applyFill="1" applyBorder="1" applyProtection="1"/>
    <xf numFmtId="3" fontId="6" fillId="21" borderId="174" xfId="0" applyNumberFormat="1" applyFont="1" applyFill="1" applyBorder="1" applyProtection="1"/>
    <xf numFmtId="0" fontId="5" fillId="21" borderId="71" xfId="0" applyFont="1" applyFill="1" applyBorder="1" applyAlignment="1" applyProtection="1">
      <alignment horizontal="center" vertical="center"/>
    </xf>
    <xf numFmtId="0" fontId="5" fillId="21" borderId="90" xfId="0" applyFont="1" applyFill="1" applyBorder="1" applyAlignment="1" applyProtection="1">
      <alignment horizontal="center" vertical="center" wrapText="1"/>
    </xf>
    <xf numFmtId="0" fontId="6" fillId="21" borderId="151" xfId="0" applyFont="1" applyFill="1" applyBorder="1" applyAlignment="1" applyProtection="1">
      <alignment horizontal="center" vertical="top" wrapText="1"/>
    </xf>
    <xf numFmtId="0" fontId="4" fillId="21" borderId="46" xfId="0" applyFont="1" applyFill="1" applyBorder="1" applyAlignment="1" applyProtection="1">
      <alignment horizontal="left" vertical="top" wrapText="1"/>
    </xf>
    <xf numFmtId="0" fontId="112" fillId="21" borderId="0" xfId="0" applyFont="1" applyFill="1" applyBorder="1" applyProtection="1"/>
    <xf numFmtId="0" fontId="112" fillId="21" borderId="27" xfId="0" applyFont="1" applyFill="1" applyBorder="1" applyProtection="1"/>
    <xf numFmtId="0" fontId="112" fillId="21" borderId="57" xfId="0" applyFont="1" applyFill="1" applyBorder="1" applyProtection="1"/>
    <xf numFmtId="0" fontId="112" fillId="21" borderId="27" xfId="0" applyFont="1" applyFill="1" applyBorder="1" applyAlignment="1" applyProtection="1"/>
    <xf numFmtId="0" fontId="112" fillId="21" borderId="0" xfId="0" applyFont="1" applyFill="1" applyAlignment="1">
      <alignment wrapText="1"/>
    </xf>
    <xf numFmtId="3" fontId="37" fillId="0" borderId="27" xfId="0" applyNumberFormat="1" applyFont="1" applyFill="1" applyBorder="1" applyAlignment="1" applyProtection="1">
      <alignment wrapText="1"/>
    </xf>
    <xf numFmtId="1" fontId="4" fillId="0" borderId="0" xfId="0" applyNumberFormat="1" applyFont="1" applyFill="1" applyBorder="1" applyAlignment="1" applyProtection="1">
      <alignment horizontal="center" wrapText="1"/>
    </xf>
    <xf numFmtId="3" fontId="4" fillId="0" borderId="117" xfId="0" applyNumberFormat="1" applyFont="1" applyFill="1" applyBorder="1" applyAlignment="1">
      <alignment horizontal="left" vertical="top" wrapText="1"/>
    </xf>
    <xf numFmtId="3" fontId="3" fillId="9" borderId="155" xfId="5" applyNumberFormat="1" applyFont="1" applyFill="1" applyBorder="1" applyProtection="1"/>
    <xf numFmtId="3" fontId="3" fillId="2" borderId="67" xfId="5" applyNumberFormat="1" applyFont="1" applyFill="1" applyBorder="1" applyAlignment="1" applyProtection="1">
      <alignment horizontal="right"/>
      <protection locked="0"/>
    </xf>
    <xf numFmtId="3" fontId="3" fillId="33" borderId="67" xfId="5" applyNumberFormat="1" applyFont="1" applyFill="1" applyBorder="1" applyAlignment="1" applyProtection="1">
      <alignment horizontal="right"/>
    </xf>
    <xf numFmtId="3" fontId="3" fillId="2" borderId="222" xfId="0" applyNumberFormat="1" applyFont="1" applyFill="1" applyBorder="1" applyAlignment="1" applyProtection="1">
      <alignment horizontal="right"/>
      <protection locked="0"/>
    </xf>
    <xf numFmtId="0" fontId="38" fillId="0" borderId="27" xfId="0" applyFont="1" applyFill="1" applyBorder="1" applyProtection="1"/>
    <xf numFmtId="49" fontId="4" fillId="21" borderId="224" xfId="0" applyNumberFormat="1" applyFont="1" applyFill="1" applyBorder="1" applyAlignment="1" applyProtection="1">
      <alignment horizontal="left" vertical="center"/>
    </xf>
    <xf numFmtId="1" fontId="5" fillId="21" borderId="80" xfId="0" applyNumberFormat="1" applyFont="1" applyFill="1" applyBorder="1" applyAlignment="1" applyProtection="1">
      <alignment horizontal="center" vertical="center"/>
    </xf>
    <xf numFmtId="0" fontId="6" fillId="21" borderId="215" xfId="0" applyFont="1" applyFill="1" applyBorder="1" applyAlignment="1" applyProtection="1">
      <alignment horizontal="left" vertical="center"/>
    </xf>
    <xf numFmtId="3" fontId="6" fillId="21" borderId="193" xfId="0" applyNumberFormat="1" applyFont="1" applyFill="1" applyBorder="1" applyAlignment="1" applyProtection="1">
      <alignment vertical="center"/>
    </xf>
    <xf numFmtId="3" fontId="6" fillId="21" borderId="95" xfId="0" applyNumberFormat="1" applyFont="1" applyFill="1" applyBorder="1" applyAlignment="1" applyProtection="1">
      <alignment vertical="center"/>
    </xf>
    <xf numFmtId="0" fontId="113" fillId="21" borderId="0" xfId="0" applyFont="1" applyFill="1" applyBorder="1" applyProtection="1"/>
    <xf numFmtId="0" fontId="8" fillId="21" borderId="18" xfId="0" applyFont="1" applyFill="1" applyBorder="1" applyProtection="1"/>
    <xf numFmtId="3" fontId="3" fillId="34" borderId="25" xfId="0" applyNumberFormat="1" applyFont="1" applyFill="1" applyBorder="1" applyAlignment="1" applyProtection="1">
      <alignment horizontal="right"/>
    </xf>
    <xf numFmtId="0" fontId="4" fillId="10" borderId="141" xfId="0" applyFont="1" applyFill="1" applyBorder="1" applyAlignment="1" applyProtection="1">
      <alignment horizontal="center"/>
    </xf>
    <xf numFmtId="0" fontId="4" fillId="10" borderId="24" xfId="0" applyFont="1" applyFill="1" applyBorder="1" applyAlignment="1" applyProtection="1">
      <alignment horizontal="center"/>
    </xf>
    <xf numFmtId="0" fontId="6" fillId="21" borderId="80" xfId="0" applyFont="1" applyFill="1" applyBorder="1" applyAlignment="1" applyProtection="1">
      <alignment horizontal="left"/>
    </xf>
    <xf numFmtId="3" fontId="3" fillId="2" borderId="18" xfId="0" applyNumberFormat="1" applyFont="1" applyFill="1" applyBorder="1" applyAlignment="1" applyProtection="1">
      <alignment horizontal="right"/>
      <protection locked="0"/>
    </xf>
    <xf numFmtId="3" fontId="3" fillId="3" borderId="26" xfId="0" applyNumberFormat="1" applyFont="1" applyFill="1" applyBorder="1" applyProtection="1"/>
    <xf numFmtId="3" fontId="3" fillId="3" borderId="62" xfId="0" applyNumberFormat="1" applyFont="1" applyFill="1" applyBorder="1" applyProtection="1"/>
    <xf numFmtId="3" fontId="3" fillId="3" borderId="77" xfId="0" applyNumberFormat="1" applyFont="1" applyFill="1" applyBorder="1" applyProtection="1"/>
    <xf numFmtId="3" fontId="3" fillId="3" borderId="18" xfId="0" applyNumberFormat="1" applyFont="1" applyFill="1" applyBorder="1" applyProtection="1"/>
    <xf numFmtId="0" fontId="4" fillId="21" borderId="24" xfId="0" applyFont="1" applyFill="1" applyBorder="1" applyAlignment="1" applyProtection="1">
      <alignment horizontal="center"/>
    </xf>
    <xf numFmtId="0" fontId="4" fillId="21" borderId="5" xfId="0" applyFont="1" applyFill="1" applyBorder="1" applyAlignment="1" applyProtection="1">
      <alignment horizontal="left"/>
    </xf>
    <xf numFmtId="0" fontId="37" fillId="0" borderId="152" xfId="0" applyFont="1" applyFill="1" applyBorder="1" applyProtection="1"/>
    <xf numFmtId="3" fontId="3" fillId="22" borderId="195" xfId="0" applyNumberFormat="1" applyFont="1" applyFill="1" applyBorder="1" applyProtection="1"/>
    <xf numFmtId="0" fontId="113" fillId="2" borderId="57" xfId="0" applyFont="1" applyFill="1" applyBorder="1" applyProtection="1"/>
    <xf numFmtId="0" fontId="106" fillId="2" borderId="0" xfId="0" applyFont="1" applyFill="1" applyProtection="1"/>
    <xf numFmtId="0" fontId="147" fillId="0" borderId="0" xfId="0" applyFont="1" applyProtection="1"/>
    <xf numFmtId="3" fontId="3" fillId="3" borderId="2" xfId="0" applyNumberFormat="1" applyFont="1" applyFill="1" applyBorder="1" applyProtection="1"/>
    <xf numFmtId="3" fontId="3" fillId="3" borderId="103" xfId="0" applyNumberFormat="1" applyFont="1" applyFill="1" applyBorder="1" applyProtection="1"/>
    <xf numFmtId="3" fontId="6" fillId="21" borderId="195" xfId="0" applyNumberFormat="1" applyFont="1" applyFill="1" applyBorder="1" applyProtection="1"/>
    <xf numFmtId="49" fontId="4" fillId="21" borderId="225" xfId="0" applyNumberFormat="1" applyFont="1" applyFill="1" applyBorder="1" applyAlignment="1" applyProtection="1">
      <alignment horizontal="left" wrapText="1"/>
    </xf>
    <xf numFmtId="3" fontId="3" fillId="3" borderId="26" xfId="0" applyNumberFormat="1" applyFont="1" applyFill="1" applyBorder="1" applyAlignment="1"/>
    <xf numFmtId="0" fontId="6" fillId="21" borderId="137" xfId="0" applyFont="1" applyFill="1" applyBorder="1" applyAlignment="1" applyProtection="1"/>
    <xf numFmtId="167" fontId="7" fillId="21" borderId="138" xfId="0" applyNumberFormat="1" applyFont="1" applyFill="1" applyBorder="1" applyAlignment="1" applyProtection="1"/>
    <xf numFmtId="0" fontId="6" fillId="21" borderId="21" xfId="0" applyFont="1" applyFill="1" applyBorder="1" applyAlignment="1" applyProtection="1">
      <alignment horizontal="left"/>
    </xf>
    <xf numFmtId="0" fontId="6" fillId="21" borderId="52" xfId="0" applyFont="1" applyFill="1" applyBorder="1" applyAlignment="1" applyProtection="1">
      <alignment horizontal="left"/>
    </xf>
    <xf numFmtId="3" fontId="138" fillId="0" borderId="0" xfId="0" applyNumberFormat="1" applyFont="1" applyFill="1" applyBorder="1" applyAlignment="1" applyProtection="1"/>
    <xf numFmtId="0" fontId="137" fillId="0" borderId="0" xfId="0" applyFont="1" applyProtection="1"/>
    <xf numFmtId="0" fontId="0" fillId="0" borderId="0" xfId="0" applyAlignment="1"/>
    <xf numFmtId="0" fontId="10" fillId="0" borderId="0" xfId="0" applyFont="1" applyFill="1" applyAlignment="1" applyProtection="1"/>
    <xf numFmtId="49" fontId="4" fillId="21" borderId="2" xfId="0" applyNumberFormat="1" applyFont="1" applyFill="1" applyBorder="1" applyAlignment="1" applyProtection="1">
      <alignment horizontal="left" indent="1"/>
    </xf>
    <xf numFmtId="0" fontId="4" fillId="21" borderId="155" xfId="0" applyNumberFormat="1" applyFont="1" applyFill="1" applyBorder="1" applyAlignment="1" applyProtection="1">
      <alignment horizontal="center"/>
    </xf>
    <xf numFmtId="0" fontId="0" fillId="21" borderId="66" xfId="0" applyFill="1" applyBorder="1"/>
    <xf numFmtId="0" fontId="76" fillId="21" borderId="27" xfId="0" applyFont="1" applyFill="1" applyBorder="1" applyAlignment="1">
      <alignment horizontal="left" wrapText="1"/>
    </xf>
    <xf numFmtId="0" fontId="77" fillId="21" borderId="0" xfId="0" applyFont="1" applyFill="1" applyBorder="1" applyAlignment="1">
      <alignment horizontal="right" wrapText="1"/>
    </xf>
    <xf numFmtId="0" fontId="75" fillId="21" borderId="0" xfId="0" applyFont="1" applyFill="1" applyBorder="1" applyAlignment="1">
      <alignment wrapText="1"/>
    </xf>
    <xf numFmtId="0" fontId="0" fillId="21" borderId="0" xfId="0" applyFill="1" applyBorder="1"/>
    <xf numFmtId="0" fontId="73" fillId="21" borderId="27" xfId="0" applyFont="1" applyFill="1" applyBorder="1" applyAlignment="1">
      <alignment horizontal="right" wrapText="1"/>
    </xf>
    <xf numFmtId="49" fontId="77" fillId="21" borderId="0" xfId="0" applyNumberFormat="1" applyFont="1" applyFill="1" applyBorder="1" applyAlignment="1">
      <alignment horizontal="right" wrapText="1"/>
    </xf>
    <xf numFmtId="3" fontId="148" fillId="21" borderId="0" xfId="0" applyNumberFormat="1" applyFont="1" applyFill="1" applyBorder="1" applyAlignment="1" applyProtection="1">
      <alignment horizontal="right"/>
    </xf>
    <xf numFmtId="3" fontId="18" fillId="21" borderId="0" xfId="0" applyNumberFormat="1" applyFont="1" applyFill="1" applyBorder="1" applyAlignment="1" applyProtection="1">
      <alignment horizontal="right"/>
    </xf>
    <xf numFmtId="0" fontId="0" fillId="21" borderId="0" xfId="0" applyFill="1"/>
    <xf numFmtId="0" fontId="149" fillId="21" borderId="0" xfId="0" applyFont="1" applyFill="1"/>
    <xf numFmtId="0" fontId="0" fillId="21" borderId="27" xfId="0" applyFill="1" applyBorder="1"/>
    <xf numFmtId="0" fontId="0" fillId="21" borderId="107" xfId="0" applyFill="1" applyBorder="1"/>
    <xf numFmtId="0" fontId="0" fillId="21" borderId="1" xfId="0" applyFill="1" applyBorder="1"/>
    <xf numFmtId="0" fontId="0" fillId="35" borderId="0" xfId="0" applyFill="1"/>
    <xf numFmtId="0" fontId="4" fillId="36" borderId="126" xfId="0" applyFont="1" applyFill="1" applyBorder="1" applyAlignment="1" applyProtection="1">
      <alignment horizontal="center"/>
    </xf>
    <xf numFmtId="0" fontId="4" fillId="36" borderId="214" xfId="0" applyFont="1" applyFill="1" applyBorder="1" applyAlignment="1" applyProtection="1">
      <alignment horizontal="center"/>
    </xf>
    <xf numFmtId="0" fontId="4" fillId="36" borderId="21" xfId="0" applyFont="1" applyFill="1" applyBorder="1" applyAlignment="1" applyProtection="1">
      <alignment horizontal="center"/>
    </xf>
    <xf numFmtId="0" fontId="4" fillId="36" borderId="49" xfId="0" applyFont="1" applyFill="1" applyBorder="1" applyAlignment="1" applyProtection="1">
      <alignment horizontal="center"/>
    </xf>
    <xf numFmtId="0" fontId="4" fillId="36" borderId="50" xfId="0" applyFont="1" applyFill="1" applyBorder="1" applyAlignment="1" applyProtection="1">
      <alignment horizontal="center"/>
    </xf>
    <xf numFmtId="0" fontId="4" fillId="36" borderId="225" xfId="0" applyFont="1" applyFill="1" applyBorder="1" applyAlignment="1">
      <alignment horizontal="center"/>
    </xf>
    <xf numFmtId="0" fontId="4" fillId="36" borderId="21" xfId="0" applyFont="1" applyFill="1" applyBorder="1" applyAlignment="1">
      <alignment horizontal="center"/>
    </xf>
    <xf numFmtId="0" fontId="4" fillId="36" borderId="50" xfId="0" applyFont="1" applyFill="1" applyBorder="1" applyAlignment="1">
      <alignment horizontal="center"/>
    </xf>
    <xf numFmtId="0" fontId="4" fillId="36" borderId="2" xfId="0" applyFont="1" applyFill="1" applyBorder="1" applyAlignment="1" applyProtection="1">
      <alignment horizontal="left"/>
    </xf>
    <xf numFmtId="0" fontId="4" fillId="36" borderId="5" xfId="0" applyFont="1" applyFill="1" applyBorder="1" applyAlignment="1" applyProtection="1">
      <alignment horizontal="left"/>
    </xf>
    <xf numFmtId="0" fontId="6" fillId="36" borderId="189" xfId="0" applyFont="1" applyFill="1" applyBorder="1" applyAlignment="1" applyProtection="1">
      <alignment horizontal="left" vertical="center" wrapText="1"/>
    </xf>
    <xf numFmtId="0" fontId="4" fillId="36" borderId="2" xfId="0" applyFont="1" applyFill="1" applyBorder="1" applyAlignment="1" applyProtection="1">
      <alignment horizontal="left" wrapText="1"/>
    </xf>
    <xf numFmtId="0" fontId="4" fillId="36" borderId="67" xfId="0" applyFont="1" applyFill="1" applyBorder="1" applyAlignment="1">
      <alignment horizontal="left" wrapText="1"/>
    </xf>
    <xf numFmtId="0" fontId="6" fillId="36" borderId="149" xfId="0" applyFont="1" applyFill="1" applyBorder="1" applyAlignment="1">
      <alignment horizontal="left"/>
    </xf>
    <xf numFmtId="0" fontId="6" fillId="36" borderId="189" xfId="0" applyFont="1" applyFill="1" applyBorder="1" applyAlignment="1">
      <alignment horizontal="left" vertical="center" wrapText="1"/>
    </xf>
    <xf numFmtId="0" fontId="4" fillId="36" borderId="53" xfId="0" applyFont="1" applyFill="1" applyBorder="1" applyAlignment="1">
      <alignment horizontal="left"/>
    </xf>
    <xf numFmtId="0" fontId="6" fillId="36" borderId="25" xfId="0" applyFont="1" applyFill="1" applyBorder="1" applyAlignment="1">
      <alignment horizontal="left" vertical="center" wrapText="1"/>
    </xf>
    <xf numFmtId="49" fontId="4" fillId="21" borderId="178" xfId="0" applyNumberFormat="1" applyFont="1" applyFill="1" applyBorder="1" applyAlignment="1" applyProtection="1">
      <alignment horizontal="left"/>
    </xf>
    <xf numFmtId="0" fontId="0" fillId="0" borderId="226" xfId="0" applyFill="1" applyBorder="1" applyProtection="1"/>
    <xf numFmtId="49" fontId="4" fillId="21" borderId="54" xfId="0" applyNumberFormat="1" applyFont="1" applyFill="1" applyBorder="1" applyAlignment="1" applyProtection="1">
      <alignment horizontal="left"/>
    </xf>
    <xf numFmtId="0" fontId="113" fillId="0" borderId="227" xfId="0" applyFont="1" applyFill="1" applyBorder="1" applyProtection="1"/>
    <xf numFmtId="3" fontId="46" fillId="22" borderId="149" xfId="0" applyNumberFormat="1" applyFont="1" applyFill="1" applyBorder="1" applyProtection="1"/>
    <xf numFmtId="49" fontId="4" fillId="21" borderId="218" xfId="0" applyNumberFormat="1" applyFont="1" applyFill="1" applyBorder="1" applyAlignment="1" applyProtection="1">
      <alignment horizontal="left"/>
    </xf>
    <xf numFmtId="49" fontId="4" fillId="21" borderId="228" xfId="0" applyNumberFormat="1" applyFont="1" applyFill="1" applyBorder="1" applyAlignment="1" applyProtection="1">
      <alignment horizontal="left"/>
    </xf>
    <xf numFmtId="49" fontId="4" fillId="36" borderId="21" xfId="0" applyNumberFormat="1" applyFont="1" applyFill="1" applyBorder="1" applyAlignment="1" applyProtection="1">
      <alignment horizontal="center"/>
    </xf>
    <xf numFmtId="49" fontId="4" fillId="36" borderId="125" xfId="0" applyNumberFormat="1" applyFont="1" applyFill="1" applyBorder="1" applyAlignment="1" applyProtection="1">
      <alignment horizontal="center"/>
    </xf>
    <xf numFmtId="0" fontId="4" fillId="36" borderId="2" xfId="0" applyNumberFormat="1" applyFont="1" applyFill="1" applyBorder="1" applyAlignment="1" applyProtection="1">
      <alignment horizontal="center"/>
    </xf>
    <xf numFmtId="0" fontId="4" fillId="36" borderId="2" xfId="0" applyFont="1" applyFill="1" applyBorder="1" applyProtection="1"/>
    <xf numFmtId="49" fontId="4" fillId="36" borderId="67" xfId="0" applyNumberFormat="1" applyFont="1" applyFill="1" applyBorder="1" applyAlignment="1" applyProtection="1">
      <alignment horizontal="center"/>
    </xf>
    <xf numFmtId="49" fontId="4" fillId="36" borderId="9" xfId="0" applyNumberFormat="1" applyFont="1" applyFill="1" applyBorder="1" applyAlignment="1" applyProtection="1">
      <alignment horizontal="center"/>
    </xf>
    <xf numFmtId="49" fontId="4" fillId="36" borderId="2" xfId="0" applyNumberFormat="1" applyFont="1" applyFill="1" applyBorder="1" applyAlignment="1" applyProtection="1">
      <alignment horizontal="center"/>
    </xf>
    <xf numFmtId="0" fontId="4" fillId="36" borderId="5" xfId="0" applyFont="1" applyFill="1" applyBorder="1" applyProtection="1"/>
    <xf numFmtId="0" fontId="6" fillId="36" borderId="5" xfId="0" applyFont="1" applyFill="1" applyBorder="1" applyProtection="1"/>
    <xf numFmtId="0" fontId="4" fillId="36" borderId="67" xfId="0" applyFont="1" applyFill="1" applyBorder="1" applyProtection="1"/>
    <xf numFmtId="0" fontId="4" fillId="36" borderId="9" xfId="0" applyFont="1" applyFill="1" applyBorder="1" applyProtection="1"/>
    <xf numFmtId="0" fontId="4" fillId="36" borderId="2" xfId="0" applyFont="1" applyFill="1" applyBorder="1" applyAlignment="1" applyProtection="1">
      <alignment wrapText="1"/>
    </xf>
    <xf numFmtId="49" fontId="4" fillId="36" borderId="128" xfId="0" applyNumberFormat="1" applyFont="1" applyFill="1" applyBorder="1" applyAlignment="1" applyProtection="1">
      <alignment horizontal="center"/>
    </xf>
    <xf numFmtId="0" fontId="4" fillId="36" borderId="128" xfId="0" applyFont="1" applyFill="1" applyBorder="1" applyProtection="1"/>
    <xf numFmtId="49" fontId="4" fillId="36" borderId="2" xfId="0" applyNumberFormat="1" applyFont="1" applyFill="1" applyBorder="1" applyAlignment="1" applyProtection="1">
      <alignment horizontal="left"/>
    </xf>
    <xf numFmtId="49" fontId="4" fillId="36" borderId="202" xfId="0" applyNumberFormat="1" applyFont="1" applyFill="1" applyBorder="1" applyAlignment="1" applyProtection="1">
      <alignment horizontal="left"/>
    </xf>
    <xf numFmtId="9" fontId="4" fillId="0" borderId="0" xfId="0" applyNumberFormat="1" applyFont="1" applyFill="1" applyBorder="1" applyAlignment="1" applyProtection="1">
      <alignment horizontal="right"/>
    </xf>
    <xf numFmtId="0" fontId="6" fillId="21" borderId="229" xfId="0" applyFont="1" applyFill="1" applyBorder="1" applyAlignment="1" applyProtection="1">
      <alignment horizontal="center" vertical="top" wrapText="1"/>
    </xf>
    <xf numFmtId="0" fontId="6" fillId="21" borderId="230" xfId="0" applyFont="1" applyFill="1" applyBorder="1" applyAlignment="1" applyProtection="1">
      <alignment horizontal="center"/>
    </xf>
    <xf numFmtId="9" fontId="4" fillId="21" borderId="231" xfId="0" applyNumberFormat="1" applyFont="1" applyFill="1" applyBorder="1" applyAlignment="1" applyProtection="1">
      <alignment horizontal="right"/>
    </xf>
    <xf numFmtId="9" fontId="4" fillId="21" borderId="232" xfId="0" applyNumberFormat="1" applyFont="1" applyFill="1" applyBorder="1" applyAlignment="1" applyProtection="1">
      <alignment horizontal="right"/>
    </xf>
    <xf numFmtId="9" fontId="4" fillId="21" borderId="233" xfId="0" applyNumberFormat="1" applyFont="1" applyFill="1" applyBorder="1" applyAlignment="1" applyProtection="1">
      <alignment horizontal="right"/>
    </xf>
    <xf numFmtId="9" fontId="4" fillId="21" borderId="234" xfId="0" applyNumberFormat="1" applyFont="1" applyFill="1" applyBorder="1" applyAlignment="1" applyProtection="1">
      <alignment horizontal="right"/>
    </xf>
    <xf numFmtId="9" fontId="4" fillId="21" borderId="235" xfId="0" applyNumberFormat="1" applyFont="1" applyFill="1" applyBorder="1" applyAlignment="1" applyProtection="1">
      <alignment horizontal="right"/>
    </xf>
    <xf numFmtId="9" fontId="4" fillId="21" borderId="236" xfId="0" applyNumberFormat="1" applyFont="1" applyFill="1" applyBorder="1" applyAlignment="1" applyProtection="1">
      <alignment horizontal="right"/>
    </xf>
    <xf numFmtId="9" fontId="4" fillId="21" borderId="237" xfId="0" applyNumberFormat="1" applyFont="1" applyFill="1" applyBorder="1" applyAlignment="1" applyProtection="1">
      <alignment horizontal="right"/>
    </xf>
    <xf numFmtId="0" fontId="6" fillId="21" borderId="91" xfId="0" applyFont="1" applyFill="1" applyBorder="1" applyAlignment="1" applyProtection="1">
      <alignment horizontal="center"/>
    </xf>
    <xf numFmtId="0" fontId="6" fillId="21" borderId="55" xfId="0" applyFont="1" applyFill="1" applyBorder="1" applyAlignment="1" applyProtection="1">
      <alignment horizontal="center"/>
    </xf>
    <xf numFmtId="0" fontId="6" fillId="21" borderId="142" xfId="0" applyFont="1" applyFill="1" applyBorder="1" applyAlignment="1" applyProtection="1">
      <alignment horizontal="right"/>
    </xf>
    <xf numFmtId="3" fontId="3" fillId="21" borderId="238" xfId="0" applyNumberFormat="1" applyFont="1" applyFill="1" applyBorder="1" applyAlignment="1" applyProtection="1">
      <alignment horizontal="right"/>
    </xf>
    <xf numFmtId="3" fontId="3" fillId="21" borderId="91" xfId="0" applyNumberFormat="1" applyFont="1" applyFill="1" applyBorder="1" applyAlignment="1" applyProtection="1">
      <alignment horizontal="right"/>
    </xf>
    <xf numFmtId="3" fontId="3" fillId="21" borderId="55" xfId="0" applyNumberFormat="1" applyFont="1" applyFill="1" applyBorder="1" applyAlignment="1" applyProtection="1">
      <alignment horizontal="right"/>
    </xf>
    <xf numFmtId="3" fontId="3" fillId="21" borderId="53" xfId="0" applyNumberFormat="1" applyFont="1" applyFill="1" applyBorder="1" applyAlignment="1" applyProtection="1">
      <alignment horizontal="right"/>
    </xf>
    <xf numFmtId="3" fontId="3" fillId="21" borderId="103" xfId="0" applyNumberFormat="1" applyFont="1" applyFill="1" applyBorder="1" applyAlignment="1" applyProtection="1">
      <alignment horizontal="right"/>
    </xf>
    <xf numFmtId="3" fontId="3" fillId="21" borderId="12" xfId="0" applyNumberFormat="1" applyFont="1" applyFill="1" applyBorder="1" applyAlignment="1" applyProtection="1">
      <alignment horizontal="right"/>
    </xf>
    <xf numFmtId="0" fontId="6" fillId="21" borderId="231" xfId="0" applyFont="1" applyFill="1" applyBorder="1" applyAlignment="1" applyProtection="1">
      <alignment horizontal="center"/>
    </xf>
    <xf numFmtId="0" fontId="6" fillId="21" borderId="232" xfId="0" applyFont="1" applyFill="1" applyBorder="1" applyAlignment="1" applyProtection="1">
      <alignment horizontal="center"/>
    </xf>
    <xf numFmtId="0" fontId="6" fillId="21" borderId="239" xfId="0" applyFont="1" applyFill="1" applyBorder="1" applyAlignment="1" applyProtection="1">
      <alignment horizontal="center"/>
    </xf>
    <xf numFmtId="9" fontId="4" fillId="21" borderId="240" xfId="0" applyNumberFormat="1" applyFont="1" applyFill="1" applyBorder="1" applyAlignment="1" applyProtection="1">
      <alignment horizontal="right"/>
    </xf>
    <xf numFmtId="0" fontId="9" fillId="36" borderId="22" xfId="0" applyFont="1" applyFill="1" applyBorder="1" applyAlignment="1" applyProtection="1">
      <alignment horizontal="center"/>
    </xf>
    <xf numFmtId="3" fontId="4" fillId="37" borderId="0" xfId="0" applyNumberFormat="1" applyFont="1" applyFill="1" applyBorder="1" applyProtection="1"/>
    <xf numFmtId="1" fontId="4" fillId="36" borderId="2" xfId="0" applyNumberFormat="1" applyFont="1" applyFill="1" applyBorder="1" applyAlignment="1" applyProtection="1">
      <alignment horizontal="center" vertical="center" wrapText="1"/>
    </xf>
    <xf numFmtId="0" fontId="9" fillId="36" borderId="5" xfId="0" applyFont="1" applyFill="1" applyBorder="1" applyAlignment="1" applyProtection="1">
      <alignment horizontal="center"/>
    </xf>
    <xf numFmtId="0" fontId="9" fillId="36" borderId="9" xfId="0" applyFont="1" applyFill="1" applyBorder="1" applyAlignment="1" applyProtection="1">
      <alignment horizontal="center" wrapText="1"/>
    </xf>
    <xf numFmtId="1" fontId="4" fillId="36" borderId="54" xfId="0" applyNumberFormat="1" applyFont="1" applyFill="1" applyBorder="1" applyAlignment="1">
      <alignment horizontal="center" wrapText="1"/>
    </xf>
    <xf numFmtId="1" fontId="9" fillId="36" borderId="2" xfId="0" applyNumberFormat="1" applyFont="1" applyFill="1" applyBorder="1" applyAlignment="1" applyProtection="1">
      <alignment horizontal="center"/>
    </xf>
    <xf numFmtId="0" fontId="4" fillId="36" borderId="79" xfId="0" applyFont="1" applyFill="1" applyBorder="1" applyAlignment="1" applyProtection="1">
      <alignment horizontal="left"/>
    </xf>
    <xf numFmtId="0" fontId="4" fillId="36" borderId="79" xfId="0" applyFont="1" applyFill="1" applyBorder="1" applyAlignment="1" applyProtection="1">
      <alignment horizontal="left" wrapText="1"/>
    </xf>
    <xf numFmtId="0" fontId="6" fillId="36" borderId="149" xfId="0" applyFont="1" applyFill="1" applyBorder="1" applyAlignment="1" applyProtection="1">
      <alignment horizontal="left"/>
    </xf>
    <xf numFmtId="0" fontId="4" fillId="36" borderId="2" xfId="0" applyFont="1" applyFill="1" applyBorder="1"/>
    <xf numFmtId="49" fontId="4" fillId="36" borderId="155" xfId="0" applyNumberFormat="1" applyFont="1" applyFill="1" applyBorder="1" applyAlignment="1" applyProtection="1">
      <alignment horizontal="center"/>
    </xf>
    <xf numFmtId="0" fontId="0" fillId="37" borderId="196" xfId="0" applyFill="1" applyBorder="1" applyProtection="1"/>
    <xf numFmtId="1" fontId="4" fillId="37" borderId="0" xfId="0" applyNumberFormat="1" applyFont="1" applyFill="1" applyBorder="1" applyAlignment="1" applyProtection="1">
      <alignment horizontal="center"/>
    </xf>
    <xf numFmtId="1" fontId="4" fillId="36" borderId="67" xfId="0" applyNumberFormat="1" applyFont="1" applyFill="1" applyBorder="1" applyAlignment="1" applyProtection="1">
      <alignment horizontal="center"/>
    </xf>
    <xf numFmtId="0" fontId="0" fillId="37" borderId="0" xfId="0" applyFill="1" applyProtection="1"/>
    <xf numFmtId="1" fontId="9" fillId="36" borderId="35" xfId="0" applyNumberFormat="1" applyFont="1" applyFill="1" applyBorder="1" applyAlignment="1" applyProtection="1">
      <alignment horizontal="center"/>
    </xf>
    <xf numFmtId="1" fontId="4" fillId="37" borderId="0" xfId="0" applyNumberFormat="1" applyFont="1" applyFill="1" applyBorder="1" applyAlignment="1" applyProtection="1">
      <alignment horizontal="left"/>
    </xf>
    <xf numFmtId="0" fontId="4" fillId="36" borderId="123" xfId="0" applyFont="1" applyFill="1" applyBorder="1" applyAlignment="1" applyProtection="1">
      <alignment horizontal="left"/>
    </xf>
    <xf numFmtId="0" fontId="10" fillId="37" borderId="196" xfId="0" applyFont="1" applyFill="1" applyBorder="1" applyProtection="1"/>
    <xf numFmtId="1" fontId="4" fillId="36" borderId="35" xfId="0" applyNumberFormat="1" applyFont="1" applyFill="1" applyBorder="1" applyAlignment="1" applyProtection="1">
      <alignment horizontal="left"/>
    </xf>
    <xf numFmtId="1" fontId="4" fillId="36" borderId="2" xfId="0" applyNumberFormat="1" applyFont="1" applyFill="1" applyBorder="1" applyAlignment="1" applyProtection="1">
      <alignment horizontal="center"/>
    </xf>
    <xf numFmtId="49" fontId="19" fillId="36" borderId="8" xfId="0" applyNumberFormat="1" applyFont="1" applyFill="1" applyBorder="1" applyAlignment="1" applyProtection="1">
      <alignment horizontal="left"/>
    </xf>
    <xf numFmtId="0" fontId="101" fillId="36" borderId="5" xfId="0" applyFont="1" applyFill="1" applyBorder="1" applyProtection="1"/>
    <xf numFmtId="0" fontId="101" fillId="36" borderId="25" xfId="0" applyFont="1" applyFill="1" applyBorder="1" applyProtection="1"/>
    <xf numFmtId="0" fontId="6" fillId="36" borderId="9" xfId="5" applyFont="1" applyFill="1" applyBorder="1" applyAlignment="1" applyProtection="1">
      <alignment vertical="top" wrapText="1"/>
    </xf>
    <xf numFmtId="0" fontId="4" fillId="36" borderId="2" xfId="5" applyFont="1" applyFill="1" applyBorder="1" applyProtection="1"/>
    <xf numFmtId="0" fontId="4" fillId="21" borderId="231" xfId="0" applyFont="1" applyFill="1" applyBorder="1" applyAlignment="1" applyProtection="1">
      <alignment horizontal="left" vertical="top" wrapText="1"/>
    </xf>
    <xf numFmtId="0" fontId="36" fillId="21" borderId="232" xfId="0" applyFont="1" applyFill="1" applyBorder="1" applyAlignment="1" applyProtection="1">
      <alignment horizontal="left" vertical="top" wrapText="1"/>
    </xf>
    <xf numFmtId="0" fontId="36" fillId="21" borderId="237" xfId="0" applyFont="1" applyFill="1" applyBorder="1" applyAlignment="1" applyProtection="1">
      <alignment horizontal="left" vertical="top" wrapText="1"/>
    </xf>
    <xf numFmtId="0" fontId="5" fillId="21" borderId="232" xfId="0" applyFont="1" applyFill="1" applyBorder="1" applyProtection="1"/>
    <xf numFmtId="0" fontId="36" fillId="21" borderId="226" xfId="0" applyFont="1" applyFill="1" applyBorder="1" applyProtection="1"/>
    <xf numFmtId="3" fontId="91" fillId="21" borderId="235" xfId="0" applyNumberFormat="1" applyFont="1" applyFill="1" applyBorder="1" applyProtection="1"/>
    <xf numFmtId="0" fontId="3" fillId="21" borderId="235" xfId="0" applyFont="1" applyFill="1" applyBorder="1" applyAlignment="1" applyProtection="1">
      <alignment vertical="top"/>
    </xf>
    <xf numFmtId="9" fontId="46" fillId="21" borderId="237" xfId="0" applyNumberFormat="1" applyFont="1" applyFill="1" applyBorder="1" applyProtection="1"/>
    <xf numFmtId="3" fontId="91" fillId="21" borderId="242" xfId="0" applyNumberFormat="1" applyFont="1" applyFill="1" applyBorder="1" applyProtection="1"/>
    <xf numFmtId="0" fontId="3" fillId="21" borderId="243" xfId="0" applyFont="1" applyFill="1" applyBorder="1" applyAlignment="1" applyProtection="1">
      <alignment vertical="top"/>
    </xf>
    <xf numFmtId="3" fontId="91" fillId="21" borderId="226" xfId="0" applyNumberFormat="1" applyFont="1" applyFill="1" applyBorder="1" applyProtection="1"/>
    <xf numFmtId="3" fontId="19" fillId="21" borderId="226" xfId="0" applyNumberFormat="1" applyFont="1" applyFill="1" applyBorder="1" applyProtection="1"/>
    <xf numFmtId="9" fontId="46" fillId="21" borderId="235" xfId="0" applyNumberFormat="1" applyFont="1" applyFill="1" applyBorder="1" applyProtection="1"/>
    <xf numFmtId="9" fontId="46" fillId="21" borderId="233" xfId="0" applyNumberFormat="1" applyFont="1" applyFill="1" applyBorder="1" applyProtection="1"/>
    <xf numFmtId="3" fontId="11" fillId="21" borderId="235" xfId="0" applyNumberFormat="1" applyFont="1" applyFill="1" applyBorder="1" applyAlignment="1" applyProtection="1">
      <alignment vertical="top"/>
      <protection locked="0"/>
    </xf>
    <xf numFmtId="3" fontId="91" fillId="21" borderId="244" xfId="0" applyNumberFormat="1" applyFont="1" applyFill="1" applyBorder="1" applyProtection="1"/>
    <xf numFmtId="3" fontId="4" fillId="21" borderId="245" xfId="0" applyNumberFormat="1" applyFont="1" applyFill="1" applyBorder="1" applyProtection="1"/>
    <xf numFmtId="9" fontId="46" fillId="21" borderId="236" xfId="0" applyNumberFormat="1" applyFont="1" applyFill="1" applyBorder="1" applyProtection="1"/>
    <xf numFmtId="3" fontId="91" fillId="21" borderId="246" xfId="0" applyNumberFormat="1" applyFont="1" applyFill="1" applyBorder="1" applyProtection="1"/>
    <xf numFmtId="0" fontId="10" fillId="21" borderId="235" xfId="0" applyFont="1" applyFill="1" applyBorder="1" applyAlignment="1" applyProtection="1">
      <alignment vertical="top"/>
    </xf>
    <xf numFmtId="9" fontId="46" fillId="21" borderId="233" xfId="0" quotePrefix="1" applyNumberFormat="1" applyFont="1" applyFill="1" applyBorder="1" applyProtection="1"/>
    <xf numFmtId="3" fontId="91" fillId="21" borderId="247" xfId="0" applyNumberFormat="1" applyFont="1" applyFill="1" applyBorder="1" applyProtection="1"/>
    <xf numFmtId="0" fontId="3" fillId="21" borderId="235" xfId="0" applyFont="1" applyFill="1" applyBorder="1" applyAlignment="1" applyProtection="1">
      <alignment vertical="top"/>
      <protection locked="0"/>
    </xf>
    <xf numFmtId="0" fontId="3" fillId="21" borderId="236" xfId="0" applyFont="1" applyFill="1" applyBorder="1" applyAlignment="1" applyProtection="1">
      <alignment vertical="top"/>
      <protection locked="0"/>
    </xf>
    <xf numFmtId="9" fontId="121" fillId="21" borderId="235" xfId="0" applyNumberFormat="1" applyFont="1" applyFill="1" applyBorder="1" applyAlignment="1" applyProtection="1"/>
    <xf numFmtId="9" fontId="46" fillId="21" borderId="234" xfId="0" applyNumberFormat="1" applyFont="1" applyFill="1" applyBorder="1" applyProtection="1"/>
    <xf numFmtId="3" fontId="104" fillId="21" borderId="248" xfId="0" applyNumberFormat="1" applyFont="1" applyFill="1" applyBorder="1" applyProtection="1"/>
    <xf numFmtId="3" fontId="91" fillId="21" borderId="248" xfId="0" applyNumberFormat="1" applyFont="1" applyFill="1" applyBorder="1" applyProtection="1"/>
    <xf numFmtId="0" fontId="2" fillId="21" borderId="249" xfId="0" applyFont="1" applyFill="1" applyBorder="1" applyProtection="1"/>
    <xf numFmtId="3" fontId="3" fillId="22" borderId="234" xfId="0" applyNumberFormat="1" applyFont="1" applyFill="1" applyBorder="1" applyAlignment="1" applyProtection="1">
      <alignment horizontal="right"/>
    </xf>
    <xf numFmtId="3" fontId="91" fillId="21" borderId="250" xfId="0" applyNumberFormat="1" applyFont="1" applyFill="1" applyBorder="1" applyProtection="1"/>
    <xf numFmtId="0" fontId="8" fillId="21" borderId="27" xfId="0" applyFont="1" applyFill="1" applyBorder="1" applyAlignment="1">
      <alignment vertical="top" wrapText="1"/>
    </xf>
    <xf numFmtId="0" fontId="0" fillId="21" borderId="27" xfId="0" applyFill="1" applyBorder="1" applyAlignment="1">
      <alignment vertical="top" wrapText="1"/>
    </xf>
    <xf numFmtId="3" fontId="9" fillId="21" borderId="27" xfId="0" applyNumberFormat="1" applyFont="1" applyFill="1" applyBorder="1" applyAlignment="1" applyProtection="1">
      <alignment vertical="top" wrapText="1"/>
    </xf>
    <xf numFmtId="3" fontId="9" fillId="21" borderId="27" xfId="0" applyNumberFormat="1" applyFont="1" applyFill="1" applyBorder="1" applyAlignment="1" applyProtection="1">
      <alignment horizontal="left" wrapText="1"/>
    </xf>
    <xf numFmtId="3" fontId="36" fillId="21" borderId="220" xfId="0" applyNumberFormat="1" applyFont="1" applyFill="1" applyBorder="1" applyAlignment="1" applyProtection="1">
      <alignment wrapText="1"/>
    </xf>
    <xf numFmtId="3" fontId="46" fillId="21" borderId="0" xfId="0" applyNumberFormat="1" applyFont="1" applyFill="1" applyBorder="1" applyProtection="1"/>
    <xf numFmtId="3" fontId="46" fillId="21" borderId="27" xfId="0" applyNumberFormat="1" applyFont="1" applyFill="1" applyBorder="1" applyProtection="1"/>
    <xf numFmtId="3" fontId="37" fillId="21" borderId="173" xfId="5" quotePrefix="1" applyNumberFormat="1" applyFont="1" applyFill="1" applyBorder="1" applyAlignment="1" applyProtection="1">
      <alignment horizontal="left"/>
    </xf>
    <xf numFmtId="3" fontId="46" fillId="21" borderId="27" xfId="9" applyNumberFormat="1" applyFont="1" applyFill="1" applyBorder="1" applyAlignment="1" applyProtection="1">
      <alignment horizontal="center"/>
    </xf>
    <xf numFmtId="3" fontId="46" fillId="21" borderId="173" xfId="12" applyNumberFormat="1" applyFont="1" applyFill="1" applyBorder="1" applyAlignment="1" applyProtection="1">
      <alignment horizontal="center"/>
    </xf>
    <xf numFmtId="3" fontId="46" fillId="21" borderId="173" xfId="9" applyNumberFormat="1" applyFont="1" applyFill="1" applyBorder="1" applyAlignment="1" applyProtection="1">
      <alignment horizontal="center"/>
    </xf>
    <xf numFmtId="3" fontId="78" fillId="21" borderId="27" xfId="9" applyNumberFormat="1" applyFont="1" applyFill="1" applyBorder="1" applyAlignment="1" applyProtection="1">
      <alignment horizontal="center"/>
    </xf>
    <xf numFmtId="3" fontId="46" fillId="21" borderId="180" xfId="12" applyNumberFormat="1" applyFont="1" applyFill="1" applyBorder="1" applyAlignment="1" applyProtection="1">
      <alignment horizontal="center"/>
    </xf>
    <xf numFmtId="3" fontId="102" fillId="21" borderId="180" xfId="12" applyNumberFormat="1" applyFont="1" applyFill="1" applyBorder="1" applyAlignment="1" applyProtection="1">
      <alignment horizontal="center"/>
    </xf>
    <xf numFmtId="3" fontId="102" fillId="21" borderId="173" xfId="9" applyNumberFormat="1" applyFont="1" applyFill="1" applyBorder="1" applyAlignment="1" applyProtection="1">
      <alignment horizontal="center"/>
    </xf>
    <xf numFmtId="3" fontId="102" fillId="21" borderId="27" xfId="9" applyNumberFormat="1" applyFont="1" applyFill="1" applyBorder="1" applyAlignment="1" applyProtection="1">
      <alignment horizontal="center"/>
    </xf>
    <xf numFmtId="3" fontId="46" fillId="21" borderId="251" xfId="9" applyNumberFormat="1" applyFont="1" applyFill="1" applyBorder="1" applyAlignment="1" applyProtection="1">
      <alignment horizontal="center"/>
    </xf>
    <xf numFmtId="3" fontId="103" fillId="21" borderId="27" xfId="9" applyNumberFormat="1" applyFont="1" applyFill="1" applyBorder="1" applyAlignment="1" applyProtection="1">
      <alignment horizontal="center"/>
    </xf>
    <xf numFmtId="3" fontId="46" fillId="21" borderId="173" xfId="0" applyNumberFormat="1" applyFont="1" applyFill="1" applyBorder="1" applyProtection="1"/>
    <xf numFmtId="3" fontId="6" fillId="21" borderId="98" xfId="0" applyNumberFormat="1" applyFont="1" applyFill="1" applyBorder="1" applyAlignment="1" applyProtection="1">
      <alignment horizontal="left" vertical="center" wrapText="1"/>
    </xf>
    <xf numFmtId="3" fontId="3" fillId="21" borderId="88" xfId="0" applyNumberFormat="1" applyFont="1" applyFill="1" applyBorder="1" applyAlignment="1" applyProtection="1">
      <alignment horizontal="right"/>
    </xf>
    <xf numFmtId="3" fontId="3" fillId="21" borderId="172" xfId="0" applyNumberFormat="1" applyFont="1" applyFill="1" applyBorder="1" applyAlignment="1" applyProtection="1">
      <alignment horizontal="right"/>
    </xf>
    <xf numFmtId="3" fontId="3" fillId="21" borderId="159" xfId="0" applyNumberFormat="1" applyFont="1" applyFill="1" applyBorder="1" applyAlignment="1" applyProtection="1">
      <alignment horizontal="right"/>
    </xf>
    <xf numFmtId="3" fontId="3" fillId="21" borderId="92" xfId="0" applyNumberFormat="1" applyFont="1" applyFill="1" applyBorder="1" applyAlignment="1" applyProtection="1">
      <alignment horizontal="right"/>
    </xf>
    <xf numFmtId="3" fontId="3" fillId="21" borderId="64" xfId="0" applyNumberFormat="1" applyFont="1" applyFill="1" applyBorder="1" applyAlignment="1" applyProtection="1">
      <alignment horizontal="right"/>
    </xf>
    <xf numFmtId="3" fontId="3" fillId="21" borderId="160" xfId="0" applyNumberFormat="1" applyFont="1" applyFill="1" applyBorder="1" applyAlignment="1" applyProtection="1">
      <alignment horizontal="right"/>
    </xf>
    <xf numFmtId="3" fontId="3" fillId="21" borderId="216" xfId="0" applyNumberFormat="1" applyFont="1" applyFill="1" applyBorder="1" applyAlignment="1" applyProtection="1">
      <alignment horizontal="right"/>
    </xf>
    <xf numFmtId="3" fontId="3" fillId="21" borderId="172" xfId="0" applyNumberFormat="1" applyFont="1" applyFill="1" applyBorder="1" applyProtection="1"/>
    <xf numFmtId="0" fontId="0" fillId="21" borderId="93" xfId="0" applyFill="1" applyBorder="1" applyProtection="1"/>
    <xf numFmtId="3" fontId="6" fillId="21" borderId="252" xfId="0" applyNumberFormat="1" applyFont="1" applyFill="1" applyBorder="1" applyAlignment="1" applyProtection="1">
      <alignment horizontal="left" vertical="center" wrapText="1"/>
    </xf>
    <xf numFmtId="0" fontId="0" fillId="21" borderId="254" xfId="0" applyFill="1" applyBorder="1" applyProtection="1"/>
    <xf numFmtId="3" fontId="3" fillId="21" borderId="255" xfId="0" applyNumberFormat="1" applyFont="1" applyFill="1" applyBorder="1" applyAlignment="1" applyProtection="1">
      <alignment horizontal="right"/>
    </xf>
    <xf numFmtId="3" fontId="3" fillId="21" borderId="256" xfId="0" applyNumberFormat="1" applyFont="1" applyFill="1" applyBorder="1" applyAlignment="1" applyProtection="1">
      <alignment horizontal="right"/>
    </xf>
    <xf numFmtId="3" fontId="3" fillId="21" borderId="257" xfId="0" applyNumberFormat="1" applyFont="1" applyFill="1" applyBorder="1" applyAlignment="1" applyProtection="1">
      <alignment horizontal="right"/>
    </xf>
    <xf numFmtId="3" fontId="3" fillId="21" borderId="258" xfId="0" applyNumberFormat="1" applyFont="1" applyFill="1" applyBorder="1" applyAlignment="1" applyProtection="1">
      <alignment horizontal="right"/>
    </xf>
    <xf numFmtId="3" fontId="3" fillId="21" borderId="254" xfId="0" applyNumberFormat="1" applyFont="1" applyFill="1" applyBorder="1" applyAlignment="1" applyProtection="1">
      <alignment horizontal="right"/>
    </xf>
    <xf numFmtId="0" fontId="10" fillId="21" borderId="258" xfId="0" applyFont="1" applyFill="1" applyBorder="1" applyProtection="1"/>
    <xf numFmtId="3" fontId="3" fillId="21" borderId="259" xfId="0" applyNumberFormat="1" applyFont="1" applyFill="1" applyBorder="1" applyAlignment="1" applyProtection="1">
      <alignment horizontal="right"/>
    </xf>
    <xf numFmtId="3" fontId="3" fillId="21" borderId="260" xfId="0" applyNumberFormat="1" applyFont="1" applyFill="1" applyBorder="1" applyAlignment="1" applyProtection="1">
      <alignment horizontal="right"/>
    </xf>
    <xf numFmtId="3" fontId="3" fillId="21" borderId="261" xfId="0" applyNumberFormat="1" applyFont="1" applyFill="1" applyBorder="1" applyAlignment="1" applyProtection="1">
      <alignment horizontal="right"/>
    </xf>
    <xf numFmtId="3" fontId="3" fillId="21" borderId="256" xfId="0" applyNumberFormat="1" applyFont="1" applyFill="1" applyBorder="1" applyProtection="1"/>
    <xf numFmtId="0" fontId="0" fillId="21" borderId="262" xfId="0" applyFill="1" applyBorder="1" applyProtection="1"/>
    <xf numFmtId="0" fontId="4" fillId="36" borderId="22" xfId="0" applyNumberFormat="1" applyFont="1" applyFill="1" applyBorder="1" applyAlignment="1" applyProtection="1">
      <alignment horizontal="center"/>
    </xf>
    <xf numFmtId="0" fontId="9" fillId="36" borderId="6" xfId="0" applyFont="1" applyFill="1" applyBorder="1" applyProtection="1"/>
    <xf numFmtId="49" fontId="4" fillId="36" borderId="88" xfId="0" applyNumberFormat="1" applyFont="1" applyFill="1" applyBorder="1" applyAlignment="1" applyProtection="1">
      <alignment horizontal="left"/>
    </xf>
    <xf numFmtId="0" fontId="17" fillId="36" borderId="162" xfId="0" applyFont="1" applyFill="1" applyBorder="1" applyProtection="1"/>
    <xf numFmtId="0" fontId="4" fillId="36" borderId="87" xfId="0" applyFont="1" applyFill="1" applyBorder="1" applyAlignment="1" applyProtection="1">
      <alignment horizontal="left" vertical="top" wrapText="1"/>
    </xf>
    <xf numFmtId="3" fontId="14" fillId="37" borderId="5" xfId="0" applyNumberFormat="1" applyFont="1" applyFill="1" applyBorder="1" applyAlignment="1" applyProtection="1">
      <alignment horizontal="right"/>
      <protection locked="0"/>
    </xf>
    <xf numFmtId="3" fontId="4" fillId="36" borderId="123" xfId="0" applyNumberFormat="1" applyFont="1" applyFill="1" applyBorder="1" applyAlignment="1" applyProtection="1">
      <alignment horizontal="left" vertical="top" wrapText="1"/>
    </xf>
    <xf numFmtId="0" fontId="4" fillId="36" borderId="149" xfId="0" applyFont="1" applyFill="1" applyBorder="1" applyAlignment="1" applyProtection="1">
      <alignment horizontal="left" vertical="top" wrapText="1"/>
    </xf>
    <xf numFmtId="3" fontId="4" fillId="36" borderId="25" xfId="0" applyNumberFormat="1" applyFont="1" applyFill="1" applyBorder="1" applyAlignment="1" applyProtection="1">
      <alignment horizontal="left" vertical="top" wrapText="1"/>
    </xf>
    <xf numFmtId="3" fontId="4" fillId="36" borderId="59" xfId="0" applyNumberFormat="1" applyFont="1" applyFill="1" applyBorder="1" applyAlignment="1" applyProtection="1">
      <alignment horizontal="left" vertical="top" wrapText="1"/>
    </xf>
    <xf numFmtId="3" fontId="4" fillId="36" borderId="26" xfId="0" applyNumberFormat="1" applyFont="1" applyFill="1" applyBorder="1" applyAlignment="1" applyProtection="1">
      <alignment horizontal="left" vertical="top" wrapText="1"/>
    </xf>
    <xf numFmtId="3" fontId="4" fillId="36" borderId="29" xfId="0" applyNumberFormat="1" applyFont="1" applyFill="1" applyBorder="1" applyAlignment="1" applyProtection="1">
      <alignment horizontal="center"/>
    </xf>
    <xf numFmtId="3" fontId="4" fillId="36" borderId="24" xfId="0" applyNumberFormat="1" applyFont="1" applyFill="1" applyBorder="1" applyAlignment="1" applyProtection="1">
      <alignment vertical="top" wrapText="1"/>
    </xf>
    <xf numFmtId="3" fontId="4" fillId="36" borderId="73" xfId="0" applyNumberFormat="1" applyFont="1" applyFill="1" applyBorder="1" applyAlignment="1" applyProtection="1"/>
    <xf numFmtId="3" fontId="4" fillId="36" borderId="54" xfId="0" applyNumberFormat="1" applyFont="1" applyFill="1" applyBorder="1" applyAlignment="1" applyProtection="1"/>
    <xf numFmtId="3" fontId="4" fillId="36" borderId="12" xfId="0" applyNumberFormat="1" applyFont="1" applyFill="1" applyBorder="1" applyAlignment="1" applyProtection="1"/>
    <xf numFmtId="3" fontId="14" fillId="37" borderId="3" xfId="0" applyNumberFormat="1" applyFont="1" applyFill="1" applyBorder="1" applyAlignment="1" applyProtection="1">
      <alignment horizontal="right"/>
      <protection locked="0"/>
    </xf>
    <xf numFmtId="3" fontId="4" fillId="36" borderId="88" xfId="0" applyNumberFormat="1" applyFont="1" applyFill="1" applyBorder="1" applyAlignment="1" applyProtection="1"/>
    <xf numFmtId="3" fontId="14" fillId="37" borderId="3" xfId="0" applyNumberFormat="1" applyFont="1" applyFill="1" applyBorder="1" applyAlignment="1" applyProtection="1">
      <alignment horizontal="right"/>
    </xf>
    <xf numFmtId="3" fontId="14" fillId="37" borderId="29" xfId="0" applyNumberFormat="1" applyFont="1" applyFill="1" applyBorder="1" applyAlignment="1" applyProtection="1">
      <alignment horizontal="right"/>
      <protection locked="0"/>
    </xf>
    <xf numFmtId="3" fontId="4" fillId="0" borderId="0" xfId="0" applyNumberFormat="1" applyFont="1" applyFill="1" applyBorder="1" applyAlignment="1" applyProtection="1">
      <alignment horizontal="right"/>
    </xf>
    <xf numFmtId="0" fontId="82" fillId="2" borderId="0" xfId="10" applyFont="1" applyFill="1" applyBorder="1" applyProtection="1"/>
    <xf numFmtId="3" fontId="37" fillId="0" borderId="43" xfId="0" applyNumberFormat="1" applyFont="1" applyFill="1" applyBorder="1" applyProtection="1"/>
    <xf numFmtId="3" fontId="3" fillId="9" borderId="4" xfId="0" applyNumberFormat="1" applyFont="1" applyFill="1" applyBorder="1" applyAlignment="1" applyProtection="1">
      <alignment horizontal="right"/>
    </xf>
    <xf numFmtId="3" fontId="3" fillId="9" borderId="2" xfId="0" applyNumberFormat="1" applyFont="1" applyFill="1" applyBorder="1" applyAlignment="1" applyProtection="1">
      <alignment horizontal="right"/>
    </xf>
    <xf numFmtId="3" fontId="3" fillId="9" borderId="18" xfId="0" applyNumberFormat="1" applyFont="1" applyFill="1" applyBorder="1" applyAlignment="1" applyProtection="1">
      <alignment horizontal="right"/>
    </xf>
    <xf numFmtId="3" fontId="3" fillId="9" borderId="155" xfId="0" applyNumberFormat="1" applyFont="1" applyFill="1" applyBorder="1" applyAlignment="1" applyProtection="1">
      <alignment horizontal="right"/>
    </xf>
    <xf numFmtId="3" fontId="3" fillId="2" borderId="67" xfId="0" applyNumberFormat="1" applyFont="1" applyFill="1" applyBorder="1" applyAlignment="1" applyProtection="1">
      <alignment horizontal="right"/>
      <protection locked="0"/>
    </xf>
    <xf numFmtId="3" fontId="3" fillId="2" borderId="165" xfId="0" applyNumberFormat="1" applyFont="1" applyFill="1" applyBorder="1" applyAlignment="1" applyProtection="1">
      <alignment horizontal="right"/>
      <protection locked="0"/>
    </xf>
    <xf numFmtId="3" fontId="3" fillId="2" borderId="55" xfId="0" applyNumberFormat="1" applyFont="1" applyFill="1" applyBorder="1" applyAlignment="1" applyProtection="1">
      <alignment horizontal="right"/>
      <protection locked="0"/>
    </xf>
    <xf numFmtId="3" fontId="3" fillId="3" borderId="59" xfId="0" applyNumberFormat="1" applyFont="1" applyFill="1" applyBorder="1" applyAlignment="1" applyProtection="1">
      <alignment horizontal="right"/>
    </xf>
    <xf numFmtId="3" fontId="3" fillId="9" borderId="125" xfId="0" applyNumberFormat="1" applyFont="1" applyFill="1" applyBorder="1" applyAlignment="1" applyProtection="1">
      <alignment horizontal="right"/>
    </xf>
    <xf numFmtId="3" fontId="3" fillId="2" borderId="125" xfId="0" applyNumberFormat="1" applyFont="1" applyFill="1" applyBorder="1" applyAlignment="1" applyProtection="1">
      <alignment horizontal="right"/>
      <protection locked="0"/>
    </xf>
    <xf numFmtId="49" fontId="4" fillId="21" borderId="263" xfId="0" applyNumberFormat="1" applyFont="1" applyFill="1" applyBorder="1" applyAlignment="1" applyProtection="1">
      <alignment horizontal="center"/>
    </xf>
    <xf numFmtId="0" fontId="4" fillId="21" borderId="264" xfId="0" applyFont="1" applyFill="1" applyBorder="1" applyProtection="1"/>
    <xf numFmtId="3" fontId="3" fillId="3" borderId="265" xfId="0" applyNumberFormat="1" applyFont="1" applyFill="1" applyBorder="1" applyAlignment="1" applyProtection="1">
      <alignment horizontal="right"/>
    </xf>
    <xf numFmtId="3" fontId="3" fillId="3" borderId="266" xfId="0" applyNumberFormat="1" applyFont="1" applyFill="1" applyBorder="1" applyAlignment="1" applyProtection="1">
      <alignment horizontal="right"/>
    </xf>
    <xf numFmtId="3" fontId="125" fillId="22" borderId="266" xfId="0" applyNumberFormat="1" applyFont="1" applyFill="1" applyBorder="1" applyAlignment="1" applyProtection="1">
      <alignment horizontal="right"/>
    </xf>
    <xf numFmtId="3" fontId="3" fillId="3" borderId="267" xfId="0" applyNumberFormat="1" applyFont="1" applyFill="1" applyBorder="1" applyAlignment="1" applyProtection="1">
      <alignment horizontal="right"/>
    </xf>
    <xf numFmtId="3" fontId="3" fillId="3" borderId="263" xfId="0" applyNumberFormat="1" applyFont="1" applyFill="1" applyBorder="1" applyAlignment="1" applyProtection="1">
      <alignment horizontal="right"/>
    </xf>
    <xf numFmtId="3" fontId="3" fillId="3" borderId="268" xfId="0" applyNumberFormat="1" applyFont="1" applyFill="1" applyBorder="1" applyAlignment="1" applyProtection="1">
      <alignment horizontal="right"/>
    </xf>
    <xf numFmtId="0" fontId="4" fillId="21" borderId="269" xfId="0" applyFont="1" applyFill="1" applyBorder="1" applyAlignment="1" applyProtection="1">
      <alignment horizontal="left" vertical="center"/>
    </xf>
    <xf numFmtId="0" fontId="4" fillId="21" borderId="270" xfId="0" applyFont="1" applyFill="1" applyBorder="1" applyAlignment="1" applyProtection="1">
      <alignment horizontal="left" vertical="center"/>
    </xf>
    <xf numFmtId="3" fontId="3" fillId="38" borderId="7" xfId="0" applyNumberFormat="1" applyFont="1" applyFill="1" applyBorder="1" applyAlignment="1" applyProtection="1">
      <alignment horizontal="right"/>
    </xf>
    <xf numFmtId="3" fontId="3" fillId="38" borderId="22" xfId="0" applyNumberFormat="1" applyFont="1" applyFill="1" applyBorder="1" applyAlignment="1" applyProtection="1">
      <alignment horizontal="right"/>
    </xf>
    <xf numFmtId="0" fontId="4" fillId="36" borderId="5" xfId="0" applyFont="1" applyFill="1" applyBorder="1" applyAlignment="1">
      <alignment horizontal="center"/>
    </xf>
    <xf numFmtId="0" fontId="4" fillId="36" borderId="68" xfId="0" applyFont="1" applyFill="1" applyBorder="1" applyAlignment="1" applyProtection="1">
      <alignment horizontal="left" vertical="top" wrapText="1"/>
    </xf>
    <xf numFmtId="0" fontId="4" fillId="36" borderId="5" xfId="0" applyFont="1" applyFill="1" applyBorder="1"/>
    <xf numFmtId="0" fontId="8" fillId="21" borderId="0" xfId="0" applyFont="1" applyFill="1" applyBorder="1" applyAlignment="1">
      <alignment wrapText="1"/>
    </xf>
    <xf numFmtId="0" fontId="128" fillId="21" borderId="0" xfId="0" applyFont="1" applyFill="1" applyBorder="1" applyAlignment="1">
      <alignment wrapText="1"/>
    </xf>
    <xf numFmtId="3" fontId="46" fillId="22" borderId="271" xfId="0" applyNumberFormat="1" applyFont="1" applyFill="1" applyBorder="1" applyProtection="1"/>
    <xf numFmtId="3" fontId="46" fillId="21" borderId="271" xfId="0" applyNumberFormat="1" applyFont="1" applyFill="1" applyBorder="1" applyProtection="1"/>
    <xf numFmtId="1" fontId="46" fillId="21" borderId="272" xfId="0" applyNumberFormat="1" applyFont="1" applyFill="1" applyBorder="1" applyProtection="1"/>
    <xf numFmtId="0" fontId="4" fillId="21" borderId="218" xfId="0" applyFont="1" applyFill="1" applyBorder="1" applyProtection="1"/>
    <xf numFmtId="0" fontId="0" fillId="21" borderId="0" xfId="0" applyFill="1" applyBorder="1" applyAlignment="1"/>
    <xf numFmtId="0" fontId="130" fillId="21" borderId="0" xfId="0" applyFont="1" applyFill="1" applyBorder="1" applyAlignment="1">
      <alignment vertical="top" wrapText="1"/>
    </xf>
    <xf numFmtId="0" fontId="130" fillId="21" borderId="0" xfId="0" applyFont="1" applyFill="1" applyBorder="1" applyAlignment="1">
      <alignment wrapText="1"/>
    </xf>
    <xf numFmtId="0" fontId="129" fillId="21" borderId="0" xfId="0" applyFont="1" applyFill="1" applyBorder="1" applyAlignment="1">
      <alignment wrapText="1"/>
    </xf>
    <xf numFmtId="0" fontId="0" fillId="21" borderId="0" xfId="0" applyFill="1" applyBorder="1" applyAlignment="1">
      <alignment wrapText="1"/>
    </xf>
    <xf numFmtId="0" fontId="0" fillId="21" borderId="0" xfId="0" applyFill="1" applyBorder="1" applyAlignment="1">
      <alignment horizontal="left" vertical="top" wrapText="1"/>
    </xf>
    <xf numFmtId="3" fontId="46" fillId="22" borderId="273" xfId="0" applyNumberFormat="1" applyFont="1" applyFill="1" applyBorder="1" applyProtection="1"/>
    <xf numFmtId="0" fontId="4" fillId="21" borderId="275" xfId="0" applyFont="1" applyFill="1" applyBorder="1" applyAlignment="1" applyProtection="1">
      <alignment horizontal="center"/>
    </xf>
    <xf numFmtId="3" fontId="46" fillId="22" borderId="277" xfId="0" applyNumberFormat="1" applyFont="1" applyFill="1" applyBorder="1" applyProtection="1"/>
    <xf numFmtId="3" fontId="46" fillId="22" borderId="278" xfId="0" applyNumberFormat="1" applyFont="1" applyFill="1" applyBorder="1" applyProtection="1"/>
    <xf numFmtId="3" fontId="46" fillId="22" borderId="275" xfId="0" applyNumberFormat="1" applyFont="1" applyFill="1" applyBorder="1" applyProtection="1"/>
    <xf numFmtId="3" fontId="46" fillId="22" borderId="279" xfId="0" applyNumberFormat="1" applyFont="1" applyFill="1" applyBorder="1" applyProtection="1"/>
    <xf numFmtId="3" fontId="46" fillId="22" borderId="280" xfId="0" applyNumberFormat="1" applyFont="1" applyFill="1" applyBorder="1" applyProtection="1"/>
    <xf numFmtId="3" fontId="46" fillId="22" borderId="281" xfId="0" applyNumberFormat="1" applyFont="1" applyFill="1" applyBorder="1" applyProtection="1"/>
    <xf numFmtId="3" fontId="46" fillId="22" borderId="282" xfId="0" applyNumberFormat="1" applyFont="1" applyFill="1" applyBorder="1" applyProtection="1"/>
    <xf numFmtId="3" fontId="46" fillId="22" borderId="283" xfId="0" applyNumberFormat="1" applyFont="1" applyFill="1" applyBorder="1" applyProtection="1"/>
    <xf numFmtId="3" fontId="46" fillId="22" borderId="274" xfId="0" applyNumberFormat="1" applyFont="1" applyFill="1" applyBorder="1" applyProtection="1"/>
    <xf numFmtId="3" fontId="46" fillId="21" borderId="282" xfId="0" applyNumberFormat="1" applyFont="1" applyFill="1" applyBorder="1" applyProtection="1"/>
    <xf numFmtId="3" fontId="46" fillId="21" borderId="283" xfId="0" applyNumberFormat="1" applyFont="1" applyFill="1" applyBorder="1" applyProtection="1"/>
    <xf numFmtId="1" fontId="46" fillId="21" borderId="284" xfId="0" applyNumberFormat="1" applyFont="1" applyFill="1" applyBorder="1" applyProtection="1"/>
    <xf numFmtId="3" fontId="4" fillId="21" borderId="285" xfId="0" applyNumberFormat="1" applyFont="1" applyFill="1" applyBorder="1" applyProtection="1"/>
    <xf numFmtId="1" fontId="4" fillId="21" borderId="286" xfId="0" applyNumberFormat="1" applyFont="1" applyFill="1" applyBorder="1" applyProtection="1"/>
    <xf numFmtId="3" fontId="4" fillId="21" borderId="287" xfId="0" applyNumberFormat="1" applyFont="1" applyFill="1" applyBorder="1" applyProtection="1"/>
    <xf numFmtId="3" fontId="4" fillId="21" borderId="288" xfId="0" applyNumberFormat="1" applyFont="1" applyFill="1" applyBorder="1" applyProtection="1"/>
    <xf numFmtId="3" fontId="37" fillId="21" borderId="285" xfId="0" applyNumberFormat="1" applyFont="1" applyFill="1" applyBorder="1" applyProtection="1"/>
    <xf numFmtId="49" fontId="4" fillId="36" borderId="23" xfId="0" applyNumberFormat="1" applyFont="1" applyFill="1" applyBorder="1" applyAlignment="1">
      <alignment horizontal="left"/>
    </xf>
    <xf numFmtId="49" fontId="4" fillId="36" borderId="22" xfId="0" applyNumberFormat="1" applyFont="1" applyFill="1" applyBorder="1" applyAlignment="1">
      <alignment horizontal="left"/>
    </xf>
    <xf numFmtId="49" fontId="4" fillId="36" borderId="125" xfId="0" applyNumberFormat="1" applyFont="1" applyFill="1" applyBorder="1" applyAlignment="1">
      <alignment horizontal="left"/>
    </xf>
    <xf numFmtId="0" fontId="6" fillId="36" borderId="182" xfId="0" applyFont="1" applyFill="1" applyBorder="1"/>
    <xf numFmtId="49" fontId="4" fillId="36" borderId="12" xfId="0" applyNumberFormat="1" applyFont="1" applyFill="1" applyBorder="1"/>
    <xf numFmtId="49" fontId="4" fillId="36" borderId="53" xfId="0" applyNumberFormat="1" applyFont="1" applyFill="1" applyBorder="1"/>
    <xf numFmtId="49" fontId="4" fillId="36" borderId="53" xfId="0" applyNumberFormat="1" applyFont="1" applyFill="1" applyBorder="1" applyAlignment="1">
      <alignment wrapText="1"/>
    </xf>
    <xf numFmtId="49" fontId="4" fillId="36" borderId="165" xfId="0" applyNumberFormat="1" applyFont="1" applyFill="1" applyBorder="1"/>
    <xf numFmtId="0" fontId="6" fillId="36" borderId="182" xfId="0" applyFont="1" applyFill="1" applyBorder="1" applyProtection="1"/>
    <xf numFmtId="49" fontId="146" fillId="36" borderId="12" xfId="0" applyNumberFormat="1" applyFont="1" applyFill="1" applyBorder="1" applyProtection="1"/>
    <xf numFmtId="0" fontId="4" fillId="21" borderId="165" xfId="0" applyFont="1" applyFill="1" applyBorder="1" applyAlignment="1" applyProtection="1">
      <alignment horizontal="left" vertical="top" wrapText="1"/>
    </xf>
    <xf numFmtId="0" fontId="4" fillId="21" borderId="0" xfId="5" applyFont="1" applyFill="1" applyBorder="1" applyAlignment="1" applyProtection="1"/>
    <xf numFmtId="3" fontId="3" fillId="9" borderId="218" xfId="5" applyNumberFormat="1" applyFont="1" applyFill="1" applyBorder="1" applyProtection="1"/>
    <xf numFmtId="3" fontId="3" fillId="2" borderId="12" xfId="5" applyNumberFormat="1" applyFont="1" applyFill="1" applyBorder="1" applyAlignment="1" applyProtection="1">
      <alignment horizontal="right"/>
      <protection locked="0"/>
    </xf>
    <xf numFmtId="3" fontId="3" fillId="2" borderId="165" xfId="5" applyNumberFormat="1" applyFont="1" applyFill="1" applyBorder="1" applyAlignment="1" applyProtection="1">
      <alignment horizontal="right"/>
      <protection locked="0"/>
    </xf>
    <xf numFmtId="3" fontId="3" fillId="2" borderId="212" xfId="5" applyNumberFormat="1" applyFont="1" applyFill="1" applyBorder="1" applyAlignment="1" applyProtection="1">
      <alignment horizontal="right"/>
      <protection locked="0"/>
    </xf>
    <xf numFmtId="3" fontId="3" fillId="2" borderId="103" xfId="5" applyNumberFormat="1" applyFont="1" applyFill="1" applyBorder="1" applyAlignment="1" applyProtection="1">
      <alignment horizontal="right"/>
      <protection locked="0"/>
    </xf>
    <xf numFmtId="0" fontId="4" fillId="21" borderId="231" xfId="5" applyFont="1" applyFill="1" applyBorder="1" applyProtection="1"/>
    <xf numFmtId="0" fontId="4" fillId="21" borderId="232" xfId="5" applyFont="1" applyFill="1" applyBorder="1" applyProtection="1"/>
    <xf numFmtId="0" fontId="4" fillId="21" borderId="236" xfId="0" applyFont="1" applyFill="1" applyBorder="1" applyAlignment="1" applyProtection="1">
      <alignment horizontal="left" vertical="top" wrapText="1"/>
    </xf>
    <xf numFmtId="3" fontId="3" fillId="9" borderId="289" xfId="5" applyNumberFormat="1" applyFont="1" applyFill="1" applyBorder="1" applyProtection="1"/>
    <xf numFmtId="3" fontId="3" fillId="2" borderId="233" xfId="5" applyNumberFormat="1" applyFont="1" applyFill="1" applyBorder="1" applyAlignment="1" applyProtection="1">
      <alignment horizontal="right"/>
      <protection locked="0"/>
    </xf>
    <xf numFmtId="3" fontId="3" fillId="2" borderId="235" xfId="5" applyNumberFormat="1" applyFont="1" applyFill="1" applyBorder="1" applyAlignment="1" applyProtection="1">
      <alignment horizontal="right"/>
      <protection locked="0"/>
    </xf>
    <xf numFmtId="3" fontId="3" fillId="2" borderId="236" xfId="5" applyNumberFormat="1" applyFont="1" applyFill="1" applyBorder="1" applyAlignment="1" applyProtection="1">
      <alignment horizontal="right"/>
      <protection locked="0"/>
    </xf>
    <xf numFmtId="3" fontId="3" fillId="2" borderId="243" xfId="5" applyNumberFormat="1" applyFont="1" applyFill="1" applyBorder="1" applyAlignment="1" applyProtection="1">
      <alignment horizontal="right"/>
      <protection locked="0"/>
    </xf>
    <xf numFmtId="3" fontId="3" fillId="9" borderId="290" xfId="5" applyNumberFormat="1" applyFont="1" applyFill="1" applyBorder="1" applyProtection="1"/>
    <xf numFmtId="3" fontId="3" fillId="2" borderId="234" xfId="5" applyNumberFormat="1" applyFont="1" applyFill="1" applyBorder="1" applyAlignment="1" applyProtection="1">
      <alignment horizontal="right"/>
      <protection locked="0"/>
    </xf>
    <xf numFmtId="0" fontId="4" fillId="21" borderId="230" xfId="5" applyFont="1" applyFill="1" applyBorder="1" applyAlignment="1" applyProtection="1">
      <alignment horizontal="center" vertical="top"/>
    </xf>
    <xf numFmtId="0" fontId="4" fillId="21" borderId="230" xfId="5" applyFont="1" applyFill="1" applyBorder="1" applyProtection="1"/>
    <xf numFmtId="1" fontId="4" fillId="21" borderId="230" xfId="5" applyNumberFormat="1" applyFont="1" applyFill="1" applyBorder="1" applyAlignment="1" applyProtection="1">
      <alignment horizontal="left"/>
    </xf>
    <xf numFmtId="169" fontId="42" fillId="21" borderId="291" xfId="5" applyNumberFormat="1" applyFont="1" applyFill="1" applyBorder="1" applyProtection="1"/>
    <xf numFmtId="3" fontId="46" fillId="21" borderId="290" xfId="5" applyNumberFormat="1" applyFont="1" applyFill="1" applyBorder="1" applyProtection="1"/>
    <xf numFmtId="9" fontId="46" fillId="21" borderId="235" xfId="5" quotePrefix="1" applyNumberFormat="1" applyFont="1" applyFill="1" applyBorder="1" applyAlignment="1" applyProtection="1">
      <alignment horizontal="right"/>
    </xf>
    <xf numFmtId="3" fontId="43" fillId="21" borderId="249" xfId="5" applyNumberFormat="1" applyFont="1" applyFill="1" applyBorder="1" applyAlignment="1" applyProtection="1">
      <alignment horizontal="right"/>
    </xf>
    <xf numFmtId="3" fontId="43" fillId="21" borderId="226" xfId="5" applyNumberFormat="1" applyFont="1" applyFill="1" applyBorder="1" applyAlignment="1" applyProtection="1">
      <alignment horizontal="right"/>
    </xf>
    <xf numFmtId="3" fontId="43" fillId="21" borderId="250" xfId="5" applyNumberFormat="1" applyFont="1" applyFill="1" applyBorder="1" applyAlignment="1" applyProtection="1">
      <alignment horizontal="right"/>
    </xf>
    <xf numFmtId="9" fontId="46" fillId="21" borderId="246" xfId="5" applyNumberFormat="1" applyFont="1" applyFill="1" applyBorder="1" applyProtection="1"/>
    <xf numFmtId="0" fontId="0" fillId="35" borderId="292" xfId="0" applyFill="1" applyBorder="1"/>
    <xf numFmtId="0" fontId="4" fillId="21" borderId="293" xfId="5" applyFont="1" applyFill="1" applyBorder="1" applyProtection="1"/>
    <xf numFmtId="3" fontId="4" fillId="21" borderId="294" xfId="5" applyNumberFormat="1" applyFont="1" applyFill="1" applyBorder="1" applyProtection="1"/>
    <xf numFmtId="0" fontId="4" fillId="21" borderId="294" xfId="5" applyFont="1" applyFill="1" applyBorder="1" applyProtection="1"/>
    <xf numFmtId="0" fontId="8" fillId="21" borderId="294" xfId="5" applyFont="1" applyFill="1" applyBorder="1" applyAlignment="1" applyProtection="1">
      <alignment horizontal="left"/>
    </xf>
    <xf numFmtId="3" fontId="42" fillId="21" borderId="294" xfId="5" applyNumberFormat="1" applyFont="1" applyFill="1" applyBorder="1" applyProtection="1"/>
    <xf numFmtId="169" fontId="42" fillId="21" borderId="295" xfId="5" applyNumberFormat="1" applyFont="1" applyFill="1" applyBorder="1" applyProtection="1"/>
    <xf numFmtId="3" fontId="4" fillId="21" borderId="296" xfId="5" applyNumberFormat="1" applyFont="1" applyFill="1" applyBorder="1" applyProtection="1"/>
    <xf numFmtId="3" fontId="42" fillId="21" borderId="294" xfId="5" applyNumberFormat="1" applyFont="1" applyFill="1" applyBorder="1" applyAlignment="1" applyProtection="1">
      <alignment horizontal="right"/>
    </xf>
    <xf numFmtId="0" fontId="131" fillId="21" borderId="294" xfId="0" applyFont="1" applyFill="1" applyBorder="1" applyAlignment="1">
      <alignment vertical="top" wrapText="1"/>
    </xf>
    <xf numFmtId="0" fontId="4" fillId="21" borderId="294" xfId="0" applyFont="1" applyFill="1" applyBorder="1" applyAlignment="1">
      <alignment vertical="top" wrapText="1"/>
    </xf>
    <xf numFmtId="3" fontId="42" fillId="21" borderId="292" xfId="5" applyNumberFormat="1" applyFont="1" applyFill="1" applyBorder="1" applyAlignment="1" applyProtection="1">
      <alignment horizontal="right"/>
    </xf>
    <xf numFmtId="3" fontId="4" fillId="21" borderId="293" xfId="5" applyNumberFormat="1" applyFont="1" applyFill="1" applyBorder="1" applyProtection="1"/>
    <xf numFmtId="3" fontId="118" fillId="21" borderId="294" xfId="5" applyNumberFormat="1" applyFont="1" applyFill="1" applyBorder="1" applyAlignment="1" applyProtection="1">
      <alignment horizontal="left" vertical="top"/>
    </xf>
    <xf numFmtId="0" fontId="119" fillId="21" borderId="294" xfId="0" applyFont="1" applyFill="1" applyBorder="1" applyAlignment="1"/>
    <xf numFmtId="3" fontId="4" fillId="21" borderId="293" xfId="5" applyNumberFormat="1" applyFont="1" applyFill="1" applyBorder="1" applyAlignment="1" applyProtection="1">
      <alignment horizontal="right"/>
    </xf>
    <xf numFmtId="3" fontId="4" fillId="21" borderId="294" xfId="5" applyNumberFormat="1" applyFont="1" applyFill="1" applyBorder="1" applyAlignment="1" applyProtection="1">
      <alignment horizontal="right"/>
    </xf>
    <xf numFmtId="0" fontId="132" fillId="21" borderId="294" xfId="0" applyFont="1" applyFill="1" applyBorder="1" applyAlignment="1">
      <alignment horizontal="left" vertical="top"/>
    </xf>
    <xf numFmtId="0" fontId="132" fillId="21" borderId="292" xfId="0" applyFont="1" applyFill="1" applyBorder="1" applyAlignment="1">
      <alignment horizontal="left" vertical="top"/>
    </xf>
    <xf numFmtId="3" fontId="4" fillId="21" borderId="297" xfId="5" applyNumberFormat="1" applyFont="1" applyFill="1" applyBorder="1" applyAlignment="1" applyProtection="1">
      <alignment wrapText="1"/>
    </xf>
    <xf numFmtId="3" fontId="4" fillId="21" borderId="226" xfId="5" applyNumberFormat="1" applyFont="1" applyFill="1" applyBorder="1" applyProtection="1"/>
    <xf numFmtId="0" fontId="4" fillId="21" borderId="226" xfId="5" applyFont="1" applyFill="1" applyBorder="1" applyAlignment="1" applyProtection="1">
      <alignment wrapText="1"/>
    </xf>
    <xf numFmtId="0" fontId="8" fillId="21" borderId="226" xfId="5" applyFont="1" applyFill="1" applyBorder="1" applyAlignment="1" applyProtection="1">
      <alignment horizontal="left" wrapText="1"/>
    </xf>
    <xf numFmtId="3" fontId="42" fillId="21" borderId="226" xfId="5" applyNumberFormat="1" applyFont="1" applyFill="1" applyBorder="1" applyProtection="1"/>
    <xf numFmtId="3" fontId="4" fillId="21" borderId="226" xfId="5" applyNumberFormat="1" applyFont="1" applyFill="1" applyBorder="1" applyAlignment="1" applyProtection="1">
      <alignment horizontal="left"/>
    </xf>
    <xf numFmtId="0" fontId="0" fillId="21" borderId="226" xfId="0" applyFill="1" applyBorder="1" applyAlignment="1"/>
    <xf numFmtId="0" fontId="131" fillId="21" borderId="226" xfId="0" applyFont="1" applyFill="1" applyBorder="1" applyAlignment="1">
      <alignment vertical="top" wrapText="1"/>
    </xf>
    <xf numFmtId="0" fontId="0" fillId="21" borderId="226" xfId="0" applyFill="1" applyBorder="1" applyAlignment="1">
      <alignment vertical="top" wrapText="1"/>
    </xf>
    <xf numFmtId="3" fontId="42" fillId="21" borderId="250" xfId="5" applyNumberFormat="1" applyFont="1" applyFill="1" applyBorder="1" applyAlignment="1" applyProtection="1">
      <alignment horizontal="left"/>
    </xf>
    <xf numFmtId="169" fontId="4" fillId="21" borderId="297" xfId="5" applyNumberFormat="1" applyFont="1" applyFill="1" applyBorder="1" applyAlignment="1" applyProtection="1">
      <alignment horizontal="left"/>
    </xf>
    <xf numFmtId="169" fontId="42" fillId="21" borderId="226" xfId="5" applyNumberFormat="1" applyFont="1" applyFill="1" applyBorder="1" applyAlignment="1" applyProtection="1">
      <alignment horizontal="left"/>
    </xf>
    <xf numFmtId="3" fontId="4" fillId="21" borderId="242" xfId="5" applyNumberFormat="1" applyFont="1" applyFill="1" applyBorder="1" applyAlignment="1" applyProtection="1">
      <alignment horizontal="left"/>
    </xf>
    <xf numFmtId="3" fontId="4" fillId="21" borderId="248" xfId="5" applyNumberFormat="1" applyFont="1" applyFill="1" applyBorder="1" applyAlignment="1" applyProtection="1">
      <alignment horizontal="left"/>
    </xf>
    <xf numFmtId="3" fontId="3" fillId="38" borderId="5" xfId="5" applyNumberFormat="1" applyFont="1" applyFill="1" applyBorder="1" applyAlignment="1" applyProtection="1"/>
    <xf numFmtId="0" fontId="4" fillId="36" borderId="2" xfId="5" applyFont="1" applyFill="1" applyBorder="1" applyAlignment="1">
      <alignment horizontal="left"/>
    </xf>
    <xf numFmtId="1" fontId="4" fillId="36" borderId="49" xfId="5" applyNumberFormat="1" applyFont="1" applyFill="1" applyBorder="1" applyAlignment="1" applyProtection="1">
      <alignment horizontal="left"/>
    </xf>
    <xf numFmtId="1" fontId="4" fillId="36" borderId="137" xfId="5" applyNumberFormat="1" applyFont="1" applyFill="1" applyBorder="1" applyAlignment="1" applyProtection="1">
      <alignment horizontal="left"/>
    </xf>
    <xf numFmtId="0" fontId="4" fillId="36" borderId="2" xfId="5" applyFont="1" applyFill="1" applyBorder="1"/>
    <xf numFmtId="0" fontId="4" fillId="36" borderId="6" xfId="5" applyFont="1" applyFill="1" applyBorder="1" applyProtection="1"/>
    <xf numFmtId="0" fontId="4" fillId="36" borderId="185" xfId="5" applyFont="1" applyFill="1" applyBorder="1" applyProtection="1"/>
    <xf numFmtId="0" fontId="25" fillId="36" borderId="67" xfId="5" applyFont="1" applyFill="1" applyBorder="1" applyProtection="1"/>
    <xf numFmtId="1" fontId="6" fillId="21" borderId="294" xfId="0" applyNumberFormat="1" applyFont="1" applyFill="1" applyBorder="1" applyAlignment="1" applyProtection="1">
      <alignment horizontal="left"/>
    </xf>
    <xf numFmtId="1" fontId="4" fillId="21" borderId="298" xfId="0" applyNumberFormat="1" applyFont="1" applyFill="1" applyBorder="1" applyAlignment="1" applyProtection="1">
      <alignment horizontal="left"/>
    </xf>
    <xf numFmtId="1" fontId="6" fillId="21" borderId="298" xfId="0" applyNumberFormat="1" applyFont="1" applyFill="1" applyBorder="1" applyAlignment="1" applyProtection="1">
      <alignment horizontal="left"/>
    </xf>
    <xf numFmtId="0" fontId="0" fillId="21" borderId="294" xfId="0" applyFill="1" applyBorder="1"/>
    <xf numFmtId="1" fontId="6" fillId="21" borderId="299" xfId="0" applyNumberFormat="1" applyFont="1" applyFill="1" applyBorder="1" applyAlignment="1" applyProtection="1">
      <alignment horizontal="left"/>
    </xf>
    <xf numFmtId="0" fontId="0" fillId="35" borderId="294" xfId="0" applyFill="1" applyBorder="1"/>
    <xf numFmtId="0" fontId="0" fillId="21" borderId="300" xfId="0" applyFill="1" applyBorder="1"/>
    <xf numFmtId="0" fontId="0" fillId="21" borderId="227" xfId="0" applyFill="1" applyBorder="1"/>
    <xf numFmtId="1" fontId="4" fillId="21" borderId="301" xfId="0" applyNumberFormat="1" applyFont="1" applyFill="1" applyBorder="1" applyAlignment="1" applyProtection="1">
      <alignment horizontal="left"/>
    </xf>
    <xf numFmtId="0" fontId="0" fillId="21" borderId="302" xfId="0" applyFill="1" applyBorder="1"/>
    <xf numFmtId="1" fontId="6" fillId="21" borderId="303" xfId="0" applyNumberFormat="1" applyFont="1" applyFill="1" applyBorder="1" applyAlignment="1" applyProtection="1">
      <alignment horizontal="left"/>
    </xf>
    <xf numFmtId="0" fontId="6" fillId="21" borderId="304" xfId="0" applyFont="1" applyFill="1" applyBorder="1" applyAlignment="1" applyProtection="1"/>
    <xf numFmtId="3" fontId="3" fillId="8" borderId="266" xfId="0" applyNumberFormat="1" applyFont="1" applyFill="1" applyBorder="1" applyAlignment="1" applyProtection="1">
      <alignment horizontal="right"/>
    </xf>
    <xf numFmtId="3" fontId="43" fillId="21" borderId="304" xfId="0" applyNumberFormat="1" applyFont="1" applyFill="1" applyBorder="1" applyAlignment="1" applyProtection="1">
      <alignment horizontal="right"/>
    </xf>
    <xf numFmtId="3" fontId="46" fillId="21" borderId="304" xfId="0" applyNumberFormat="1" applyFont="1" applyFill="1" applyBorder="1" applyAlignment="1" applyProtection="1">
      <alignment horizontal="right"/>
    </xf>
    <xf numFmtId="0" fontId="0" fillId="35" borderId="227" xfId="0" applyFill="1" applyBorder="1"/>
    <xf numFmtId="0" fontId="4" fillId="21" borderId="230" xfId="5" applyFont="1" applyFill="1" applyBorder="1" applyAlignment="1" applyProtection="1">
      <alignment horizontal="center"/>
    </xf>
    <xf numFmtId="0" fontId="4" fillId="21" borderId="230" xfId="5" applyFont="1" applyFill="1" applyBorder="1" applyAlignment="1" applyProtection="1"/>
    <xf numFmtId="0" fontId="4" fillId="21" borderId="230" xfId="0" applyFont="1" applyFill="1" applyBorder="1" applyAlignment="1" applyProtection="1"/>
    <xf numFmtId="0" fontId="10" fillId="21" borderId="305" xfId="0" applyFont="1" applyFill="1" applyBorder="1" applyAlignment="1" applyProtection="1">
      <alignment horizontal="left"/>
    </xf>
    <xf numFmtId="9" fontId="46" fillId="21" borderId="289" xfId="0" quotePrefix="1" applyNumberFormat="1" applyFont="1" applyFill="1" applyBorder="1" applyAlignment="1" applyProtection="1">
      <alignment horizontal="right"/>
    </xf>
    <xf numFmtId="9" fontId="46" fillId="21" borderId="235" xfId="0" quotePrefix="1" applyNumberFormat="1" applyFont="1" applyFill="1" applyBorder="1" applyAlignment="1" applyProtection="1">
      <alignment horizontal="right"/>
    </xf>
    <xf numFmtId="3" fontId="46" fillId="21" borderId="249" xfId="0" applyNumberFormat="1" applyFont="1" applyFill="1" applyBorder="1" applyAlignment="1" applyProtection="1">
      <alignment horizontal="right"/>
    </xf>
    <xf numFmtId="0" fontId="0" fillId="21" borderId="306" xfId="0" applyFill="1" applyBorder="1"/>
    <xf numFmtId="9" fontId="46" fillId="21" borderId="233" xfId="0" quotePrefix="1" applyNumberFormat="1" applyFont="1" applyFill="1" applyBorder="1" applyAlignment="1" applyProtection="1">
      <alignment horizontal="right"/>
    </xf>
    <xf numFmtId="9" fontId="46" fillId="21" borderId="234" xfId="0" quotePrefix="1" applyNumberFormat="1" applyFont="1" applyFill="1" applyBorder="1" applyAlignment="1" applyProtection="1">
      <alignment horizontal="right"/>
    </xf>
    <xf numFmtId="9" fontId="46" fillId="21" borderId="246" xfId="0" quotePrefix="1" applyNumberFormat="1" applyFont="1" applyFill="1" applyBorder="1" applyAlignment="1" applyProtection="1">
      <alignment horizontal="right"/>
    </xf>
    <xf numFmtId="9" fontId="46" fillId="21" borderId="307" xfId="0" quotePrefix="1" applyNumberFormat="1" applyFont="1" applyFill="1" applyBorder="1" applyAlignment="1" applyProtection="1">
      <alignment horizontal="right"/>
    </xf>
    <xf numFmtId="0" fontId="0" fillId="35" borderId="0" xfId="0" applyFill="1" applyBorder="1"/>
    <xf numFmtId="3" fontId="4" fillId="21" borderId="293" xfId="0" applyNumberFormat="1" applyFont="1" applyFill="1" applyBorder="1" applyAlignment="1" applyProtection="1">
      <alignment wrapText="1"/>
    </xf>
    <xf numFmtId="3" fontId="4" fillId="21" borderId="294" xfId="0" applyNumberFormat="1" applyFont="1" applyFill="1" applyBorder="1" applyAlignment="1" applyProtection="1"/>
    <xf numFmtId="3" fontId="4" fillId="21" borderId="294" xfId="0" applyNumberFormat="1" applyFont="1" applyFill="1" applyBorder="1" applyAlignment="1" applyProtection="1">
      <alignment vertical="center" wrapText="1"/>
    </xf>
    <xf numFmtId="0" fontId="3" fillId="21" borderId="294" xfId="0" applyFont="1" applyFill="1" applyBorder="1" applyAlignment="1" applyProtection="1">
      <alignment wrapText="1"/>
    </xf>
    <xf numFmtId="0" fontId="10" fillId="21" borderId="295" xfId="0" applyFont="1" applyFill="1" applyBorder="1" applyAlignment="1" applyProtection="1">
      <alignment horizontal="left" wrapText="1"/>
    </xf>
    <xf numFmtId="3" fontId="4" fillId="21" borderId="296" xfId="0" applyNumberFormat="1" applyFont="1" applyFill="1" applyBorder="1" applyAlignment="1" applyProtection="1">
      <alignment horizontal="right"/>
    </xf>
    <xf numFmtId="3" fontId="42" fillId="21" borderId="302" xfId="0" applyNumberFormat="1" applyFont="1" applyFill="1" applyBorder="1" applyAlignment="1" applyProtection="1">
      <alignment horizontal="right"/>
    </xf>
    <xf numFmtId="3" fontId="4" fillId="21" borderId="294" xfId="0" applyNumberFormat="1" applyFont="1" applyFill="1" applyBorder="1" applyAlignment="1" applyProtection="1">
      <alignment horizontal="right"/>
    </xf>
    <xf numFmtId="3" fontId="42" fillId="21" borderId="308" xfId="0" applyNumberFormat="1" applyFont="1" applyFill="1" applyBorder="1" applyAlignment="1" applyProtection="1">
      <alignment horizontal="right"/>
    </xf>
    <xf numFmtId="3" fontId="4" fillId="21" borderId="309" xfId="0" applyNumberFormat="1" applyFont="1" applyFill="1" applyBorder="1" applyAlignment="1" applyProtection="1">
      <alignment horizontal="right"/>
    </xf>
    <xf numFmtId="3" fontId="42" fillId="21" borderId="292" xfId="0" applyNumberFormat="1" applyFont="1" applyFill="1" applyBorder="1" applyAlignment="1" applyProtection="1">
      <alignment horizontal="right"/>
    </xf>
    <xf numFmtId="3" fontId="118" fillId="21" borderId="302" xfId="0" applyNumberFormat="1" applyFont="1" applyFill="1" applyBorder="1" applyAlignment="1" applyProtection="1">
      <alignment horizontal="left" vertical="top"/>
    </xf>
    <xf numFmtId="3" fontId="4" fillId="21" borderId="297" xfId="0" applyNumberFormat="1" applyFont="1" applyFill="1" applyBorder="1" applyAlignment="1" applyProtection="1">
      <alignment wrapText="1"/>
    </xf>
    <xf numFmtId="3" fontId="4" fillId="21" borderId="226" xfId="0" applyNumberFormat="1" applyFont="1" applyFill="1" applyBorder="1" applyAlignment="1" applyProtection="1"/>
    <xf numFmtId="3" fontId="4" fillId="21" borderId="226" xfId="0" applyNumberFormat="1" applyFont="1" applyFill="1" applyBorder="1" applyAlignment="1" applyProtection="1">
      <alignment vertical="center" wrapText="1"/>
    </xf>
    <xf numFmtId="0" fontId="3" fillId="21" borderId="226" xfId="0" applyFont="1" applyFill="1" applyBorder="1" applyAlignment="1" applyProtection="1">
      <alignment wrapText="1"/>
    </xf>
    <xf numFmtId="0" fontId="10" fillId="21" borderId="226" xfId="0" applyFont="1" applyFill="1" applyBorder="1" applyAlignment="1" applyProtection="1">
      <alignment horizontal="left" wrapText="1"/>
    </xf>
    <xf numFmtId="3" fontId="4" fillId="21" borderId="310" xfId="0" applyNumberFormat="1" applyFont="1" applyFill="1" applyBorder="1" applyAlignment="1" applyProtection="1">
      <alignment horizontal="left"/>
    </xf>
    <xf numFmtId="0" fontId="0" fillId="21" borderId="226" xfId="0" applyFill="1" applyBorder="1"/>
    <xf numFmtId="3" fontId="42" fillId="21" borderId="306" xfId="0" applyNumberFormat="1" applyFont="1" applyFill="1" applyBorder="1" applyAlignment="1" applyProtection="1">
      <alignment horizontal="left"/>
    </xf>
    <xf numFmtId="3" fontId="4" fillId="21" borderId="226" xfId="0" applyNumberFormat="1" applyFont="1" applyFill="1" applyBorder="1" applyAlignment="1" applyProtection="1">
      <alignment horizontal="left"/>
    </xf>
    <xf numFmtId="3" fontId="42" fillId="21" borderId="311" xfId="0" applyNumberFormat="1" applyFont="1" applyFill="1" applyBorder="1" applyAlignment="1" applyProtection="1">
      <alignment horizontal="left"/>
    </xf>
    <xf numFmtId="3" fontId="4" fillId="21" borderId="248" xfId="0" applyNumberFormat="1" applyFont="1" applyFill="1" applyBorder="1" applyAlignment="1" applyProtection="1">
      <alignment horizontal="left"/>
    </xf>
    <xf numFmtId="3" fontId="42" fillId="21" borderId="244" xfId="0" applyNumberFormat="1" applyFont="1" applyFill="1" applyBorder="1" applyAlignment="1" applyProtection="1">
      <alignment horizontal="right"/>
    </xf>
    <xf numFmtId="0" fontId="119" fillId="21" borderId="306" xfId="0" applyFont="1" applyFill="1" applyBorder="1" applyAlignment="1">
      <alignment horizontal="left" vertical="top"/>
    </xf>
    <xf numFmtId="3" fontId="11" fillId="13" borderId="3" xfId="0" applyNumberFormat="1" applyFont="1" applyFill="1" applyBorder="1" applyAlignment="1" applyProtection="1">
      <alignment horizontal="right"/>
      <protection locked="0"/>
    </xf>
    <xf numFmtId="3" fontId="14" fillId="0" borderId="110" xfId="0" applyNumberFormat="1" applyFont="1" applyFill="1" applyBorder="1" applyAlignment="1" applyProtection="1">
      <alignment horizontal="right"/>
      <protection locked="0"/>
    </xf>
    <xf numFmtId="49" fontId="4" fillId="21" borderId="4" xfId="0" applyNumberFormat="1" applyFont="1" applyFill="1" applyBorder="1" applyAlignment="1" applyProtection="1">
      <alignment horizontal="center"/>
    </xf>
    <xf numFmtId="3" fontId="11" fillId="0" borderId="3" xfId="0" applyNumberFormat="1" applyFont="1" applyFill="1" applyBorder="1" applyAlignment="1" applyProtection="1">
      <alignment horizontal="right"/>
      <protection locked="0"/>
    </xf>
    <xf numFmtId="1" fontId="4" fillId="21" borderId="8" xfId="0" applyNumberFormat="1" applyFont="1" applyFill="1" applyBorder="1" applyAlignment="1" applyProtection="1">
      <alignment horizontal="center" vertical="top" wrapText="1"/>
    </xf>
    <xf numFmtId="1" fontId="4" fillId="21" borderId="5" xfId="0" applyNumberFormat="1" applyFont="1" applyFill="1" applyBorder="1" applyAlignment="1" applyProtection="1">
      <alignment horizontal="left" vertical="top" wrapText="1"/>
    </xf>
    <xf numFmtId="3" fontId="14" fillId="0" borderId="88" xfId="0" applyNumberFormat="1" applyFont="1" applyFill="1" applyBorder="1" applyAlignment="1" applyProtection="1">
      <alignment horizontal="right"/>
      <protection locked="0"/>
    </xf>
    <xf numFmtId="1" fontId="4" fillId="21" borderId="5" xfId="0" applyNumberFormat="1" applyFont="1" applyFill="1" applyBorder="1" applyAlignment="1" applyProtection="1">
      <alignment horizontal="left"/>
    </xf>
    <xf numFmtId="0" fontId="4" fillId="21" borderId="145" xfId="0" applyFont="1" applyFill="1" applyBorder="1" applyAlignment="1" applyProtection="1">
      <alignment horizontal="center"/>
    </xf>
    <xf numFmtId="1" fontId="4" fillId="21" borderId="85" xfId="0" applyNumberFormat="1" applyFont="1" applyFill="1" applyBorder="1" applyAlignment="1" applyProtection="1">
      <alignment horizontal="center" wrapText="1"/>
    </xf>
    <xf numFmtId="3" fontId="14" fillId="2" borderId="222" xfId="0" applyNumberFormat="1" applyFont="1" applyFill="1" applyBorder="1" applyAlignment="1" applyProtection="1">
      <alignment horizontal="right"/>
      <protection locked="0"/>
    </xf>
    <xf numFmtId="1" fontId="9" fillId="21" borderId="5" xfId="0" applyNumberFormat="1" applyFont="1" applyFill="1" applyBorder="1" applyAlignment="1" applyProtection="1">
      <alignment horizontal="left"/>
    </xf>
    <xf numFmtId="3" fontId="14" fillId="0" borderId="12" xfId="0" applyNumberFormat="1" applyFont="1" applyFill="1" applyBorder="1" applyAlignment="1" applyProtection="1">
      <alignment horizontal="right"/>
      <protection locked="0"/>
    </xf>
    <xf numFmtId="0" fontId="0" fillId="35" borderId="221" xfId="0" applyFill="1" applyBorder="1"/>
    <xf numFmtId="173" fontId="3" fillId="2" borderId="162" xfId="0" applyNumberFormat="1" applyFont="1" applyFill="1" applyBorder="1" applyAlignment="1" applyProtection="1">
      <alignment horizontal="right"/>
      <protection locked="0"/>
    </xf>
    <xf numFmtId="3" fontId="112" fillId="0" borderId="218" xfId="0" applyNumberFormat="1" applyFont="1" applyFill="1" applyBorder="1" applyAlignment="1" applyProtection="1">
      <alignment horizontal="right"/>
    </xf>
    <xf numFmtId="49" fontId="4" fillId="36" borderId="122" xfId="0" applyNumberFormat="1" applyFont="1" applyFill="1" applyBorder="1" applyAlignment="1" applyProtection="1">
      <alignment horizontal="center"/>
    </xf>
    <xf numFmtId="3" fontId="3" fillId="3" borderId="9" xfId="0" applyNumberFormat="1" applyFont="1" applyFill="1" applyBorder="1" applyProtection="1"/>
    <xf numFmtId="3" fontId="3" fillId="3" borderId="20" xfId="0" applyNumberFormat="1" applyFont="1" applyFill="1" applyBorder="1" applyProtection="1"/>
    <xf numFmtId="0" fontId="112" fillId="0" borderId="126" xfId="0" applyFont="1" applyFill="1" applyBorder="1" applyProtection="1"/>
    <xf numFmtId="3" fontId="3" fillId="2" borderId="7" xfId="0" applyNumberFormat="1" applyFont="1" applyFill="1" applyBorder="1" applyAlignment="1" applyProtection="1">
      <alignment horizontal="right"/>
      <protection locked="0"/>
    </xf>
    <xf numFmtId="3" fontId="3" fillId="21" borderId="6" xfId="0" applyNumberFormat="1" applyFont="1" applyFill="1" applyBorder="1" applyAlignment="1" applyProtection="1">
      <alignment horizontal="right"/>
    </xf>
    <xf numFmtId="3" fontId="3" fillId="2" borderId="4" xfId="0" applyNumberFormat="1" applyFont="1" applyFill="1" applyBorder="1" applyAlignment="1" applyProtection="1">
      <alignment horizontal="right"/>
      <protection locked="0"/>
    </xf>
    <xf numFmtId="49" fontId="4" fillId="21" borderId="6" xfId="0" applyNumberFormat="1" applyFont="1" applyFill="1" applyBorder="1" applyAlignment="1" applyProtection="1">
      <alignment horizontal="left"/>
    </xf>
    <xf numFmtId="0" fontId="77" fillId="21" borderId="108" xfId="0" applyFont="1" applyFill="1" applyBorder="1" applyAlignment="1">
      <alignment wrapText="1"/>
    </xf>
    <xf numFmtId="0" fontId="77" fillId="21" borderId="66" xfId="0" applyFont="1" applyFill="1" applyBorder="1" applyAlignment="1">
      <alignment wrapText="1"/>
    </xf>
    <xf numFmtId="0" fontId="6" fillId="21" borderId="36" xfId="0" applyFont="1" applyFill="1" applyBorder="1" applyAlignment="1" applyProtection="1">
      <alignment horizontal="center" vertical="center"/>
    </xf>
    <xf numFmtId="0" fontId="0" fillId="21" borderId="116" xfId="0" applyFill="1" applyBorder="1" applyProtection="1"/>
    <xf numFmtId="0" fontId="4" fillId="21" borderId="120" xfId="0" applyFont="1" applyFill="1" applyBorder="1" applyAlignment="1" applyProtection="1">
      <alignment wrapText="1"/>
    </xf>
    <xf numFmtId="0" fontId="0" fillId="21" borderId="76" xfId="0" applyFill="1" applyBorder="1" applyAlignment="1">
      <alignment wrapText="1"/>
    </xf>
    <xf numFmtId="0" fontId="4" fillId="21" borderId="49" xfId="0" applyFont="1" applyFill="1" applyBorder="1" applyAlignment="1" applyProtection="1">
      <alignment wrapText="1"/>
    </xf>
    <xf numFmtId="0" fontId="25" fillId="21" borderId="51" xfId="0" applyFont="1" applyFill="1" applyBorder="1" applyAlignment="1">
      <alignment wrapText="1"/>
    </xf>
    <xf numFmtId="0" fontId="2" fillId="21" borderId="116" xfId="0" applyFont="1" applyFill="1" applyBorder="1" applyAlignment="1" applyProtection="1"/>
    <xf numFmtId="3" fontId="46" fillId="22" borderId="122" xfId="0" applyNumberFormat="1" applyFont="1" applyFill="1" applyBorder="1" applyAlignment="1" applyProtection="1"/>
    <xf numFmtId="3" fontId="46" fillId="22" borderId="21" xfId="0" applyNumberFormat="1" applyFont="1" applyFill="1" applyBorder="1" applyAlignment="1" applyProtection="1"/>
    <xf numFmtId="3" fontId="46" fillId="22" borderId="59" xfId="0" applyNumberFormat="1" applyFont="1" applyFill="1" applyBorder="1" applyAlignment="1" applyProtection="1"/>
    <xf numFmtId="3" fontId="46" fillId="22" borderId="18" xfId="0" applyNumberFormat="1" applyFont="1" applyFill="1" applyBorder="1" applyAlignment="1" applyProtection="1"/>
    <xf numFmtId="0" fontId="8" fillId="0" borderId="0" xfId="0" applyFont="1" applyFill="1" applyBorder="1" applyAlignment="1" applyProtection="1">
      <alignment vertical="top" wrapText="1"/>
    </xf>
    <xf numFmtId="1" fontId="18" fillId="21" borderId="15" xfId="0" applyNumberFormat="1" applyFont="1" applyFill="1" applyBorder="1" applyAlignment="1" applyProtection="1">
      <alignment horizontal="left" vertical="top" wrapText="1"/>
    </xf>
    <xf numFmtId="0" fontId="52" fillId="21" borderId="41" xfId="0" applyFont="1" applyFill="1" applyBorder="1" applyAlignment="1">
      <alignment horizontal="left" vertical="top" wrapText="1"/>
    </xf>
    <xf numFmtId="0" fontId="6" fillId="21" borderId="116" xfId="0" applyFont="1" applyFill="1" applyBorder="1" applyAlignment="1" applyProtection="1"/>
    <xf numFmtId="3" fontId="6" fillId="21" borderId="36" xfId="0" applyNumberFormat="1" applyFont="1" applyFill="1" applyBorder="1" applyAlignment="1" applyProtection="1">
      <alignment horizontal="center" vertical="center"/>
    </xf>
    <xf numFmtId="0" fontId="8" fillId="21" borderId="116" xfId="0" applyFont="1" applyFill="1" applyBorder="1" applyAlignment="1" applyProtection="1"/>
    <xf numFmtId="1" fontId="6" fillId="0" borderId="0" xfId="0" applyNumberFormat="1" applyFont="1" applyFill="1" applyBorder="1" applyAlignment="1" applyProtection="1">
      <alignment horizontal="left" wrapText="1"/>
    </xf>
    <xf numFmtId="0" fontId="0" fillId="0" borderId="0" xfId="0" applyFill="1" applyBorder="1" applyAlignment="1">
      <alignment horizontal="left" wrapText="1"/>
    </xf>
    <xf numFmtId="1" fontId="4" fillId="0" borderId="0" xfId="0" applyNumberFormat="1" applyFont="1" applyFill="1" applyBorder="1" applyAlignment="1" applyProtection="1">
      <alignment horizontal="center" wrapText="1"/>
    </xf>
    <xf numFmtId="1" fontId="3" fillId="21" borderId="15" xfId="0" applyNumberFormat="1" applyFont="1" applyFill="1" applyBorder="1" applyAlignment="1" applyProtection="1">
      <alignment horizontal="left" wrapText="1"/>
    </xf>
    <xf numFmtId="0" fontId="10" fillId="21" borderId="15" xfId="0" applyFont="1" applyFill="1" applyBorder="1" applyAlignment="1">
      <alignment wrapText="1"/>
    </xf>
    <xf numFmtId="0" fontId="8" fillId="0" borderId="0" xfId="0" applyFont="1" applyFill="1" applyBorder="1" applyAlignment="1">
      <alignment wrapText="1"/>
    </xf>
    <xf numFmtId="0" fontId="114" fillId="0" borderId="0" xfId="0" applyFont="1" applyFill="1" applyAlignment="1" applyProtection="1">
      <alignment vertical="top" wrapText="1"/>
    </xf>
    <xf numFmtId="0" fontId="114" fillId="0" borderId="0" xfId="0" applyFont="1" applyFill="1" applyBorder="1" applyAlignment="1">
      <alignment wrapText="1"/>
    </xf>
    <xf numFmtId="0" fontId="114" fillId="0" borderId="0" xfId="0" applyFont="1" applyFill="1" applyAlignment="1">
      <alignment vertical="top" wrapText="1"/>
    </xf>
    <xf numFmtId="0" fontId="135" fillId="0" borderId="0" xfId="0" applyFont="1" applyFill="1" applyBorder="1" applyAlignment="1">
      <alignment horizontal="left" wrapText="1"/>
    </xf>
    <xf numFmtId="0" fontId="135" fillId="0" borderId="56" xfId="0" applyFont="1" applyBorder="1" applyAlignment="1">
      <alignment horizontal="left" wrapText="1"/>
    </xf>
    <xf numFmtId="0" fontId="135" fillId="0" borderId="0" xfId="0" applyFont="1" applyAlignment="1">
      <alignment horizontal="left" wrapText="1"/>
    </xf>
    <xf numFmtId="0" fontId="135" fillId="0" borderId="0" xfId="0" applyFont="1" applyBorder="1" applyAlignment="1">
      <alignment horizontal="left" wrapText="1"/>
    </xf>
    <xf numFmtId="0" fontId="4" fillId="21" borderId="113" xfId="0" applyFont="1" applyFill="1" applyBorder="1" applyAlignment="1" applyProtection="1">
      <alignment horizontal="left" vertical="top" wrapText="1"/>
    </xf>
    <xf numFmtId="0" fontId="0" fillId="0" borderId="41" xfId="0" applyBorder="1"/>
    <xf numFmtId="49" fontId="21" fillId="0" borderId="0" xfId="0" applyNumberFormat="1" applyFont="1" applyFill="1" applyBorder="1" applyAlignment="1" applyProtection="1">
      <alignment horizontal="left" wrapText="1"/>
    </xf>
    <xf numFmtId="0" fontId="56" fillId="0" borderId="0" xfId="0" applyFont="1" applyAlignment="1">
      <alignment horizontal="left" wrapText="1"/>
    </xf>
    <xf numFmtId="0" fontId="0" fillId="0" borderId="0" xfId="0" applyAlignment="1"/>
    <xf numFmtId="0" fontId="56" fillId="0" borderId="0" xfId="0" applyFont="1" applyAlignment="1" applyProtection="1">
      <alignment horizontal="left" wrapText="1"/>
    </xf>
    <xf numFmtId="0" fontId="0" fillId="0" borderId="0" xfId="0" applyAlignment="1" applyProtection="1">
      <alignment wrapText="1"/>
    </xf>
    <xf numFmtId="0" fontId="138" fillId="37" borderId="0" xfId="0" applyNumberFormat="1" applyFont="1" applyFill="1" applyBorder="1" applyAlignment="1" applyProtection="1">
      <alignment vertical="center" wrapText="1"/>
    </xf>
    <xf numFmtId="0" fontId="0" fillId="0" borderId="0" xfId="0" applyFill="1" applyAlignment="1">
      <alignment vertical="center" wrapText="1"/>
    </xf>
    <xf numFmtId="3" fontId="4" fillId="0" borderId="57" xfId="0" applyNumberFormat="1" applyFont="1" applyFill="1" applyBorder="1" applyAlignment="1" applyProtection="1"/>
    <xf numFmtId="0" fontId="8" fillId="0" borderId="56" xfId="0" applyFont="1" applyFill="1" applyBorder="1" applyAlignment="1"/>
    <xf numFmtId="0" fontId="3" fillId="21" borderId="186" xfId="0" applyFont="1" applyFill="1" applyBorder="1" applyAlignment="1" applyProtection="1">
      <alignment horizontal="center" vertical="top"/>
    </xf>
    <xf numFmtId="0" fontId="10" fillId="21" borderId="47" xfId="0" applyFont="1" applyFill="1" applyBorder="1" applyAlignment="1" applyProtection="1">
      <alignment horizontal="center" vertical="top"/>
    </xf>
    <xf numFmtId="0" fontId="10" fillId="21" borderId="40" xfId="0" applyFont="1" applyFill="1" applyBorder="1" applyAlignment="1" applyProtection="1">
      <alignment horizontal="center" vertical="top"/>
    </xf>
    <xf numFmtId="0" fontId="6" fillId="21" borderId="192" xfId="0" applyFont="1" applyFill="1" applyBorder="1" applyAlignment="1" applyProtection="1">
      <alignment horizontal="center" vertical="center" wrapText="1"/>
    </xf>
    <xf numFmtId="0" fontId="6" fillId="21" borderId="158" xfId="0" applyFont="1" applyFill="1" applyBorder="1" applyAlignment="1" applyProtection="1">
      <alignment horizontal="center" vertical="center" wrapText="1"/>
    </xf>
    <xf numFmtId="0" fontId="6" fillId="21" borderId="214" xfId="0" applyFont="1" applyFill="1" applyBorder="1" applyAlignment="1" applyProtection="1">
      <alignment horizontal="center" vertical="center" wrapText="1"/>
    </xf>
    <xf numFmtId="3" fontId="4" fillId="36" borderId="72" xfId="0" applyNumberFormat="1" applyFont="1" applyFill="1" applyBorder="1" applyAlignment="1" applyProtection="1">
      <alignment horizontal="left" wrapText="1"/>
    </xf>
    <xf numFmtId="0" fontId="25" fillId="36" borderId="73" xfId="0" applyFont="1" applyFill="1" applyBorder="1" applyAlignment="1" applyProtection="1">
      <alignment horizontal="left" wrapText="1"/>
    </xf>
    <xf numFmtId="0" fontId="25" fillId="36" borderId="88" xfId="0" applyFont="1" applyFill="1" applyBorder="1" applyAlignment="1" applyProtection="1">
      <alignment horizontal="left" wrapText="1"/>
    </xf>
    <xf numFmtId="3" fontId="4" fillId="36" borderId="72" xfId="0" applyNumberFormat="1" applyFont="1" applyFill="1" applyBorder="1" applyAlignment="1" applyProtection="1">
      <alignment horizontal="left" vertical="top" wrapText="1"/>
    </xf>
    <xf numFmtId="0" fontId="25" fillId="36" borderId="73" xfId="0" applyFont="1" applyFill="1" applyBorder="1" applyAlignment="1" applyProtection="1">
      <alignment horizontal="left" vertical="top" wrapText="1"/>
    </xf>
    <xf numFmtId="0" fontId="25" fillId="36" borderId="88" xfId="0" applyFont="1" applyFill="1" applyBorder="1" applyAlignment="1" applyProtection="1">
      <alignment horizontal="left" vertical="top" wrapText="1"/>
    </xf>
    <xf numFmtId="3" fontId="4" fillId="21" borderId="72" xfId="0" applyNumberFormat="1" applyFont="1" applyFill="1" applyBorder="1" applyAlignment="1" applyProtection="1">
      <alignment vertical="center" wrapText="1"/>
    </xf>
    <xf numFmtId="0" fontId="0" fillId="21" borderId="73" xfId="0" applyFill="1" applyBorder="1" applyAlignment="1" applyProtection="1">
      <alignment vertical="center"/>
    </xf>
    <xf numFmtId="0" fontId="0" fillId="21" borderId="88" xfId="0" applyFill="1" applyBorder="1" applyAlignment="1" applyProtection="1">
      <alignment vertical="center"/>
    </xf>
    <xf numFmtId="3" fontId="4" fillId="21" borderId="152" xfId="0" applyNumberFormat="1" applyFont="1" applyFill="1" applyBorder="1" applyAlignment="1" applyProtection="1">
      <alignment horizontal="left" vertical="top" wrapText="1"/>
    </xf>
    <xf numFmtId="0" fontId="0" fillId="0" borderId="152" xfId="0" applyBorder="1" applyAlignment="1">
      <alignment horizontal="left" wrapText="1"/>
    </xf>
    <xf numFmtId="3" fontId="11" fillId="0" borderId="193" xfId="0" applyNumberFormat="1" applyFont="1" applyFill="1" applyBorder="1" applyAlignment="1" applyProtection="1">
      <alignment horizontal="left" vertical="top" wrapText="1"/>
      <protection locked="0"/>
    </xf>
    <xf numFmtId="0" fontId="3" fillId="0" borderId="215" xfId="0" applyFont="1" applyFill="1" applyBorder="1" applyAlignment="1" applyProtection="1">
      <alignment horizontal="left" vertical="top" wrapText="1"/>
      <protection locked="0"/>
    </xf>
    <xf numFmtId="0" fontId="3" fillId="0" borderId="241" xfId="0" applyFont="1" applyFill="1" applyBorder="1" applyAlignment="1" applyProtection="1">
      <alignment horizontal="left" vertical="top" wrapText="1"/>
      <protection locked="0"/>
    </xf>
    <xf numFmtId="0" fontId="3" fillId="0" borderId="193" xfId="0" applyFont="1" applyFill="1" applyBorder="1" applyAlignment="1" applyProtection="1">
      <alignment horizontal="left" vertical="top" wrapText="1"/>
      <protection locked="0"/>
    </xf>
    <xf numFmtId="3" fontId="4" fillId="21" borderId="197" xfId="0" applyNumberFormat="1" applyFont="1" applyFill="1" applyBorder="1" applyAlignment="1" applyProtection="1">
      <alignment vertical="center" wrapText="1"/>
    </xf>
    <xf numFmtId="3" fontId="4" fillId="21" borderId="188" xfId="0" applyNumberFormat="1" applyFont="1" applyFill="1" applyBorder="1" applyAlignment="1" applyProtection="1">
      <alignment vertical="center" wrapText="1"/>
    </xf>
    <xf numFmtId="0" fontId="4" fillId="21" borderId="12" xfId="0" applyFont="1" applyFill="1" applyBorder="1" applyAlignment="1" applyProtection="1">
      <alignment horizontal="left" vertical="top" wrapText="1"/>
    </xf>
    <xf numFmtId="0" fontId="0" fillId="0" borderId="88" xfId="0" applyBorder="1" applyAlignment="1"/>
    <xf numFmtId="3" fontId="4" fillId="21" borderId="72" xfId="0" applyNumberFormat="1" applyFont="1" applyFill="1" applyBorder="1" applyAlignment="1" applyProtection="1">
      <alignment wrapText="1"/>
    </xf>
    <xf numFmtId="0" fontId="0" fillId="21" borderId="73" xfId="0" applyFill="1" applyBorder="1" applyAlignment="1">
      <alignment wrapText="1"/>
    </xf>
    <xf numFmtId="0" fontId="0" fillId="21" borderId="88" xfId="0" applyFill="1" applyBorder="1" applyAlignment="1">
      <alignment wrapText="1"/>
    </xf>
    <xf numFmtId="3" fontId="4" fillId="21" borderId="154" xfId="5" applyNumberFormat="1" applyFont="1" applyFill="1" applyBorder="1" applyAlignment="1" applyProtection="1">
      <alignment horizontal="left" vertical="top" wrapText="1"/>
    </xf>
    <xf numFmtId="0" fontId="25" fillId="21" borderId="154" xfId="5" applyFill="1" applyBorder="1" applyAlignment="1">
      <alignment horizontal="left" wrapText="1"/>
    </xf>
    <xf numFmtId="3" fontId="4" fillId="21" borderId="219" xfId="0" applyNumberFormat="1" applyFont="1" applyFill="1" applyBorder="1" applyAlignment="1" applyProtection="1">
      <alignment horizontal="left" vertical="top" wrapText="1"/>
    </xf>
    <xf numFmtId="0" fontId="0" fillId="0" borderId="43" xfId="0" applyBorder="1" applyAlignment="1">
      <alignment horizontal="left" wrapText="1"/>
    </xf>
    <xf numFmtId="3" fontId="4" fillId="21" borderId="253" xfId="0" applyNumberFormat="1" applyFont="1" applyFill="1" applyBorder="1" applyAlignment="1" applyProtection="1">
      <alignment horizontal="left" vertical="top" wrapText="1"/>
    </xf>
    <xf numFmtId="0" fontId="0" fillId="0" borderId="254" xfId="0" applyBorder="1" applyAlignment="1">
      <alignment horizontal="left" wrapText="1"/>
    </xf>
    <xf numFmtId="0" fontId="3" fillId="21" borderId="48" xfId="0" applyFont="1" applyFill="1" applyBorder="1" applyAlignment="1" applyProtection="1">
      <alignment horizontal="center" vertical="top"/>
    </xf>
    <xf numFmtId="0" fontId="3" fillId="21" borderId="159" xfId="0" applyFont="1" applyFill="1" applyBorder="1" applyAlignment="1" applyProtection="1">
      <alignment horizontal="center" vertical="top"/>
    </xf>
    <xf numFmtId="3" fontId="3" fillId="21" borderId="48" xfId="0" applyNumberFormat="1" applyFont="1" applyFill="1" applyBorder="1" applyAlignment="1" applyProtection="1">
      <alignment horizontal="center" vertical="top"/>
    </xf>
    <xf numFmtId="3" fontId="3" fillId="21" borderId="47" xfId="0" applyNumberFormat="1" applyFont="1" applyFill="1" applyBorder="1" applyAlignment="1" applyProtection="1">
      <alignment horizontal="center" vertical="top"/>
    </xf>
    <xf numFmtId="3" fontId="3" fillId="21" borderId="159" xfId="0" applyNumberFormat="1" applyFont="1" applyFill="1" applyBorder="1" applyAlignment="1" applyProtection="1">
      <alignment horizontal="center" vertical="top"/>
    </xf>
    <xf numFmtId="0" fontId="3" fillId="21" borderId="47" xfId="0" applyFont="1" applyFill="1" applyBorder="1" applyAlignment="1" applyProtection="1">
      <alignment horizontal="center" vertical="top"/>
    </xf>
    <xf numFmtId="3" fontId="3" fillId="21" borderId="48" xfId="0" applyNumberFormat="1" applyFont="1" applyFill="1" applyBorder="1" applyAlignment="1" applyProtection="1">
      <alignment horizontal="left" vertical="top" wrapText="1"/>
    </xf>
    <xf numFmtId="0" fontId="10" fillId="21" borderId="40" xfId="0" applyFont="1" applyFill="1" applyBorder="1" applyAlignment="1" applyProtection="1">
      <alignment vertical="top" wrapText="1"/>
    </xf>
    <xf numFmtId="0" fontId="4" fillId="2" borderId="192" xfId="0" applyFont="1" applyFill="1" applyBorder="1" applyAlignment="1" applyProtection="1">
      <alignment horizontal="right"/>
    </xf>
    <xf numFmtId="0" fontId="0" fillId="0" borderId="158" xfId="0" applyBorder="1" applyAlignment="1">
      <alignment horizontal="right"/>
    </xf>
    <xf numFmtId="0" fontId="0" fillId="0" borderId="98" xfId="0" applyBorder="1" applyAlignment="1">
      <alignment horizontal="right"/>
    </xf>
    <xf numFmtId="0" fontId="4" fillId="21" borderId="0" xfId="0" applyFont="1" applyFill="1" applyBorder="1" applyAlignment="1" applyProtection="1">
      <alignment wrapText="1"/>
    </xf>
    <xf numFmtId="0" fontId="25" fillId="21" borderId="0" xfId="0" applyFont="1" applyFill="1" applyAlignment="1">
      <alignment wrapText="1"/>
    </xf>
    <xf numFmtId="0" fontId="128" fillId="21" borderId="27" xfId="0" applyFont="1" applyFill="1" applyBorder="1" applyAlignment="1" applyProtection="1">
      <alignment wrapText="1"/>
    </xf>
    <xf numFmtId="0" fontId="0" fillId="21" borderId="27" xfId="0" applyFill="1" applyBorder="1" applyAlignment="1">
      <alignment wrapText="1"/>
    </xf>
    <xf numFmtId="0" fontId="4" fillId="21" borderId="27" xfId="0" applyFont="1" applyFill="1" applyBorder="1" applyAlignment="1" applyProtection="1">
      <alignment wrapText="1"/>
    </xf>
    <xf numFmtId="0" fontId="4" fillId="21" borderId="27" xfId="0" applyFont="1" applyFill="1" applyBorder="1" applyAlignment="1" applyProtection="1">
      <alignment horizontal="left" vertical="top" wrapText="1"/>
    </xf>
    <xf numFmtId="0" fontId="0" fillId="21" borderId="27" xfId="0" applyFill="1" applyBorder="1" applyAlignment="1">
      <alignment horizontal="left" vertical="top" wrapText="1"/>
    </xf>
    <xf numFmtId="0" fontId="0" fillId="21" borderId="0" xfId="0" applyFill="1" applyAlignment="1">
      <alignment wrapText="1"/>
    </xf>
    <xf numFmtId="0" fontId="128" fillId="21" borderId="0" xfId="0" applyFont="1" applyFill="1" applyBorder="1" applyAlignment="1" applyProtection="1">
      <alignment wrapText="1"/>
    </xf>
    <xf numFmtId="0" fontId="0" fillId="21" borderId="38" xfId="0" applyFill="1" applyBorder="1" applyAlignment="1">
      <alignment wrapText="1"/>
    </xf>
    <xf numFmtId="0" fontId="57" fillId="0" borderId="0" xfId="0" applyFont="1" applyFill="1" applyBorder="1" applyAlignment="1" applyProtection="1">
      <alignment horizontal="left" wrapText="1"/>
    </xf>
    <xf numFmtId="0" fontId="6" fillId="21" borderId="287" xfId="0" applyFont="1" applyFill="1" applyBorder="1" applyAlignment="1" applyProtection="1">
      <alignment vertical="top" wrapText="1"/>
    </xf>
    <xf numFmtId="0" fontId="52" fillId="21" borderId="285" xfId="0" applyFont="1" applyFill="1" applyBorder="1" applyAlignment="1" applyProtection="1">
      <alignment vertical="top" wrapText="1"/>
    </xf>
    <xf numFmtId="0" fontId="6" fillId="21" borderId="274" xfId="0" applyFont="1" applyFill="1" applyBorder="1" applyAlignment="1" applyProtection="1">
      <alignment vertical="top" wrapText="1"/>
    </xf>
    <xf numFmtId="0" fontId="6" fillId="21" borderId="275" xfId="0" applyFont="1" applyFill="1" applyBorder="1" applyAlignment="1" applyProtection="1">
      <alignment vertical="top" wrapText="1"/>
    </xf>
    <xf numFmtId="0" fontId="6" fillId="21" borderId="276" xfId="0" applyFont="1" applyFill="1" applyBorder="1" applyAlignment="1" applyProtection="1">
      <alignment vertical="top" wrapText="1"/>
    </xf>
    <xf numFmtId="0" fontId="4" fillId="21" borderId="15" xfId="0" applyFont="1" applyFill="1" applyBorder="1" applyAlignment="1" applyProtection="1">
      <alignment vertical="top" wrapText="1"/>
    </xf>
    <xf numFmtId="0" fontId="0" fillId="21" borderId="15" xfId="0" applyFill="1" applyBorder="1" applyAlignment="1" applyProtection="1">
      <alignment vertical="top" wrapText="1"/>
    </xf>
    <xf numFmtId="0" fontId="0" fillId="21" borderId="41" xfId="0" applyFill="1" applyBorder="1" applyAlignment="1" applyProtection="1">
      <alignment vertical="top" wrapText="1"/>
    </xf>
    <xf numFmtId="0" fontId="4" fillId="21" borderId="59" xfId="0" applyFont="1" applyFill="1" applyBorder="1" applyAlignment="1" applyProtection="1">
      <alignment vertical="top" wrapText="1"/>
    </xf>
    <xf numFmtId="0" fontId="0" fillId="21" borderId="59" xfId="0" applyFill="1" applyBorder="1" applyAlignment="1" applyProtection="1">
      <alignment vertical="top" wrapText="1"/>
    </xf>
    <xf numFmtId="0" fontId="0" fillId="21" borderId="86" xfId="0" applyFill="1" applyBorder="1" applyAlignment="1" applyProtection="1">
      <alignment vertical="top" wrapText="1"/>
    </xf>
    <xf numFmtId="0" fontId="6" fillId="21" borderId="184" xfId="0" applyFont="1" applyFill="1" applyBorder="1" applyAlignment="1" applyProtection="1">
      <alignment horizontal="left" vertical="top" wrapText="1"/>
    </xf>
    <xf numFmtId="0" fontId="0" fillId="21" borderId="119" xfId="0" applyFill="1" applyBorder="1" applyAlignment="1">
      <alignment vertical="top"/>
    </xf>
    <xf numFmtId="0" fontId="0" fillId="21" borderId="107" xfId="0" applyFill="1" applyBorder="1" applyAlignment="1">
      <alignment vertical="top"/>
    </xf>
    <xf numFmtId="0" fontId="0" fillId="21" borderId="1" xfId="0" applyFill="1" applyBorder="1" applyAlignment="1">
      <alignment vertical="top"/>
    </xf>
    <xf numFmtId="0" fontId="0" fillId="21" borderId="221" xfId="0" applyFill="1" applyBorder="1" applyAlignment="1">
      <alignment vertical="top"/>
    </xf>
    <xf numFmtId="0" fontId="4" fillId="21" borderId="229" xfId="5" applyFont="1" applyFill="1" applyBorder="1" applyAlignment="1" applyProtection="1">
      <alignment wrapText="1"/>
    </xf>
    <xf numFmtId="0" fontId="0" fillId="0" borderId="230" xfId="0" applyBorder="1" applyAlignment="1">
      <alignment wrapText="1"/>
    </xf>
    <xf numFmtId="3" fontId="4" fillId="21" borderId="294" xfId="5" applyNumberFormat="1" applyFont="1" applyFill="1" applyBorder="1" applyAlignment="1" applyProtection="1">
      <alignment vertical="top" wrapText="1"/>
    </xf>
    <xf numFmtId="0" fontId="25" fillId="21" borderId="226" xfId="5" applyFill="1" applyBorder="1" applyAlignment="1" applyProtection="1"/>
    <xf numFmtId="0" fontId="25" fillId="21" borderId="294" xfId="5" applyFill="1" applyBorder="1" applyAlignment="1" applyProtection="1"/>
    <xf numFmtId="0" fontId="133" fillId="21" borderId="226" xfId="0" applyFont="1" applyFill="1" applyBorder="1" applyAlignment="1">
      <alignment wrapText="1"/>
    </xf>
    <xf numFmtId="0" fontId="134" fillId="0" borderId="226" xfId="0" applyFont="1" applyBorder="1" applyAlignment="1">
      <alignment wrapText="1"/>
    </xf>
    <xf numFmtId="0" fontId="132" fillId="21" borderId="249" xfId="0" applyFont="1" applyFill="1" applyBorder="1" applyAlignment="1">
      <alignment horizontal="left" vertical="top" wrapText="1"/>
    </xf>
    <xf numFmtId="0" fontId="0" fillId="21" borderId="226" xfId="0" applyFill="1" applyBorder="1" applyAlignment="1">
      <alignment horizontal="left" vertical="top" wrapText="1"/>
    </xf>
    <xf numFmtId="0" fontId="0" fillId="21" borderId="58" xfId="0" applyFill="1" applyBorder="1" applyAlignment="1">
      <alignment horizontal="left" vertical="top" wrapText="1"/>
    </xf>
    <xf numFmtId="0" fontId="4" fillId="21" borderId="226" xfId="0" applyFont="1" applyFill="1" applyBorder="1" applyAlignment="1">
      <alignment horizontal="center" vertical="top" wrapText="1"/>
    </xf>
    <xf numFmtId="0" fontId="52" fillId="21" borderId="36" xfId="5" applyFont="1" applyFill="1" applyBorder="1" applyAlignment="1" applyProtection="1">
      <alignment vertical="center" wrapText="1"/>
    </xf>
    <xf numFmtId="0" fontId="0" fillId="0" borderId="92" xfId="0" applyBorder="1" applyAlignment="1">
      <alignment wrapText="1"/>
    </xf>
    <xf numFmtId="0" fontId="0" fillId="0" borderId="57" xfId="0" applyBorder="1" applyAlignment="1">
      <alignment wrapText="1"/>
    </xf>
    <xf numFmtId="0" fontId="0" fillId="0" borderId="43" xfId="0" applyBorder="1" applyAlignment="1">
      <alignment wrapText="1"/>
    </xf>
    <xf numFmtId="0" fontId="4" fillId="21" borderId="113" xfId="5" applyFont="1" applyFill="1" applyBorder="1" applyAlignment="1" applyProtection="1">
      <alignment vertical="top" wrapText="1"/>
    </xf>
    <xf numFmtId="0" fontId="0" fillId="0" borderId="2" xfId="0" applyBorder="1" applyAlignment="1">
      <alignment vertical="top" wrapText="1"/>
    </xf>
    <xf numFmtId="3" fontId="4" fillId="21" borderId="16" xfId="5" applyNumberFormat="1" applyFont="1" applyFill="1" applyBorder="1" applyAlignment="1" applyProtection="1">
      <alignment vertical="top" wrapText="1"/>
    </xf>
    <xf numFmtId="0" fontId="0" fillId="21" borderId="16" xfId="0" applyFill="1" applyBorder="1" applyAlignment="1">
      <alignment wrapText="1"/>
    </xf>
    <xf numFmtId="3" fontId="4" fillId="36" borderId="15" xfId="5" applyNumberFormat="1" applyFont="1" applyFill="1" applyBorder="1" applyAlignment="1" applyProtection="1">
      <alignment vertical="top" wrapText="1"/>
    </xf>
    <xf numFmtId="0" fontId="0" fillId="36" borderId="15" xfId="0" applyFill="1" applyBorder="1" applyAlignment="1">
      <alignment vertical="top" wrapText="1"/>
    </xf>
    <xf numFmtId="3" fontId="4" fillId="21" borderId="15" xfId="5" applyNumberFormat="1" applyFont="1" applyFill="1" applyBorder="1" applyAlignment="1" applyProtection="1">
      <alignment vertical="top" wrapText="1"/>
    </xf>
    <xf numFmtId="0" fontId="0" fillId="21" borderId="15" xfId="0" applyFill="1" applyBorder="1" applyAlignment="1">
      <alignment wrapText="1"/>
    </xf>
    <xf numFmtId="0" fontId="4" fillId="21" borderId="15" xfId="5" applyFont="1" applyFill="1" applyBorder="1" applyAlignment="1" applyProtection="1">
      <alignment vertical="top" wrapText="1"/>
    </xf>
    <xf numFmtId="0" fontId="0" fillId="21" borderId="15" xfId="0" applyFill="1" applyBorder="1" applyAlignment="1">
      <alignment vertical="top" wrapText="1"/>
    </xf>
    <xf numFmtId="0" fontId="0" fillId="21" borderId="41" xfId="0" applyFill="1" applyBorder="1" applyAlignment="1">
      <alignment vertical="top" wrapText="1"/>
    </xf>
    <xf numFmtId="3" fontId="4" fillId="21" borderId="153" xfId="5" applyNumberFormat="1" applyFont="1" applyFill="1" applyBorder="1" applyAlignment="1" applyProtection="1">
      <alignment vertical="center" wrapText="1"/>
    </xf>
    <xf numFmtId="0" fontId="0" fillId="21" borderId="153" xfId="0" applyFill="1" applyBorder="1" applyAlignment="1">
      <alignment vertical="center" wrapText="1"/>
    </xf>
    <xf numFmtId="3" fontId="4" fillId="21" borderId="162" xfId="5" applyNumberFormat="1" applyFont="1" applyFill="1" applyBorder="1" applyAlignment="1" applyProtection="1">
      <alignment wrapText="1"/>
    </xf>
    <xf numFmtId="0" fontId="0" fillId="21" borderId="3" xfId="0" applyFill="1" applyBorder="1" applyAlignment="1">
      <alignment wrapText="1"/>
    </xf>
    <xf numFmtId="0" fontId="0" fillId="21" borderId="153" xfId="0" applyFill="1" applyBorder="1" applyAlignment="1">
      <alignment vertical="center"/>
    </xf>
    <xf numFmtId="3" fontId="4" fillId="21" borderId="153" xfId="5" applyNumberFormat="1" applyFont="1" applyFill="1" applyBorder="1" applyAlignment="1" applyProtection="1">
      <alignment vertical="top" wrapText="1"/>
    </xf>
    <xf numFmtId="0" fontId="25" fillId="21" borderId="153" xfId="0" applyFont="1" applyFill="1" applyBorder="1" applyAlignment="1">
      <alignment vertical="top" wrapText="1"/>
    </xf>
    <xf numFmtId="0" fontId="4" fillId="21" borderId="229" xfId="0" applyFont="1" applyFill="1" applyBorder="1" applyAlignment="1" applyProtection="1">
      <alignment vertical="top" wrapText="1"/>
    </xf>
    <xf numFmtId="0" fontId="0" fillId="0" borderId="230" xfId="0" applyBorder="1" applyAlignment="1">
      <alignment vertical="top" wrapText="1"/>
    </xf>
    <xf numFmtId="3" fontId="4" fillId="21" borderId="153" xfId="0" applyNumberFormat="1" applyFont="1" applyFill="1" applyBorder="1" applyAlignment="1" applyProtection="1">
      <alignment vertical="top" wrapText="1"/>
    </xf>
    <xf numFmtId="0" fontId="25" fillId="21" borderId="170" xfId="0" applyFont="1" applyFill="1" applyBorder="1" applyAlignment="1">
      <alignment vertical="top" wrapText="1"/>
    </xf>
    <xf numFmtId="3" fontId="4" fillId="21" borderId="153" xfId="0" applyNumberFormat="1" applyFont="1" applyFill="1" applyBorder="1" applyAlignment="1" applyProtection="1">
      <alignment wrapText="1"/>
    </xf>
    <xf numFmtId="0" fontId="0" fillId="21" borderId="153" xfId="0" applyFill="1" applyBorder="1" applyAlignment="1">
      <alignment wrapText="1"/>
    </xf>
    <xf numFmtId="0" fontId="4" fillId="21" borderId="153" xfId="0" applyFont="1" applyFill="1" applyBorder="1" applyAlignment="1" applyProtection="1">
      <alignment vertical="top" wrapText="1"/>
    </xf>
    <xf numFmtId="0" fontId="0" fillId="0" borderId="153" xfId="0" applyBorder="1" applyAlignment="1">
      <alignment vertical="top" wrapText="1"/>
    </xf>
    <xf numFmtId="3" fontId="4" fillId="21" borderId="104" xfId="0" applyNumberFormat="1" applyFont="1" applyFill="1" applyBorder="1" applyAlignment="1" applyProtection="1">
      <alignment vertical="top" wrapText="1"/>
    </xf>
  </cellXfs>
  <cellStyles count="23">
    <cellStyle name="Anteckning 2" xfId="1" xr:uid="{00000000-0005-0000-0000-000000000000}"/>
    <cellStyle name="Anteckning 2 2" xfId="2" xr:uid="{00000000-0005-0000-0000-000001000000}"/>
    <cellStyle name="Anteckning 2 2 2" xfId="18" xr:uid="{980DEC4E-8892-4E84-B793-0FB55E05772C}"/>
    <cellStyle name="Anteckning 2 3" xfId="17" xr:uid="{B3A94F0D-7E7F-46CA-A7D6-2DF259A641AE}"/>
    <cellStyle name="Dålig 2" xfId="3" xr:uid="{00000000-0005-0000-0000-000002000000}"/>
    <cellStyle name="Följde hyperlänken" xfId="4" xr:uid="{00000000-0005-0000-0000-000003000000}"/>
    <cellStyle name="Normal" xfId="0" builtinId="0"/>
    <cellStyle name="Normal 2" xfId="5" xr:uid="{00000000-0005-0000-0000-000006000000}"/>
    <cellStyle name="Normal 3" xfId="6" xr:uid="{00000000-0005-0000-0000-000007000000}"/>
    <cellStyle name="Normal 4" xfId="7" xr:uid="{00000000-0005-0000-0000-000008000000}"/>
    <cellStyle name="Normal 4 2" xfId="8" xr:uid="{00000000-0005-0000-0000-000009000000}"/>
    <cellStyle name="Normal 4 2 2" xfId="20" xr:uid="{9427D73E-2370-485D-BAFD-63EEDD79EE4A}"/>
    <cellStyle name="Normal 4 3" xfId="19" xr:uid="{7ACACD36-7FAF-497B-9F24-69FAECF3BC09}"/>
    <cellStyle name="Normal 5" xfId="22" xr:uid="{692164B7-F736-4A83-BCE1-3E1D987D8461}"/>
    <cellStyle name="Normal_Kontrollblad" xfId="9" xr:uid="{00000000-0005-0000-0000-00000A000000}"/>
    <cellStyle name="Normal_skolkostn" xfId="10" xr:uid="{00000000-0005-0000-0000-00000C000000}"/>
    <cellStyle name="Normal_skolkostn 2" xfId="11" xr:uid="{00000000-0005-0000-0000-00000D000000}"/>
    <cellStyle name="Procent" xfId="12" builtinId="5"/>
    <cellStyle name="Procent 2" xfId="13" xr:uid="{00000000-0005-0000-0000-00000F000000}"/>
    <cellStyle name="Tusental" xfId="16" builtinId="3"/>
    <cellStyle name="Tusental (0)_Kommunägda företag" xfId="14" xr:uid="{00000000-0005-0000-0000-000010000000}"/>
    <cellStyle name="Tusental 2" xfId="21" xr:uid="{25C499EC-3936-410A-9950-5D73A1A36248}"/>
    <cellStyle name="Valuta (0)_Kommunägda företag" xfId="15" xr:uid="{00000000-0005-0000-0000-000011000000}"/>
  </cellStyles>
  <dxfs count="152">
    <dxf>
      <fill>
        <patternFill>
          <bgColor indexed="10"/>
        </patternFill>
      </fill>
    </dxf>
    <dxf>
      <fill>
        <patternFill>
          <bgColor rgb="FFFF0000"/>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59996337778862885"/>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ill>
        <patternFill>
          <bgColor theme="9" tint="0.59996337778862885"/>
        </patternFill>
      </fill>
    </dxf>
    <dxf>
      <fill>
        <patternFill>
          <bgColor theme="9" tint="0.59996337778862885"/>
        </patternFill>
      </fill>
    </dxf>
    <dxf>
      <font>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ndense val="0"/>
        <extend val="0"/>
        <color auto="1"/>
      </font>
      <fill>
        <patternFill>
          <bgColor indexed="10"/>
        </patternFill>
      </fill>
    </dxf>
    <dxf>
      <font>
        <b val="0"/>
        <i val="0"/>
        <condense val="0"/>
        <extend val="0"/>
        <color auto="1"/>
      </font>
      <fill>
        <patternFill>
          <bgColor indexed="10"/>
        </patternFill>
      </fill>
    </dxf>
    <dxf>
      <font>
        <b val="0"/>
        <i val="0"/>
        <condense val="0"/>
        <extend val="0"/>
        <color auto="1"/>
      </font>
      <fill>
        <patternFill>
          <bgColor indexed="10"/>
        </patternFill>
      </fill>
    </dxf>
    <dxf>
      <font>
        <color rgb="FFFF0000"/>
      </font>
    </dxf>
    <dxf>
      <font>
        <color auto="1"/>
      </font>
      <fill>
        <patternFill>
          <bgColor theme="9" tint="0.59996337778862885"/>
        </patternFill>
      </fill>
    </dxf>
    <dxf>
      <font>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ont>
        <b val="0"/>
        <i val="0"/>
        <color auto="1"/>
      </font>
      <fill>
        <patternFill>
          <bgColor theme="9" tint="0.59996337778862885"/>
        </patternFill>
      </fill>
    </dxf>
    <dxf>
      <fill>
        <patternFill>
          <bgColor theme="9" tint="0.59996337778862885"/>
        </patternFill>
      </fill>
    </dxf>
    <dxf>
      <font>
        <color rgb="FFFF0000"/>
      </font>
    </dxf>
    <dxf>
      <font>
        <color rgb="FFFF0000"/>
      </font>
    </dxf>
    <dxf>
      <font>
        <color rgb="FFFF0000"/>
      </font>
    </dxf>
    <dxf>
      <font>
        <color rgb="FFFF0000"/>
      </font>
    </dxf>
    <dxf>
      <font>
        <color rgb="FFFF0000"/>
      </font>
    </dxf>
    <dxf>
      <font>
        <color rgb="FFFF0000"/>
      </font>
    </dxf>
    <dxf>
      <font>
        <b val="0"/>
        <i val="0"/>
        <color auto="1"/>
        <name val="Cambria"/>
        <scheme val="none"/>
      </font>
      <fill>
        <patternFill>
          <bgColor theme="9" tint="0.39994506668294322"/>
        </patternFill>
      </fill>
    </dxf>
    <dxf>
      <font>
        <color rgb="FFFF0000"/>
      </font>
    </dxf>
    <dxf>
      <font>
        <b val="0"/>
        <i val="0"/>
        <color auto="1"/>
        <name val="Cambria"/>
        <scheme val="none"/>
      </font>
      <fill>
        <patternFill patternType="solid">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name val="Cambria"/>
        <scheme val="none"/>
      </font>
      <fill>
        <patternFill>
          <bgColor theme="9" tint="0.39994506668294322"/>
        </patternFill>
      </fill>
    </dxf>
    <dxf>
      <font>
        <b/>
        <i val="0"/>
        <color rgb="FFFF0000"/>
      </font>
    </dxf>
    <dxf>
      <fill>
        <patternFill>
          <bgColor rgb="FFFF000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val="0"/>
        <i val="0"/>
        <color auto="1"/>
      </font>
      <fill>
        <patternFill>
          <bgColor theme="9" tint="0.3999450666829432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auto="1"/>
      </font>
      <fill>
        <patternFill>
          <bgColor theme="9" tint="0.39994506668294322"/>
        </patternFill>
      </fill>
    </dxf>
    <dxf>
      <font>
        <b val="0"/>
        <i val="0"/>
        <color auto="1"/>
      </font>
      <fill>
        <patternFill>
          <bgColor theme="9" tint="0.39994506668294322"/>
        </patternFill>
      </fill>
    </dxf>
    <dxf>
      <fill>
        <patternFill>
          <bgColor rgb="FFFF0000"/>
        </patternFill>
      </fill>
    </dxf>
    <dxf>
      <font>
        <b val="0"/>
        <i val="0"/>
        <color auto="1"/>
      </font>
      <fill>
        <patternFill>
          <bgColor theme="9" tint="0.39994506668294322"/>
        </patternFill>
      </fill>
    </dxf>
    <dxf>
      <font>
        <color rgb="FFFF0000"/>
      </font>
    </dxf>
    <dxf>
      <font>
        <color rgb="FFFF0000"/>
      </font>
    </dxf>
    <dxf>
      <font>
        <color rgb="FFFF0000"/>
      </font>
    </dxf>
    <dxf>
      <font>
        <condense val="0"/>
        <extend val="0"/>
        <color indexed="10"/>
      </font>
    </dxf>
    <dxf>
      <font>
        <color rgb="FFFF0000"/>
      </font>
    </dxf>
    <dxf>
      <font>
        <condense val="0"/>
        <extend val="0"/>
        <color indexed="10"/>
      </font>
    </dxf>
    <dxf>
      <fill>
        <patternFill>
          <bgColor indexed="10"/>
        </patternFill>
      </fill>
    </dxf>
    <dxf>
      <fill>
        <patternFill>
          <bgColor rgb="FFFF0000"/>
        </patternFill>
      </fill>
    </dxf>
    <dxf>
      <fill>
        <patternFill>
          <bgColor rgb="FFFF0000"/>
        </patternFill>
      </fill>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lor rgb="FFFF0000"/>
      </font>
    </dxf>
    <dxf>
      <font>
        <b val="0"/>
        <i val="0"/>
        <color rgb="FFFF0000"/>
      </font>
    </dxf>
    <dxf>
      <font>
        <b val="0"/>
        <i val="0"/>
        <color rgb="FFFF0000"/>
      </font>
    </dxf>
    <dxf>
      <font>
        <b val="0"/>
        <i val="0"/>
        <color rgb="FFFF0000"/>
      </font>
    </dxf>
    <dxf>
      <font>
        <b/>
        <i val="0"/>
        <color rgb="FFFF0000"/>
      </font>
    </dxf>
    <dxf>
      <font>
        <b val="0"/>
        <i val="0"/>
        <color rgb="FFFF0000"/>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b/>
        <i val="0"/>
        <condense val="0"/>
        <extend val="0"/>
        <color indexed="10"/>
      </font>
    </dxf>
    <dxf>
      <font>
        <b val="0"/>
        <i val="0"/>
        <condense val="0"/>
        <extend val="0"/>
        <color auto="1"/>
      </font>
    </dxf>
    <dxf>
      <font>
        <color auto="1"/>
      </font>
      <fill>
        <patternFill>
          <bgColor theme="9" tint="0.39994506668294322"/>
        </patternFill>
      </fill>
    </dxf>
    <dxf>
      <font>
        <b/>
        <i val="0"/>
        <color rgb="FFFF0000"/>
      </font>
    </dxf>
    <dxf>
      <font>
        <b/>
        <i val="0"/>
        <color rgb="FFFF0000"/>
      </font>
    </dxf>
    <dxf>
      <fill>
        <patternFill>
          <bgColor rgb="FFFF0000"/>
        </patternFill>
      </fill>
    </dxf>
    <dxf>
      <fill>
        <patternFill>
          <bgColor indexed="10"/>
        </patternFill>
      </fill>
    </dxf>
    <dxf>
      <font>
        <b/>
        <i val="0"/>
        <condense val="0"/>
        <extend val="0"/>
        <color indexed="10"/>
      </font>
    </dxf>
    <dxf>
      <font>
        <b/>
        <i val="0"/>
        <condense val="0"/>
        <extend val="0"/>
        <color indexed="10"/>
      </font>
      <fill>
        <patternFill patternType="none">
          <bgColor indexed="65"/>
        </patternFill>
      </fill>
    </dxf>
    <dxf>
      <fill>
        <patternFill>
          <bgColor indexed="10"/>
        </patternFill>
      </fill>
    </dxf>
    <dxf>
      <fill>
        <patternFill>
          <bgColor rgb="FFFF0000"/>
        </patternFill>
      </fill>
    </dxf>
    <dxf>
      <fill>
        <patternFill>
          <bgColor rgb="FFFF0000"/>
        </patternFill>
      </fill>
    </dxf>
    <dxf>
      <fill>
        <patternFill>
          <bgColor rgb="FFFF0000"/>
        </patternFill>
      </fill>
    </dxf>
    <dxf>
      <font>
        <color rgb="FFFF0000"/>
      </font>
    </dxf>
    <dxf>
      <fill>
        <patternFill>
          <bgColor indexed="10"/>
        </patternFill>
      </fill>
    </dxf>
    <dxf>
      <font>
        <color rgb="FFFF0000"/>
      </font>
    </dxf>
    <dxf>
      <fill>
        <patternFill>
          <bgColor indexed="10"/>
        </patternFill>
      </fill>
    </dxf>
    <dxf>
      <font>
        <color rgb="FFFF0000"/>
      </font>
    </dxf>
    <dxf>
      <font>
        <color rgb="FFFF0000"/>
      </font>
    </dxf>
    <dxf>
      <fill>
        <patternFill>
          <bgColor rgb="FFFF0000"/>
        </patternFill>
      </fill>
    </dxf>
    <dxf>
      <font>
        <color auto="1"/>
      </font>
      <fill>
        <patternFill>
          <bgColor theme="9" tint="0.59996337778862885"/>
        </patternFill>
      </fill>
    </dxf>
    <dxf>
      <font>
        <b val="0"/>
        <i val="0"/>
        <color auto="1"/>
      </font>
      <fill>
        <patternFill>
          <bgColor theme="9" tint="0.39994506668294322"/>
        </patternFill>
      </fill>
    </dxf>
    <dxf>
      <fill>
        <patternFill>
          <bgColor rgb="FFFF000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indexed="10"/>
        </patternFill>
      </fill>
    </dxf>
    <dxf>
      <font>
        <color auto="1"/>
      </font>
      <fill>
        <patternFill>
          <bgColor rgb="FFFF0000"/>
        </patternFill>
      </fill>
    </dxf>
    <dxf>
      <fill>
        <patternFill>
          <bgColor indexed="10"/>
        </patternFill>
      </fill>
    </dxf>
    <dxf>
      <fill>
        <patternFill>
          <bgColor rgb="FFFF0000"/>
        </patternFill>
      </fill>
    </dxf>
    <dxf>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0DA"/>
      <color rgb="FFC0C0C0"/>
      <color rgb="FFFFFFCC"/>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83820</xdr:colOff>
      <xdr:row>28</xdr:row>
      <xdr:rowOff>11430</xdr:rowOff>
    </xdr:from>
    <xdr:ext cx="184731" cy="262400"/>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5617845" y="5097780"/>
          <a:ext cx="184731" cy="26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v-S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76200</xdr:rowOff>
    </xdr:from>
    <xdr:to>
      <xdr:col>6</xdr:col>
      <xdr:colOff>28575</xdr:colOff>
      <xdr:row>12</xdr:row>
      <xdr:rowOff>76200</xdr:rowOff>
    </xdr:to>
    <xdr:cxnSp macro="">
      <xdr:nvCxnSpPr>
        <xdr:cNvPr id="186129" name="AutoShape 242">
          <a:extLst>
            <a:ext uri="{FF2B5EF4-FFF2-40B4-BE49-F238E27FC236}">
              <a16:creationId xmlns:a16="http://schemas.microsoft.com/office/drawing/2014/main" id="{00000000-0008-0000-0200-000011D70200}"/>
            </a:ext>
          </a:extLst>
        </xdr:cNvPr>
        <xdr:cNvCxnSpPr>
          <a:cxnSpLocks noChangeShapeType="1"/>
        </xdr:cNvCxnSpPr>
      </xdr:nvCxnSpPr>
      <xdr:spPr bwMode="auto">
        <a:xfrm>
          <a:off x="4086225" y="2428875"/>
          <a:ext cx="19431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14</xdr:row>
      <xdr:rowOff>95250</xdr:rowOff>
    </xdr:from>
    <xdr:to>
      <xdr:col>6</xdr:col>
      <xdr:colOff>0</xdr:colOff>
      <xdr:row>14</xdr:row>
      <xdr:rowOff>95250</xdr:rowOff>
    </xdr:to>
    <xdr:cxnSp macro="">
      <xdr:nvCxnSpPr>
        <xdr:cNvPr id="186130" name="AutoShape 243">
          <a:extLst>
            <a:ext uri="{FF2B5EF4-FFF2-40B4-BE49-F238E27FC236}">
              <a16:creationId xmlns:a16="http://schemas.microsoft.com/office/drawing/2014/main" id="{00000000-0008-0000-0200-000012D70200}"/>
            </a:ext>
          </a:extLst>
        </xdr:cNvPr>
        <xdr:cNvCxnSpPr>
          <a:cxnSpLocks noChangeShapeType="1"/>
        </xdr:cNvCxnSpPr>
      </xdr:nvCxnSpPr>
      <xdr:spPr bwMode="auto">
        <a:xfrm>
          <a:off x="4095750" y="2809875"/>
          <a:ext cx="19050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21</xdr:row>
      <xdr:rowOff>123825</xdr:rowOff>
    </xdr:from>
    <xdr:to>
      <xdr:col>6</xdr:col>
      <xdr:colOff>9525</xdr:colOff>
      <xdr:row>21</xdr:row>
      <xdr:rowOff>123825</xdr:rowOff>
    </xdr:to>
    <xdr:cxnSp macro="">
      <xdr:nvCxnSpPr>
        <xdr:cNvPr id="186131" name="AutoShape 244">
          <a:extLst>
            <a:ext uri="{FF2B5EF4-FFF2-40B4-BE49-F238E27FC236}">
              <a16:creationId xmlns:a16="http://schemas.microsoft.com/office/drawing/2014/main" id="{00000000-0008-0000-0200-000013D70200}"/>
            </a:ext>
          </a:extLst>
        </xdr:cNvPr>
        <xdr:cNvCxnSpPr>
          <a:cxnSpLocks noChangeShapeType="1"/>
        </xdr:cNvCxnSpPr>
      </xdr:nvCxnSpPr>
      <xdr:spPr bwMode="auto">
        <a:xfrm flipV="1">
          <a:off x="4095750" y="4105275"/>
          <a:ext cx="191452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717550</xdr:colOff>
      <xdr:row>53</xdr:row>
      <xdr:rowOff>28576</xdr:rowOff>
    </xdr:from>
    <xdr:to>
      <xdr:col>8</xdr:col>
      <xdr:colOff>69850</xdr:colOff>
      <xdr:row>53</xdr:row>
      <xdr:rowOff>31750</xdr:rowOff>
    </xdr:to>
    <xdr:cxnSp macro="">
      <xdr:nvCxnSpPr>
        <xdr:cNvPr id="186132" name="AutoShape 245">
          <a:extLst>
            <a:ext uri="{FF2B5EF4-FFF2-40B4-BE49-F238E27FC236}">
              <a16:creationId xmlns:a16="http://schemas.microsoft.com/office/drawing/2014/main" id="{00000000-0008-0000-0200-000014D70200}"/>
            </a:ext>
          </a:extLst>
        </xdr:cNvPr>
        <xdr:cNvCxnSpPr>
          <a:cxnSpLocks noChangeShapeType="1"/>
        </xdr:cNvCxnSpPr>
      </xdr:nvCxnSpPr>
      <xdr:spPr bwMode="auto">
        <a:xfrm>
          <a:off x="4203700" y="8899526"/>
          <a:ext cx="3117850" cy="31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63</xdr:row>
      <xdr:rowOff>104775</xdr:rowOff>
    </xdr:from>
    <xdr:to>
      <xdr:col>6</xdr:col>
      <xdr:colOff>0</xdr:colOff>
      <xdr:row>63</xdr:row>
      <xdr:rowOff>114300</xdr:rowOff>
    </xdr:to>
    <xdr:cxnSp macro="">
      <xdr:nvCxnSpPr>
        <xdr:cNvPr id="186133" name="AutoShape 246">
          <a:extLst>
            <a:ext uri="{FF2B5EF4-FFF2-40B4-BE49-F238E27FC236}">
              <a16:creationId xmlns:a16="http://schemas.microsoft.com/office/drawing/2014/main" id="{00000000-0008-0000-0200-000015D70200}"/>
            </a:ext>
          </a:extLst>
        </xdr:cNvPr>
        <xdr:cNvCxnSpPr>
          <a:cxnSpLocks noChangeShapeType="1"/>
        </xdr:cNvCxnSpPr>
      </xdr:nvCxnSpPr>
      <xdr:spPr bwMode="auto">
        <a:xfrm>
          <a:off x="4095750" y="10420350"/>
          <a:ext cx="1905000" cy="9525"/>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0</xdr:colOff>
      <xdr:row>59</xdr:row>
      <xdr:rowOff>114300</xdr:rowOff>
    </xdr:from>
    <xdr:to>
      <xdr:col>5</xdr:col>
      <xdr:colOff>1568450</xdr:colOff>
      <xdr:row>60</xdr:row>
      <xdr:rowOff>85725</xdr:rowOff>
    </xdr:to>
    <xdr:cxnSp macro="">
      <xdr:nvCxnSpPr>
        <xdr:cNvPr id="186135" name="AutoShape 250">
          <a:extLst>
            <a:ext uri="{FF2B5EF4-FFF2-40B4-BE49-F238E27FC236}">
              <a16:creationId xmlns:a16="http://schemas.microsoft.com/office/drawing/2014/main" id="{00000000-0008-0000-0200-000017D70200}"/>
            </a:ext>
          </a:extLst>
        </xdr:cNvPr>
        <xdr:cNvCxnSpPr>
          <a:cxnSpLocks noChangeShapeType="1"/>
        </xdr:cNvCxnSpPr>
      </xdr:nvCxnSpPr>
      <xdr:spPr bwMode="auto">
        <a:xfrm flipV="1">
          <a:off x="4902200" y="10090150"/>
          <a:ext cx="1568450" cy="155575"/>
        </a:xfrm>
        <a:prstGeom prst="bentConnector3">
          <a:avLst>
            <a:gd name="adj1" fmla="val 54048"/>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57150</xdr:rowOff>
    </xdr:from>
    <xdr:to>
      <xdr:col>3</xdr:col>
      <xdr:colOff>352425</xdr:colOff>
      <xdr:row>20</xdr:row>
      <xdr:rowOff>9525</xdr:rowOff>
    </xdr:to>
    <xdr:cxnSp macro="">
      <xdr:nvCxnSpPr>
        <xdr:cNvPr id="186137" name="AutoShape 245">
          <a:extLst>
            <a:ext uri="{FF2B5EF4-FFF2-40B4-BE49-F238E27FC236}">
              <a16:creationId xmlns:a16="http://schemas.microsoft.com/office/drawing/2014/main" id="{00000000-0008-0000-0200-000019D70200}"/>
            </a:ext>
          </a:extLst>
        </xdr:cNvPr>
        <xdr:cNvCxnSpPr>
          <a:cxnSpLocks noChangeShapeType="1"/>
        </xdr:cNvCxnSpPr>
      </xdr:nvCxnSpPr>
      <xdr:spPr bwMode="auto">
        <a:xfrm flipH="1" flipV="1">
          <a:off x="3733800" y="3676650"/>
          <a:ext cx="0" cy="133350"/>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352425</xdr:colOff>
      <xdr:row>19</xdr:row>
      <xdr:rowOff>66675</xdr:rowOff>
    </xdr:from>
    <xdr:to>
      <xdr:col>6</xdr:col>
      <xdr:colOff>0</xdr:colOff>
      <xdr:row>19</xdr:row>
      <xdr:rowOff>66675</xdr:rowOff>
    </xdr:to>
    <xdr:cxnSp macro="">
      <xdr:nvCxnSpPr>
        <xdr:cNvPr id="186138" name="AutoShape 244">
          <a:extLst>
            <a:ext uri="{FF2B5EF4-FFF2-40B4-BE49-F238E27FC236}">
              <a16:creationId xmlns:a16="http://schemas.microsoft.com/office/drawing/2014/main" id="{00000000-0008-0000-0200-00001AD70200}"/>
            </a:ext>
          </a:extLst>
        </xdr:cNvPr>
        <xdr:cNvCxnSpPr>
          <a:cxnSpLocks noChangeShapeType="1"/>
        </xdr:cNvCxnSpPr>
      </xdr:nvCxnSpPr>
      <xdr:spPr bwMode="auto">
        <a:xfrm flipV="1">
          <a:off x="3733800" y="3686175"/>
          <a:ext cx="226695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885825</xdr:colOff>
      <xdr:row>61</xdr:row>
      <xdr:rowOff>76200</xdr:rowOff>
    </xdr:from>
    <xdr:to>
      <xdr:col>6</xdr:col>
      <xdr:colOff>9525</xdr:colOff>
      <xdr:row>62</xdr:row>
      <xdr:rowOff>104775</xdr:rowOff>
    </xdr:to>
    <xdr:cxnSp macro="">
      <xdr:nvCxnSpPr>
        <xdr:cNvPr id="186140" name="AutoShape 250">
          <a:extLst>
            <a:ext uri="{FF2B5EF4-FFF2-40B4-BE49-F238E27FC236}">
              <a16:creationId xmlns:a16="http://schemas.microsoft.com/office/drawing/2014/main" id="{00000000-0008-0000-0200-00001CD70200}"/>
            </a:ext>
          </a:extLst>
        </xdr:cNvPr>
        <xdr:cNvCxnSpPr>
          <a:cxnSpLocks noChangeShapeType="1"/>
        </xdr:cNvCxnSpPr>
      </xdr:nvCxnSpPr>
      <xdr:spPr bwMode="auto">
        <a:xfrm flipV="1">
          <a:off x="5648325" y="10029825"/>
          <a:ext cx="361950" cy="209550"/>
        </a:xfrm>
        <a:prstGeom prst="bentConnector3">
          <a:avLst>
            <a:gd name="adj1" fmla="val -517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9525</xdr:colOff>
      <xdr:row>62</xdr:row>
      <xdr:rowOff>104776</xdr:rowOff>
    </xdr:from>
    <xdr:to>
      <xdr:col>5</xdr:col>
      <xdr:colOff>1568450</xdr:colOff>
      <xdr:row>62</xdr:row>
      <xdr:rowOff>120650</xdr:rowOff>
    </xdr:to>
    <xdr:cxnSp macro="">
      <xdr:nvCxnSpPr>
        <xdr:cNvPr id="186141" name="AutoShape 248">
          <a:extLst>
            <a:ext uri="{FF2B5EF4-FFF2-40B4-BE49-F238E27FC236}">
              <a16:creationId xmlns:a16="http://schemas.microsoft.com/office/drawing/2014/main" id="{00000000-0008-0000-0200-00001DD70200}"/>
            </a:ext>
          </a:extLst>
        </xdr:cNvPr>
        <xdr:cNvCxnSpPr>
          <a:cxnSpLocks noChangeShapeType="1"/>
        </xdr:cNvCxnSpPr>
      </xdr:nvCxnSpPr>
      <xdr:spPr bwMode="auto">
        <a:xfrm>
          <a:off x="4911725" y="10690226"/>
          <a:ext cx="1558925" cy="15874"/>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698500</xdr:colOff>
      <xdr:row>22</xdr:row>
      <xdr:rowOff>103188</xdr:rowOff>
    </xdr:from>
    <xdr:to>
      <xdr:col>6</xdr:col>
      <xdr:colOff>25400</xdr:colOff>
      <xdr:row>23</xdr:row>
      <xdr:rowOff>112712</xdr:rowOff>
    </xdr:to>
    <xdr:cxnSp macro="">
      <xdr:nvCxnSpPr>
        <xdr:cNvPr id="186142" name="AutoShape 249">
          <a:extLst>
            <a:ext uri="{FF2B5EF4-FFF2-40B4-BE49-F238E27FC236}">
              <a16:creationId xmlns:a16="http://schemas.microsoft.com/office/drawing/2014/main" id="{00000000-0008-0000-0200-00001ED70200}"/>
            </a:ext>
          </a:extLst>
        </xdr:cNvPr>
        <xdr:cNvCxnSpPr>
          <a:cxnSpLocks noChangeShapeType="1"/>
        </xdr:cNvCxnSpPr>
      </xdr:nvCxnSpPr>
      <xdr:spPr bwMode="auto">
        <a:xfrm>
          <a:off x="4079875" y="4278313"/>
          <a:ext cx="2239963" cy="192087"/>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657225</xdr:colOff>
      <xdr:row>73</xdr:row>
      <xdr:rowOff>41275</xdr:rowOff>
    </xdr:from>
    <xdr:to>
      <xdr:col>6</xdr:col>
      <xdr:colOff>19050</xdr:colOff>
      <xdr:row>73</xdr:row>
      <xdr:rowOff>41275</xdr:rowOff>
    </xdr:to>
    <xdr:cxnSp macro="">
      <xdr:nvCxnSpPr>
        <xdr:cNvPr id="186143" name="AutoShape 248">
          <a:extLst>
            <a:ext uri="{FF2B5EF4-FFF2-40B4-BE49-F238E27FC236}">
              <a16:creationId xmlns:a16="http://schemas.microsoft.com/office/drawing/2014/main" id="{00000000-0008-0000-0200-00001FD70200}"/>
            </a:ext>
          </a:extLst>
        </xdr:cNvPr>
        <xdr:cNvCxnSpPr>
          <a:cxnSpLocks noChangeShapeType="1"/>
        </xdr:cNvCxnSpPr>
      </xdr:nvCxnSpPr>
      <xdr:spPr bwMode="auto">
        <a:xfrm>
          <a:off x="4867275" y="12512675"/>
          <a:ext cx="16287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800100</xdr:colOff>
      <xdr:row>63</xdr:row>
      <xdr:rowOff>114300</xdr:rowOff>
    </xdr:from>
    <xdr:to>
      <xdr:col>6</xdr:col>
      <xdr:colOff>0</xdr:colOff>
      <xdr:row>64</xdr:row>
      <xdr:rowOff>104775</xdr:rowOff>
    </xdr:to>
    <xdr:cxnSp macro="">
      <xdr:nvCxnSpPr>
        <xdr:cNvPr id="186144" name="AutoShape 249">
          <a:extLst>
            <a:ext uri="{FF2B5EF4-FFF2-40B4-BE49-F238E27FC236}">
              <a16:creationId xmlns:a16="http://schemas.microsoft.com/office/drawing/2014/main" id="{00000000-0008-0000-0200-000020D70200}"/>
            </a:ext>
          </a:extLst>
        </xdr:cNvPr>
        <xdr:cNvCxnSpPr>
          <a:cxnSpLocks noChangeShapeType="1"/>
        </xdr:cNvCxnSpPr>
      </xdr:nvCxnSpPr>
      <xdr:spPr bwMode="auto">
        <a:xfrm>
          <a:off x="5562600" y="10429875"/>
          <a:ext cx="438150" cy="219075"/>
        </a:xfrm>
        <a:prstGeom prst="bentConnector3">
          <a:avLst>
            <a:gd name="adj1" fmla="val 15704"/>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39687</xdr:colOff>
      <xdr:row>64</xdr:row>
      <xdr:rowOff>111125</xdr:rowOff>
    </xdr:from>
    <xdr:to>
      <xdr:col>5</xdr:col>
      <xdr:colOff>1524000</xdr:colOff>
      <xdr:row>66</xdr:row>
      <xdr:rowOff>95250</xdr:rowOff>
    </xdr:to>
    <xdr:cxnSp macro="">
      <xdr:nvCxnSpPr>
        <xdr:cNvPr id="186145" name="AutoShape 249">
          <a:extLst>
            <a:ext uri="{FF2B5EF4-FFF2-40B4-BE49-F238E27FC236}">
              <a16:creationId xmlns:a16="http://schemas.microsoft.com/office/drawing/2014/main" id="{00000000-0008-0000-0200-000021D70200}"/>
            </a:ext>
          </a:extLst>
        </xdr:cNvPr>
        <xdr:cNvCxnSpPr>
          <a:cxnSpLocks noChangeShapeType="1"/>
        </xdr:cNvCxnSpPr>
      </xdr:nvCxnSpPr>
      <xdr:spPr bwMode="auto">
        <a:xfrm>
          <a:off x="4127500" y="11072813"/>
          <a:ext cx="2159000" cy="349250"/>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12700</xdr:colOff>
      <xdr:row>81</xdr:row>
      <xdr:rowOff>76200</xdr:rowOff>
    </xdr:from>
    <xdr:to>
      <xdr:col>6</xdr:col>
      <xdr:colOff>31750</xdr:colOff>
      <xdr:row>86</xdr:row>
      <xdr:rowOff>95250</xdr:rowOff>
    </xdr:to>
    <xdr:cxnSp macro="">
      <xdr:nvCxnSpPr>
        <xdr:cNvPr id="186146" name="AutoShape 249">
          <a:extLst>
            <a:ext uri="{FF2B5EF4-FFF2-40B4-BE49-F238E27FC236}">
              <a16:creationId xmlns:a16="http://schemas.microsoft.com/office/drawing/2014/main" id="{00000000-0008-0000-0200-000022D70200}"/>
            </a:ext>
          </a:extLst>
        </xdr:cNvPr>
        <xdr:cNvCxnSpPr>
          <a:cxnSpLocks noChangeShapeType="1"/>
        </xdr:cNvCxnSpPr>
      </xdr:nvCxnSpPr>
      <xdr:spPr bwMode="auto">
        <a:xfrm>
          <a:off x="4914900" y="14249400"/>
          <a:ext cx="1593850" cy="1143000"/>
        </a:xfrm>
        <a:prstGeom prst="bentConnector3">
          <a:avLst>
            <a:gd name="adj1" fmla="val 67611"/>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647700</xdr:colOff>
      <xdr:row>83</xdr:row>
      <xdr:rowOff>85725</xdr:rowOff>
    </xdr:from>
    <xdr:to>
      <xdr:col>4</xdr:col>
      <xdr:colOff>647700</xdr:colOff>
      <xdr:row>83</xdr:row>
      <xdr:rowOff>85725</xdr:rowOff>
    </xdr:to>
    <xdr:cxnSp macro="">
      <xdr:nvCxnSpPr>
        <xdr:cNvPr id="186147" name="AutoShape 249">
          <a:extLst>
            <a:ext uri="{FF2B5EF4-FFF2-40B4-BE49-F238E27FC236}">
              <a16:creationId xmlns:a16="http://schemas.microsoft.com/office/drawing/2014/main" id="{00000000-0008-0000-0200-000023D70200}"/>
            </a:ext>
          </a:extLst>
        </xdr:cNvPr>
        <xdr:cNvCxnSpPr>
          <a:cxnSpLocks noChangeShapeType="1"/>
        </xdr:cNvCxnSpPr>
      </xdr:nvCxnSpPr>
      <xdr:spPr bwMode="auto">
        <a:xfrm flipV="1">
          <a:off x="4733925" y="14173200"/>
          <a:ext cx="0" cy="0"/>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xdr:col>
      <xdr:colOff>657225</xdr:colOff>
      <xdr:row>82</xdr:row>
      <xdr:rowOff>66675</xdr:rowOff>
    </xdr:from>
    <xdr:to>
      <xdr:col>5</xdr:col>
      <xdr:colOff>1076325</xdr:colOff>
      <xdr:row>82</xdr:row>
      <xdr:rowOff>66676</xdr:rowOff>
    </xdr:to>
    <xdr:cxnSp macro="">
      <xdr:nvCxnSpPr>
        <xdr:cNvPr id="186148" name="AutoShape 249">
          <a:extLst>
            <a:ext uri="{FF2B5EF4-FFF2-40B4-BE49-F238E27FC236}">
              <a16:creationId xmlns:a16="http://schemas.microsoft.com/office/drawing/2014/main" id="{00000000-0008-0000-0200-000024D70200}"/>
            </a:ext>
          </a:extLst>
        </xdr:cNvPr>
        <xdr:cNvCxnSpPr>
          <a:cxnSpLocks noChangeShapeType="1"/>
        </xdr:cNvCxnSpPr>
      </xdr:nvCxnSpPr>
      <xdr:spPr bwMode="auto">
        <a:xfrm flipV="1">
          <a:off x="4867275" y="14455775"/>
          <a:ext cx="1111250"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83</xdr:row>
      <xdr:rowOff>95250</xdr:rowOff>
    </xdr:from>
    <xdr:to>
      <xdr:col>5</xdr:col>
      <xdr:colOff>1095375</xdr:colOff>
      <xdr:row>83</xdr:row>
      <xdr:rowOff>95251</xdr:rowOff>
    </xdr:to>
    <xdr:cxnSp macro="">
      <xdr:nvCxnSpPr>
        <xdr:cNvPr id="33" name="AutoShape 249">
          <a:extLst>
            <a:ext uri="{FF2B5EF4-FFF2-40B4-BE49-F238E27FC236}">
              <a16:creationId xmlns:a16="http://schemas.microsoft.com/office/drawing/2014/main" id="{00000000-0008-0000-0200-000021000000}"/>
            </a:ext>
          </a:extLst>
        </xdr:cNvPr>
        <xdr:cNvCxnSpPr>
          <a:cxnSpLocks noChangeShapeType="1"/>
        </xdr:cNvCxnSpPr>
      </xdr:nvCxnSpPr>
      <xdr:spPr bwMode="auto">
        <a:xfrm flipV="1">
          <a:off x="4762500" y="14182725"/>
          <a:ext cx="1095375" cy="1"/>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9525</xdr:colOff>
      <xdr:row>84</xdr:row>
      <xdr:rowOff>114300</xdr:rowOff>
    </xdr:from>
    <xdr:to>
      <xdr:col>5</xdr:col>
      <xdr:colOff>1047750</xdr:colOff>
      <xdr:row>84</xdr:row>
      <xdr:rowOff>114303</xdr:rowOff>
    </xdr:to>
    <xdr:cxnSp macro="">
      <xdr:nvCxnSpPr>
        <xdr:cNvPr id="34" name="AutoShape 249">
          <a:extLst>
            <a:ext uri="{FF2B5EF4-FFF2-40B4-BE49-F238E27FC236}">
              <a16:creationId xmlns:a16="http://schemas.microsoft.com/office/drawing/2014/main" id="{00000000-0008-0000-0200-000022000000}"/>
            </a:ext>
          </a:extLst>
        </xdr:cNvPr>
        <xdr:cNvCxnSpPr>
          <a:cxnSpLocks noChangeShapeType="1"/>
        </xdr:cNvCxnSpPr>
      </xdr:nvCxnSpPr>
      <xdr:spPr bwMode="auto">
        <a:xfrm flipV="1">
          <a:off x="4772025" y="14439900"/>
          <a:ext cx="1038225" cy="3"/>
        </a:xfrm>
        <a:prstGeom prst="bentConnector3">
          <a:avLst>
            <a:gd name="adj1" fmla="val 50000"/>
          </a:avLst>
        </a:prstGeom>
        <a:noFill/>
        <a:ln w="19050">
          <a:solidFill>
            <a:srgbClr val="0070C0"/>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476250</xdr:colOff>
      <xdr:row>23</xdr:row>
      <xdr:rowOff>111125</xdr:rowOff>
    </xdr:from>
    <xdr:to>
      <xdr:col>6</xdr:col>
      <xdr:colOff>25400</xdr:colOff>
      <xdr:row>24</xdr:row>
      <xdr:rowOff>112712</xdr:rowOff>
    </xdr:to>
    <xdr:cxnSp macro="">
      <xdr:nvCxnSpPr>
        <xdr:cNvPr id="24" name="AutoShape 249">
          <a:extLst>
            <a:ext uri="{FF2B5EF4-FFF2-40B4-BE49-F238E27FC236}">
              <a16:creationId xmlns:a16="http://schemas.microsoft.com/office/drawing/2014/main" id="{00000000-0008-0000-0200-000018000000}"/>
            </a:ext>
          </a:extLst>
        </xdr:cNvPr>
        <xdr:cNvCxnSpPr>
          <a:cxnSpLocks noChangeShapeType="1"/>
        </xdr:cNvCxnSpPr>
      </xdr:nvCxnSpPr>
      <xdr:spPr bwMode="auto">
        <a:xfrm>
          <a:off x="5238750" y="4468813"/>
          <a:ext cx="1081088" cy="184149"/>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687161</xdr:colOff>
      <xdr:row>69</xdr:row>
      <xdr:rowOff>53975</xdr:rowOff>
    </xdr:from>
    <xdr:to>
      <xdr:col>6</xdr:col>
      <xdr:colOff>6350</xdr:colOff>
      <xdr:row>69</xdr:row>
      <xdr:rowOff>54428</xdr:rowOff>
    </xdr:to>
    <xdr:cxnSp macro="">
      <xdr:nvCxnSpPr>
        <xdr:cNvPr id="25" name="AutoShape 249">
          <a:extLst>
            <a:ext uri="{FF2B5EF4-FFF2-40B4-BE49-F238E27FC236}">
              <a16:creationId xmlns:a16="http://schemas.microsoft.com/office/drawing/2014/main" id="{00000000-0008-0000-0200-000019000000}"/>
            </a:ext>
          </a:extLst>
        </xdr:cNvPr>
        <xdr:cNvCxnSpPr>
          <a:cxnSpLocks noChangeShapeType="1"/>
        </xdr:cNvCxnSpPr>
      </xdr:nvCxnSpPr>
      <xdr:spPr bwMode="auto">
        <a:xfrm flipV="1">
          <a:off x="4061732" y="11994243"/>
          <a:ext cx="2231118" cy="453"/>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914400</xdr:colOff>
      <xdr:row>64</xdr:row>
      <xdr:rowOff>114300</xdr:rowOff>
    </xdr:from>
    <xdr:to>
      <xdr:col>5</xdr:col>
      <xdr:colOff>1568450</xdr:colOff>
      <xdr:row>65</xdr:row>
      <xdr:rowOff>114300</xdr:rowOff>
    </xdr:to>
    <xdr:cxnSp macro="">
      <xdr:nvCxnSpPr>
        <xdr:cNvPr id="26" name="AutoShape 249">
          <a:extLst>
            <a:ext uri="{FF2B5EF4-FFF2-40B4-BE49-F238E27FC236}">
              <a16:creationId xmlns:a16="http://schemas.microsoft.com/office/drawing/2014/main" id="{00000000-0008-0000-0200-00001A000000}"/>
            </a:ext>
          </a:extLst>
        </xdr:cNvPr>
        <xdr:cNvCxnSpPr>
          <a:cxnSpLocks noChangeShapeType="1"/>
        </xdr:cNvCxnSpPr>
      </xdr:nvCxnSpPr>
      <xdr:spPr bwMode="auto">
        <a:xfrm>
          <a:off x="5816600" y="11112500"/>
          <a:ext cx="654050" cy="184150"/>
        </a:xfrm>
        <a:prstGeom prst="bentConnector3">
          <a:avLst>
            <a:gd name="adj1" fmla="val 1456"/>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41</xdr:row>
      <xdr:rowOff>0</xdr:rowOff>
    </xdr:from>
    <xdr:to>
      <xdr:col>5</xdr:col>
      <xdr:colOff>9525</xdr:colOff>
      <xdr:row>41</xdr:row>
      <xdr:rowOff>123825</xdr:rowOff>
    </xdr:to>
    <xdr:cxnSp macro="">
      <xdr:nvCxnSpPr>
        <xdr:cNvPr id="2" name="AutoShape 187">
          <a:extLst>
            <a:ext uri="{FF2B5EF4-FFF2-40B4-BE49-F238E27FC236}">
              <a16:creationId xmlns:a16="http://schemas.microsoft.com/office/drawing/2014/main" id="{00000000-0008-0000-0300-000002000000}"/>
            </a:ext>
          </a:extLst>
        </xdr:cNvPr>
        <xdr:cNvCxnSpPr>
          <a:cxnSpLocks noChangeShapeType="1"/>
        </xdr:cNvCxnSpPr>
      </xdr:nvCxnSpPr>
      <xdr:spPr bwMode="auto">
        <a:xfrm flipV="1">
          <a:off x="4200525" y="8086725"/>
          <a:ext cx="1495425" cy="12382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28</xdr:row>
      <xdr:rowOff>70139</xdr:rowOff>
    </xdr:from>
    <xdr:to>
      <xdr:col>5</xdr:col>
      <xdr:colOff>9525</xdr:colOff>
      <xdr:row>28</xdr:row>
      <xdr:rowOff>70139</xdr:rowOff>
    </xdr:to>
    <xdr:cxnSp macro="">
      <xdr:nvCxnSpPr>
        <xdr:cNvPr id="3" name="AutoShape 197">
          <a:extLst>
            <a:ext uri="{FF2B5EF4-FFF2-40B4-BE49-F238E27FC236}">
              <a16:creationId xmlns:a16="http://schemas.microsoft.com/office/drawing/2014/main" id="{00000000-0008-0000-0300-000003000000}"/>
            </a:ext>
          </a:extLst>
        </xdr:cNvPr>
        <xdr:cNvCxnSpPr>
          <a:cxnSpLocks noChangeShapeType="1"/>
        </xdr:cNvCxnSpPr>
      </xdr:nvCxnSpPr>
      <xdr:spPr bwMode="auto">
        <a:xfrm>
          <a:off x="4210050" y="4975514"/>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26</xdr:row>
      <xdr:rowOff>112568</xdr:rowOff>
    </xdr:from>
    <xdr:to>
      <xdr:col>5</xdr:col>
      <xdr:colOff>0</xdr:colOff>
      <xdr:row>26</xdr:row>
      <xdr:rowOff>112568</xdr:rowOff>
    </xdr:to>
    <xdr:cxnSp macro="">
      <xdr:nvCxnSpPr>
        <xdr:cNvPr id="4" name="AutoShape 197">
          <a:extLst>
            <a:ext uri="{FF2B5EF4-FFF2-40B4-BE49-F238E27FC236}">
              <a16:creationId xmlns:a16="http://schemas.microsoft.com/office/drawing/2014/main" id="{00000000-0008-0000-0300-000004000000}"/>
            </a:ext>
          </a:extLst>
        </xdr:cNvPr>
        <xdr:cNvCxnSpPr>
          <a:cxnSpLocks noChangeShapeType="1"/>
        </xdr:cNvCxnSpPr>
      </xdr:nvCxnSpPr>
      <xdr:spPr bwMode="auto">
        <a:xfrm>
          <a:off x="4199659" y="4658591"/>
          <a:ext cx="15153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44</xdr:row>
      <xdr:rowOff>159327</xdr:rowOff>
    </xdr:from>
    <xdr:to>
      <xdr:col>5</xdr:col>
      <xdr:colOff>19050</xdr:colOff>
      <xdr:row>44</xdr:row>
      <xdr:rowOff>159327</xdr:rowOff>
    </xdr:to>
    <xdr:cxnSp macro="">
      <xdr:nvCxnSpPr>
        <xdr:cNvPr id="5" name="AutoShape 191">
          <a:extLst>
            <a:ext uri="{FF2B5EF4-FFF2-40B4-BE49-F238E27FC236}">
              <a16:creationId xmlns:a16="http://schemas.microsoft.com/office/drawing/2014/main" id="{00000000-0008-0000-0300-000005000000}"/>
            </a:ext>
          </a:extLst>
        </xdr:cNvPr>
        <xdr:cNvCxnSpPr>
          <a:cxnSpLocks noChangeShapeType="1"/>
        </xdr:cNvCxnSpPr>
      </xdr:nvCxnSpPr>
      <xdr:spPr bwMode="auto">
        <a:xfrm>
          <a:off x="4219575" y="8903277"/>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54</xdr:row>
      <xdr:rowOff>95250</xdr:rowOff>
    </xdr:from>
    <xdr:to>
      <xdr:col>5</xdr:col>
      <xdr:colOff>9525</xdr:colOff>
      <xdr:row>54</xdr:row>
      <xdr:rowOff>95250</xdr:rowOff>
    </xdr:to>
    <xdr:cxnSp macro="">
      <xdr:nvCxnSpPr>
        <xdr:cNvPr id="6" name="AutoShape 191">
          <a:extLst>
            <a:ext uri="{FF2B5EF4-FFF2-40B4-BE49-F238E27FC236}">
              <a16:creationId xmlns:a16="http://schemas.microsoft.com/office/drawing/2014/main" id="{00000000-0008-0000-0300-000006000000}"/>
            </a:ext>
          </a:extLst>
        </xdr:cNvPr>
        <xdr:cNvCxnSpPr>
          <a:cxnSpLocks noChangeShapeType="1"/>
        </xdr:cNvCxnSpPr>
      </xdr:nvCxnSpPr>
      <xdr:spPr bwMode="auto">
        <a:xfrm>
          <a:off x="4210050" y="10544175"/>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57</xdr:row>
      <xdr:rowOff>76200</xdr:rowOff>
    </xdr:from>
    <xdr:to>
      <xdr:col>5</xdr:col>
      <xdr:colOff>9525</xdr:colOff>
      <xdr:row>58</xdr:row>
      <xdr:rowOff>0</xdr:rowOff>
    </xdr:to>
    <xdr:cxnSp macro="">
      <xdr:nvCxnSpPr>
        <xdr:cNvPr id="7" name="AutoShape 250">
          <a:extLst>
            <a:ext uri="{FF2B5EF4-FFF2-40B4-BE49-F238E27FC236}">
              <a16:creationId xmlns:a16="http://schemas.microsoft.com/office/drawing/2014/main" id="{00000000-0008-0000-0300-000007000000}"/>
            </a:ext>
          </a:extLst>
        </xdr:cNvPr>
        <xdr:cNvCxnSpPr>
          <a:cxnSpLocks noChangeShapeType="1"/>
        </xdr:cNvCxnSpPr>
      </xdr:nvCxnSpPr>
      <xdr:spPr bwMode="auto">
        <a:xfrm>
          <a:off x="4210050" y="11010900"/>
          <a:ext cx="1485900"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9525</xdr:colOff>
      <xdr:row>42</xdr:row>
      <xdr:rowOff>66675</xdr:rowOff>
    </xdr:from>
    <xdr:to>
      <xdr:col>5</xdr:col>
      <xdr:colOff>9525</xdr:colOff>
      <xdr:row>43</xdr:row>
      <xdr:rowOff>9525</xdr:rowOff>
    </xdr:to>
    <xdr:cxnSp macro="">
      <xdr:nvCxnSpPr>
        <xdr:cNvPr id="8" name="AutoShape 250">
          <a:extLst>
            <a:ext uri="{FF2B5EF4-FFF2-40B4-BE49-F238E27FC236}">
              <a16:creationId xmlns:a16="http://schemas.microsoft.com/office/drawing/2014/main" id="{00000000-0008-0000-0300-000008000000}"/>
            </a:ext>
          </a:extLst>
        </xdr:cNvPr>
        <xdr:cNvCxnSpPr>
          <a:cxnSpLocks noChangeShapeType="1"/>
        </xdr:cNvCxnSpPr>
      </xdr:nvCxnSpPr>
      <xdr:spPr bwMode="auto">
        <a:xfrm>
          <a:off x="4219575" y="8382000"/>
          <a:ext cx="1476375" cy="2000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755072</xdr:colOff>
      <xdr:row>49</xdr:row>
      <xdr:rowOff>17319</xdr:rowOff>
    </xdr:from>
    <xdr:to>
      <xdr:col>5</xdr:col>
      <xdr:colOff>25977</xdr:colOff>
      <xdr:row>49</xdr:row>
      <xdr:rowOff>103044</xdr:rowOff>
    </xdr:to>
    <xdr:cxnSp macro="">
      <xdr:nvCxnSpPr>
        <xdr:cNvPr id="9" name="AutoShape 250">
          <a:extLst>
            <a:ext uri="{FF2B5EF4-FFF2-40B4-BE49-F238E27FC236}">
              <a16:creationId xmlns:a16="http://schemas.microsoft.com/office/drawing/2014/main" id="{00000000-0008-0000-0300-000009000000}"/>
            </a:ext>
          </a:extLst>
        </xdr:cNvPr>
        <xdr:cNvCxnSpPr>
          <a:cxnSpLocks noChangeShapeType="1"/>
        </xdr:cNvCxnSpPr>
      </xdr:nvCxnSpPr>
      <xdr:spPr bwMode="auto">
        <a:xfrm flipV="1">
          <a:off x="4192731" y="9862705"/>
          <a:ext cx="1522269" cy="85725"/>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67</xdr:row>
      <xdr:rowOff>6615</xdr:rowOff>
    </xdr:from>
    <xdr:to>
      <xdr:col>5</xdr:col>
      <xdr:colOff>6614</xdr:colOff>
      <xdr:row>69</xdr:row>
      <xdr:rowOff>112448</xdr:rowOff>
    </xdr:to>
    <xdr:cxnSp macro="">
      <xdr:nvCxnSpPr>
        <xdr:cNvPr id="10" name="AutoShape 250">
          <a:extLst>
            <a:ext uri="{FF2B5EF4-FFF2-40B4-BE49-F238E27FC236}">
              <a16:creationId xmlns:a16="http://schemas.microsoft.com/office/drawing/2014/main" id="{00000000-0008-0000-0300-00000A000000}"/>
            </a:ext>
          </a:extLst>
        </xdr:cNvPr>
        <xdr:cNvCxnSpPr>
          <a:cxnSpLocks noChangeShapeType="1"/>
        </xdr:cNvCxnSpPr>
      </xdr:nvCxnSpPr>
      <xdr:spPr bwMode="auto">
        <a:xfrm flipV="1">
          <a:off x="4921250" y="12607396"/>
          <a:ext cx="1838854" cy="502708"/>
        </a:xfrm>
        <a:prstGeom prst="bentConnector3">
          <a:avLst>
            <a:gd name="adj1" fmla="val 50000"/>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69273</xdr:rowOff>
    </xdr:from>
    <xdr:to>
      <xdr:col>5</xdr:col>
      <xdr:colOff>8659</xdr:colOff>
      <xdr:row>27</xdr:row>
      <xdr:rowOff>69273</xdr:rowOff>
    </xdr:to>
    <xdr:cxnSp macro="">
      <xdr:nvCxnSpPr>
        <xdr:cNvPr id="11" name="AutoShape 197">
          <a:extLst>
            <a:ext uri="{FF2B5EF4-FFF2-40B4-BE49-F238E27FC236}">
              <a16:creationId xmlns:a16="http://schemas.microsoft.com/office/drawing/2014/main" id="{00000000-0008-0000-0300-00000B000000}"/>
            </a:ext>
          </a:extLst>
        </xdr:cNvPr>
        <xdr:cNvCxnSpPr>
          <a:cxnSpLocks noChangeShapeType="1"/>
        </xdr:cNvCxnSpPr>
      </xdr:nvCxnSpPr>
      <xdr:spPr bwMode="auto">
        <a:xfrm>
          <a:off x="4210050" y="4812723"/>
          <a:ext cx="1485034"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39</xdr:row>
      <xdr:rowOff>112569</xdr:rowOff>
    </xdr:from>
    <xdr:to>
      <xdr:col>5</xdr:col>
      <xdr:colOff>9525</xdr:colOff>
      <xdr:row>39</xdr:row>
      <xdr:rowOff>112569</xdr:rowOff>
    </xdr:to>
    <xdr:cxnSp macro="">
      <xdr:nvCxnSpPr>
        <xdr:cNvPr id="12" name="AutoShape 197">
          <a:extLst>
            <a:ext uri="{FF2B5EF4-FFF2-40B4-BE49-F238E27FC236}">
              <a16:creationId xmlns:a16="http://schemas.microsoft.com/office/drawing/2014/main" id="{00000000-0008-0000-0300-00000C000000}"/>
            </a:ext>
          </a:extLst>
        </xdr:cNvPr>
        <xdr:cNvCxnSpPr>
          <a:cxnSpLocks noChangeShapeType="1"/>
        </xdr:cNvCxnSpPr>
      </xdr:nvCxnSpPr>
      <xdr:spPr bwMode="auto">
        <a:xfrm>
          <a:off x="4210050" y="7808769"/>
          <a:ext cx="148590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800100</xdr:colOff>
      <xdr:row>18</xdr:row>
      <xdr:rowOff>21359</xdr:rowOff>
    </xdr:from>
    <xdr:to>
      <xdr:col>5</xdr:col>
      <xdr:colOff>2309</xdr:colOff>
      <xdr:row>18</xdr:row>
      <xdr:rowOff>21359</xdr:rowOff>
    </xdr:to>
    <xdr:cxnSp macro="">
      <xdr:nvCxnSpPr>
        <xdr:cNvPr id="15" name="AutoShape 197">
          <a:extLst>
            <a:ext uri="{FF2B5EF4-FFF2-40B4-BE49-F238E27FC236}">
              <a16:creationId xmlns:a16="http://schemas.microsoft.com/office/drawing/2014/main" id="{00000000-0008-0000-0300-00000F000000}"/>
            </a:ext>
          </a:extLst>
        </xdr:cNvPr>
        <xdr:cNvCxnSpPr>
          <a:cxnSpLocks noChangeShapeType="1"/>
        </xdr:cNvCxnSpPr>
      </xdr:nvCxnSpPr>
      <xdr:spPr bwMode="auto">
        <a:xfrm>
          <a:off x="4391025" y="3297959"/>
          <a:ext cx="1583459"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762000</xdr:colOff>
      <xdr:row>24</xdr:row>
      <xdr:rowOff>138545</xdr:rowOff>
    </xdr:from>
    <xdr:to>
      <xdr:col>5</xdr:col>
      <xdr:colOff>0</xdr:colOff>
      <xdr:row>24</xdr:row>
      <xdr:rowOff>138545</xdr:rowOff>
    </xdr:to>
    <xdr:cxnSp macro="">
      <xdr:nvCxnSpPr>
        <xdr:cNvPr id="16" name="AutoShape 197">
          <a:extLst>
            <a:ext uri="{FF2B5EF4-FFF2-40B4-BE49-F238E27FC236}">
              <a16:creationId xmlns:a16="http://schemas.microsoft.com/office/drawing/2014/main" id="{00000000-0008-0000-0300-000010000000}"/>
            </a:ext>
          </a:extLst>
        </xdr:cNvPr>
        <xdr:cNvCxnSpPr>
          <a:cxnSpLocks noChangeShapeType="1"/>
        </xdr:cNvCxnSpPr>
      </xdr:nvCxnSpPr>
      <xdr:spPr bwMode="auto">
        <a:xfrm>
          <a:off x="4199659" y="4320886"/>
          <a:ext cx="2034886"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27</xdr:row>
      <xdr:rowOff>70139</xdr:rowOff>
    </xdr:from>
    <xdr:to>
      <xdr:col>5</xdr:col>
      <xdr:colOff>9525</xdr:colOff>
      <xdr:row>27</xdr:row>
      <xdr:rowOff>70139</xdr:rowOff>
    </xdr:to>
    <xdr:cxnSp macro="">
      <xdr:nvCxnSpPr>
        <xdr:cNvPr id="17" name="AutoShape 197">
          <a:extLst>
            <a:ext uri="{FF2B5EF4-FFF2-40B4-BE49-F238E27FC236}">
              <a16:creationId xmlns:a16="http://schemas.microsoft.com/office/drawing/2014/main" id="{00000000-0008-0000-0300-000011000000}"/>
            </a:ext>
          </a:extLst>
        </xdr:cNvPr>
        <xdr:cNvCxnSpPr>
          <a:cxnSpLocks noChangeShapeType="1"/>
        </xdr:cNvCxnSpPr>
      </xdr:nvCxnSpPr>
      <xdr:spPr bwMode="auto">
        <a:xfrm>
          <a:off x="4208318" y="4979844"/>
          <a:ext cx="1490230"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45</xdr:row>
      <xdr:rowOff>129886</xdr:rowOff>
    </xdr:from>
    <xdr:to>
      <xdr:col>5</xdr:col>
      <xdr:colOff>9525</xdr:colOff>
      <xdr:row>45</xdr:row>
      <xdr:rowOff>129886</xdr:rowOff>
    </xdr:to>
    <xdr:cxnSp macro="">
      <xdr:nvCxnSpPr>
        <xdr:cNvPr id="27" name="AutoShape 191">
          <a:extLst>
            <a:ext uri="{FF2B5EF4-FFF2-40B4-BE49-F238E27FC236}">
              <a16:creationId xmlns:a16="http://schemas.microsoft.com/office/drawing/2014/main" id="{00000000-0008-0000-0300-00001B000000}"/>
            </a:ext>
          </a:extLst>
        </xdr:cNvPr>
        <xdr:cNvCxnSpPr>
          <a:cxnSpLocks noChangeShapeType="1"/>
        </xdr:cNvCxnSpPr>
      </xdr:nvCxnSpPr>
      <xdr:spPr bwMode="auto">
        <a:xfrm>
          <a:off x="4328160" y="9212926"/>
          <a:ext cx="155638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69273</xdr:rowOff>
    </xdr:from>
    <xdr:to>
      <xdr:col>5</xdr:col>
      <xdr:colOff>8659</xdr:colOff>
      <xdr:row>29</xdr:row>
      <xdr:rowOff>69273</xdr:rowOff>
    </xdr:to>
    <xdr:cxnSp macro="">
      <xdr:nvCxnSpPr>
        <xdr:cNvPr id="18" name="AutoShape 197">
          <a:extLst>
            <a:ext uri="{FF2B5EF4-FFF2-40B4-BE49-F238E27FC236}">
              <a16:creationId xmlns:a16="http://schemas.microsoft.com/office/drawing/2014/main" id="{00000000-0008-0000-0300-000012000000}"/>
            </a:ext>
          </a:extLst>
        </xdr:cNvPr>
        <xdr:cNvCxnSpPr>
          <a:cxnSpLocks noChangeShapeType="1"/>
        </xdr:cNvCxnSpPr>
      </xdr:nvCxnSpPr>
      <xdr:spPr bwMode="auto">
        <a:xfrm>
          <a:off x="4329545" y="4786746"/>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29</xdr:row>
      <xdr:rowOff>70139</xdr:rowOff>
    </xdr:from>
    <xdr:to>
      <xdr:col>5</xdr:col>
      <xdr:colOff>9525</xdr:colOff>
      <xdr:row>29</xdr:row>
      <xdr:rowOff>70139</xdr:rowOff>
    </xdr:to>
    <xdr:cxnSp macro="">
      <xdr:nvCxnSpPr>
        <xdr:cNvPr id="19" name="AutoShape 197">
          <a:extLst>
            <a:ext uri="{FF2B5EF4-FFF2-40B4-BE49-F238E27FC236}">
              <a16:creationId xmlns:a16="http://schemas.microsoft.com/office/drawing/2014/main" id="{00000000-0008-0000-0300-000013000000}"/>
            </a:ext>
          </a:extLst>
        </xdr:cNvPr>
        <xdr:cNvCxnSpPr>
          <a:cxnSpLocks noChangeShapeType="1"/>
        </xdr:cNvCxnSpPr>
      </xdr:nvCxnSpPr>
      <xdr:spPr bwMode="auto">
        <a:xfrm>
          <a:off x="4329545" y="4787612"/>
          <a:ext cx="1554307"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782783</xdr:colOff>
      <xdr:row>31</xdr:row>
      <xdr:rowOff>6929</xdr:rowOff>
    </xdr:from>
    <xdr:to>
      <xdr:col>5</xdr:col>
      <xdr:colOff>1733</xdr:colOff>
      <xdr:row>31</xdr:row>
      <xdr:rowOff>6929</xdr:rowOff>
    </xdr:to>
    <xdr:cxnSp macro="">
      <xdr:nvCxnSpPr>
        <xdr:cNvPr id="20" name="AutoShape 197">
          <a:extLst>
            <a:ext uri="{FF2B5EF4-FFF2-40B4-BE49-F238E27FC236}">
              <a16:creationId xmlns:a16="http://schemas.microsoft.com/office/drawing/2014/main" id="{00000000-0008-0000-0300-000014000000}"/>
            </a:ext>
          </a:extLst>
        </xdr:cNvPr>
        <xdr:cNvCxnSpPr>
          <a:cxnSpLocks noChangeShapeType="1"/>
        </xdr:cNvCxnSpPr>
      </xdr:nvCxnSpPr>
      <xdr:spPr bwMode="auto">
        <a:xfrm>
          <a:off x="4322619" y="5437911"/>
          <a:ext cx="1553441"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390525</xdr:colOff>
      <xdr:row>6</xdr:row>
      <xdr:rowOff>38100</xdr:rowOff>
    </xdr:from>
    <xdr:to>
      <xdr:col>13</xdr:col>
      <xdr:colOff>9525</xdr:colOff>
      <xdr:row>7</xdr:row>
      <xdr:rowOff>57150</xdr:rowOff>
    </xdr:to>
    <xdr:cxnSp macro="">
      <xdr:nvCxnSpPr>
        <xdr:cNvPr id="4" name="AutoShape 250">
          <a:extLst>
            <a:ext uri="{FF2B5EF4-FFF2-40B4-BE49-F238E27FC236}">
              <a16:creationId xmlns:a16="http://schemas.microsoft.com/office/drawing/2014/main" id="{00000000-0008-0000-0400-000004000000}"/>
            </a:ext>
          </a:extLst>
        </xdr:cNvPr>
        <xdr:cNvCxnSpPr>
          <a:cxnSpLocks noChangeShapeType="1"/>
        </xdr:cNvCxnSpPr>
      </xdr:nvCxnSpPr>
      <xdr:spPr bwMode="auto">
        <a:xfrm>
          <a:off x="10591800" y="1133475"/>
          <a:ext cx="1943100" cy="209550"/>
        </a:xfrm>
        <a:prstGeom prst="bentConnector3">
          <a:avLst>
            <a:gd name="adj1" fmla="val 80139"/>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400050</xdr:colOff>
      <xdr:row>6</xdr:row>
      <xdr:rowOff>38100</xdr:rowOff>
    </xdr:from>
    <xdr:to>
      <xdr:col>10</xdr:col>
      <xdr:colOff>400050</xdr:colOff>
      <xdr:row>6</xdr:row>
      <xdr:rowOff>180975</xdr:rowOff>
    </xdr:to>
    <xdr:cxnSp macro="">
      <xdr:nvCxnSpPr>
        <xdr:cNvPr id="5" name="AutoShape 191">
          <a:extLst>
            <a:ext uri="{FF2B5EF4-FFF2-40B4-BE49-F238E27FC236}">
              <a16:creationId xmlns:a16="http://schemas.microsoft.com/office/drawing/2014/main" id="{00000000-0008-0000-0400-000005000000}"/>
            </a:ext>
          </a:extLst>
        </xdr:cNvPr>
        <xdr:cNvCxnSpPr>
          <a:cxnSpLocks noChangeShapeType="1"/>
        </xdr:cNvCxnSpPr>
      </xdr:nvCxnSpPr>
      <xdr:spPr bwMode="auto">
        <a:xfrm flipV="1">
          <a:off x="10601325" y="1133475"/>
          <a:ext cx="0" cy="142875"/>
        </a:xfrm>
        <a:prstGeom prst="straightConnector1">
          <a:avLst/>
        </a:prstGeom>
        <a:noFill/>
        <a:ln w="19050">
          <a:solidFill>
            <a:srgbClr val="0070C0"/>
          </a:solidFill>
          <a:round/>
          <a:headEnd/>
          <a:tailEnd/>
        </a:ln>
        <a:extLst>
          <a:ext uri="{909E8E84-426E-40DD-AFC4-6F175D3DCCD1}">
            <a14:hiddenFill xmlns:a14="http://schemas.microsoft.com/office/drawing/2010/main">
              <a:noFill/>
            </a14:hiddenFill>
          </a:ext>
        </a:extLst>
      </xdr:spPr>
    </xdr:cxnSp>
    <xdr:clientData/>
  </xdr:twoCellAnchor>
  <xdr:twoCellAnchor>
    <xdr:from>
      <xdr:col>11</xdr:col>
      <xdr:colOff>28575</xdr:colOff>
      <xdr:row>14</xdr:row>
      <xdr:rowOff>76200</xdr:rowOff>
    </xdr:from>
    <xdr:to>
      <xdr:col>13</xdr:col>
      <xdr:colOff>9525</xdr:colOff>
      <xdr:row>15</xdr:row>
      <xdr:rowOff>85725</xdr:rowOff>
    </xdr:to>
    <xdr:cxnSp macro="">
      <xdr:nvCxnSpPr>
        <xdr:cNvPr id="14" name="AutoShape 250">
          <a:extLst>
            <a:ext uri="{FF2B5EF4-FFF2-40B4-BE49-F238E27FC236}">
              <a16:creationId xmlns:a16="http://schemas.microsoft.com/office/drawing/2014/main" id="{00000000-0008-0000-0400-00000E000000}"/>
            </a:ext>
          </a:extLst>
        </xdr:cNvPr>
        <xdr:cNvCxnSpPr>
          <a:cxnSpLocks noChangeShapeType="1"/>
        </xdr:cNvCxnSpPr>
      </xdr:nvCxnSpPr>
      <xdr:spPr bwMode="auto">
        <a:xfrm>
          <a:off x="10944225" y="2619375"/>
          <a:ext cx="1590675" cy="180975"/>
        </a:xfrm>
        <a:prstGeom prst="bentConnector3">
          <a:avLst>
            <a:gd name="adj1" fmla="val 50000"/>
          </a:avLst>
        </a:prstGeom>
        <a:noFill/>
        <a:ln w="19050">
          <a:solidFill>
            <a:srgbClr val="0070C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14</xdr:row>
      <xdr:rowOff>66675</xdr:rowOff>
    </xdr:from>
    <xdr:to>
      <xdr:col>13</xdr:col>
      <xdr:colOff>9525</xdr:colOff>
      <xdr:row>14</xdr:row>
      <xdr:rowOff>66675</xdr:rowOff>
    </xdr:to>
    <xdr:cxnSp macro="">
      <xdr:nvCxnSpPr>
        <xdr:cNvPr id="16" name="AutoShape 191">
          <a:extLst>
            <a:ext uri="{FF2B5EF4-FFF2-40B4-BE49-F238E27FC236}">
              <a16:creationId xmlns:a16="http://schemas.microsoft.com/office/drawing/2014/main" id="{00000000-0008-0000-0400-000010000000}"/>
            </a:ext>
          </a:extLst>
        </xdr:cNvPr>
        <xdr:cNvCxnSpPr>
          <a:cxnSpLocks noChangeShapeType="1"/>
        </xdr:cNvCxnSpPr>
      </xdr:nvCxnSpPr>
      <xdr:spPr bwMode="auto">
        <a:xfrm>
          <a:off x="11630025" y="2609850"/>
          <a:ext cx="904875" cy="0"/>
        </a:xfrm>
        <a:prstGeom prst="straightConnector1">
          <a:avLst/>
        </a:prstGeom>
        <a:noFill/>
        <a:ln w="19050">
          <a:solidFill>
            <a:srgbClr val="0070C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18</xdr:row>
      <xdr:rowOff>47625</xdr:rowOff>
    </xdr:from>
    <xdr:to>
      <xdr:col>0</xdr:col>
      <xdr:colOff>19050</xdr:colOff>
      <xdr:row>18</xdr:row>
      <xdr:rowOff>167640</xdr:rowOff>
    </xdr:to>
    <xdr:sp macro="" textlink="">
      <xdr:nvSpPr>
        <xdr:cNvPr id="3" name="Text 1">
          <a:extLst>
            <a:ext uri="{FF2B5EF4-FFF2-40B4-BE49-F238E27FC236}">
              <a16:creationId xmlns:a16="http://schemas.microsoft.com/office/drawing/2014/main" id="{00000000-0008-0000-0500-000003000000}"/>
            </a:ext>
          </a:extLst>
        </xdr:cNvPr>
        <xdr:cNvSpPr txBox="1">
          <a:spLocks noChangeArrowheads="1"/>
        </xdr:cNvSpPr>
      </xdr:nvSpPr>
      <xdr:spPr bwMode="auto">
        <a:xfrm>
          <a:off x="19050" y="3248025"/>
          <a:ext cx="0" cy="1809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u="none" strike="noStrike" baseline="0">
              <a:solidFill>
                <a:srgbClr val="000000"/>
              </a:solidFill>
              <a:latin typeface="Arial"/>
              <a:cs typeface="Arial"/>
            </a:rPr>
            <a:t>Gå till avd:</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47625</xdr:rowOff>
    </xdr:from>
    <xdr:to>
      <xdr:col>1</xdr:col>
      <xdr:colOff>0</xdr:colOff>
      <xdr:row>3</xdr:row>
      <xdr:rowOff>27940</xdr:rowOff>
    </xdr:to>
    <xdr:sp macro="" textlink="">
      <xdr:nvSpPr>
        <xdr:cNvPr id="2" name="txtGoTo">
          <a:extLst>
            <a:ext uri="{FF2B5EF4-FFF2-40B4-BE49-F238E27FC236}">
              <a16:creationId xmlns:a16="http://schemas.microsoft.com/office/drawing/2014/main" id="{00000000-0008-0000-0900-000002000000}"/>
            </a:ext>
          </a:extLst>
        </xdr:cNvPr>
        <xdr:cNvSpPr txBox="1">
          <a:spLocks noChangeArrowheads="1"/>
        </xdr:cNvSpPr>
      </xdr:nvSpPr>
      <xdr:spPr bwMode="auto">
        <a:xfrm>
          <a:off x="3429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editAs="oneCell">
    <xdr:from>
      <xdr:col>0</xdr:col>
      <xdr:colOff>38100</xdr:colOff>
      <xdr:row>2</xdr:row>
      <xdr:rowOff>47625</xdr:rowOff>
    </xdr:from>
    <xdr:to>
      <xdr:col>0</xdr:col>
      <xdr:colOff>38100</xdr:colOff>
      <xdr:row>3</xdr:row>
      <xdr:rowOff>27940</xdr:rowOff>
    </xdr:to>
    <xdr:sp macro="" textlink="">
      <xdr:nvSpPr>
        <xdr:cNvPr id="3" name="txtGoTo">
          <a:extLst>
            <a:ext uri="{FF2B5EF4-FFF2-40B4-BE49-F238E27FC236}">
              <a16:creationId xmlns:a16="http://schemas.microsoft.com/office/drawing/2014/main" id="{00000000-0008-0000-0900-000003000000}"/>
            </a:ext>
          </a:extLst>
        </xdr:cNvPr>
        <xdr:cNvSpPr txBox="1">
          <a:spLocks noChangeArrowheads="1"/>
        </xdr:cNvSpPr>
      </xdr:nvSpPr>
      <xdr:spPr bwMode="auto">
        <a:xfrm>
          <a:off x="38100" y="60007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2</xdr:row>
      <xdr:rowOff>47625</xdr:rowOff>
    </xdr:from>
    <xdr:to>
      <xdr:col>0</xdr:col>
      <xdr:colOff>38100</xdr:colOff>
      <xdr:row>3</xdr:row>
      <xdr:rowOff>21590</xdr:rowOff>
    </xdr:to>
    <xdr:sp macro="" textlink="">
      <xdr:nvSpPr>
        <xdr:cNvPr id="2" name="txtGoTo">
          <a:extLst>
            <a:ext uri="{FF2B5EF4-FFF2-40B4-BE49-F238E27FC236}">
              <a16:creationId xmlns:a16="http://schemas.microsoft.com/office/drawing/2014/main" id="{00000000-0008-0000-0A00-000002000000}"/>
            </a:ext>
          </a:extLst>
        </xdr:cNvPr>
        <xdr:cNvSpPr txBox="1">
          <a:spLocks noChangeArrowheads="1"/>
        </xdr:cNvSpPr>
      </xdr:nvSpPr>
      <xdr:spPr bwMode="auto">
        <a:xfrm>
          <a:off x="38100" y="276225"/>
          <a:ext cx="0" cy="142875"/>
        </a:xfrm>
        <a:prstGeom prst="rect">
          <a:avLst/>
        </a:prstGeom>
        <a:noFill/>
        <a:ln w="1">
          <a:noFill/>
          <a:miter lim="800000"/>
          <a:headEnd/>
          <a:tailEnd/>
        </a:ln>
      </xdr:spPr>
      <xdr:txBody>
        <a:bodyPr vertOverflow="clip" wrap="square" lIns="27432" tIns="22860" rIns="0" bIns="0" anchor="t" upright="1"/>
        <a:lstStyle/>
        <a:p>
          <a:pPr algn="l" rtl="0">
            <a:defRPr sz="1000"/>
          </a:pPr>
          <a:r>
            <a:rPr lang="sv-SE" sz="900" b="1" i="0" strike="noStrike">
              <a:solidFill>
                <a:srgbClr val="000000"/>
              </a:solidFill>
              <a:latin typeface="Arial"/>
              <a:cs typeface="Arial"/>
            </a:rPr>
            <a:t>Gå till avd:</a:t>
          </a:r>
        </a:p>
      </xdr:txBody>
    </xdr:sp>
    <xdr:clientData fPrintsWithSheet="0"/>
  </xdr:twoCellAnchor>
  <xdr:twoCellAnchor>
    <xdr:from>
      <xdr:col>19</xdr:col>
      <xdr:colOff>0</xdr:colOff>
      <xdr:row>65535</xdr:row>
      <xdr:rowOff>0</xdr:rowOff>
    </xdr:from>
    <xdr:to>
      <xdr:col>19</xdr:col>
      <xdr:colOff>0</xdr:colOff>
      <xdr:row>65535</xdr:row>
      <xdr:rowOff>0</xdr:rowOff>
    </xdr:to>
    <xdr:sp macro="" textlink="">
      <xdr:nvSpPr>
        <xdr:cNvPr id="172907" name="Entreprenad">
          <a:extLst>
            <a:ext uri="{FF2B5EF4-FFF2-40B4-BE49-F238E27FC236}">
              <a16:creationId xmlns:a16="http://schemas.microsoft.com/office/drawing/2014/main" id="{00000000-0008-0000-0A00-00006B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twoCellAnchor>
    <xdr:from>
      <xdr:col>19</xdr:col>
      <xdr:colOff>0</xdr:colOff>
      <xdr:row>65535</xdr:row>
      <xdr:rowOff>0</xdr:rowOff>
    </xdr:from>
    <xdr:to>
      <xdr:col>19</xdr:col>
      <xdr:colOff>0</xdr:colOff>
      <xdr:row>65535</xdr:row>
      <xdr:rowOff>0</xdr:rowOff>
    </xdr:to>
    <xdr:sp macro="" textlink="">
      <xdr:nvSpPr>
        <xdr:cNvPr id="172908" name="Entreprenad">
          <a:extLst>
            <a:ext uri="{FF2B5EF4-FFF2-40B4-BE49-F238E27FC236}">
              <a16:creationId xmlns:a16="http://schemas.microsoft.com/office/drawing/2014/main" id="{00000000-0008-0000-0A00-00006CA30200}"/>
            </a:ext>
          </a:extLst>
        </xdr:cNvPr>
        <xdr:cNvSpPr txBox="1">
          <a:spLocks noChangeArrowheads="1"/>
        </xdr:cNvSpPr>
      </xdr:nvSpPr>
      <xdr:spPr bwMode="auto">
        <a:xfrm>
          <a:off x="14478000" y="7000875"/>
          <a:ext cx="0" cy="0"/>
        </a:xfrm>
        <a:prstGeom prst="rect">
          <a:avLst/>
        </a:prstGeom>
        <a:solidFill>
          <a:srgbClr val="FFFFFF"/>
        </a:solidFill>
        <a:ln w="9525">
          <a:solidFill>
            <a:srgbClr val="C0C0C0"/>
          </a:solid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BCBCBC"/>
          </a:solidFill>
          <a:miter lim="800000"/>
          <a:headEnd/>
          <a:tailEnd/>
        </a:ln>
      </a:spPr>
      <a:bodyPr/>
      <a:lstStyle>
        <a:defPPr>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comments" Target="../comments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vmlDrawing" Target="../drawings/vmlDrawing7.vml"/><Relationship Id="rId5" Type="http://schemas.openxmlformats.org/officeDocument/2006/relationships/drawing" Target="../drawings/drawing6.xml"/><Relationship Id="rId4" Type="http://schemas.openxmlformats.org/officeDocument/2006/relationships/printerSettings" Target="../printerSettings/printerSettings3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drawing" Target="../drawings/drawing7.xml"/><Relationship Id="rId4"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drawing" Target="../drawings/drawing5.xml"/><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FFFF00"/>
    <pageSetUpPr fitToPage="1"/>
  </sheetPr>
  <dimension ref="A1:E50"/>
  <sheetViews>
    <sheetView tabSelected="1" zoomScaleNormal="100" workbookViewId="0">
      <selection sqref="A1:D1"/>
    </sheetView>
  </sheetViews>
  <sheetFormatPr defaultColWidth="0" defaultRowHeight="12.75" zeroHeight="1"/>
  <cols>
    <col min="1" max="1" width="22.5703125" style="388" customWidth="1"/>
    <col min="2" max="2" width="26.5703125" style="388" customWidth="1"/>
    <col min="3" max="3" width="20.5703125" style="388" customWidth="1"/>
    <col min="4" max="4" width="26.5703125" style="388" customWidth="1"/>
    <col min="5" max="5" width="12.42578125" style="387" customWidth="1"/>
  </cols>
  <sheetData>
    <row r="1" spans="1:5" s="389" customFormat="1">
      <c r="A1" s="2509"/>
      <c r="B1" s="2510"/>
      <c r="C1" s="2510"/>
      <c r="D1" s="2510"/>
      <c r="E1" s="2096"/>
    </row>
    <row r="2" spans="1:5" s="388" customFormat="1" ht="15.75">
      <c r="A2" s="2097" t="s">
        <v>1242</v>
      </c>
      <c r="B2" s="2098"/>
      <c r="C2" s="2099"/>
      <c r="D2" s="2099"/>
      <c r="E2" s="2100"/>
    </row>
    <row r="3" spans="1:5" s="388" customFormat="1" ht="15.75">
      <c r="A3" s="2101"/>
      <c r="B3" s="2102"/>
      <c r="C3" s="2099"/>
      <c r="D3" s="2099"/>
      <c r="E3" s="2100"/>
    </row>
    <row r="4" spans="1:5" s="388" customFormat="1" ht="15.75">
      <c r="A4" s="1814" t="str">
        <f>"Invånare 31 dec. "&amp;År&amp;""</f>
        <v>Invånare 31 dec. 2024</v>
      </c>
      <c r="B4" s="2103">
        <v>10587.71</v>
      </c>
      <c r="C4" s="2104">
        <v>10587710</v>
      </c>
      <c r="D4" s="2099"/>
      <c r="E4" s="2100"/>
    </row>
    <row r="5" spans="1:5" s="388" customFormat="1" ht="19.5" customHeight="1">
      <c r="A5" s="1814" t="str">
        <f>"Inv. 7-15 år 31 dec. "&amp;År&amp;""</f>
        <v>Inv. 7-15 år 31 dec. 2024</v>
      </c>
      <c r="B5" s="2103">
        <v>1127.415</v>
      </c>
      <c r="C5" s="2104">
        <v>1127415</v>
      </c>
      <c r="D5" s="2099"/>
      <c r="E5" s="2100"/>
    </row>
    <row r="6" spans="1:5" s="388" customFormat="1">
      <c r="A6" s="2105"/>
      <c r="B6" s="2105"/>
      <c r="C6" s="2105"/>
      <c r="D6" s="2105"/>
      <c r="E6" s="2105"/>
    </row>
    <row r="7" spans="1:5" s="388" customFormat="1">
      <c r="A7" s="2105"/>
      <c r="B7" s="2105"/>
      <c r="C7" s="2105"/>
      <c r="D7" s="2105"/>
      <c r="E7" s="2105"/>
    </row>
    <row r="8" spans="1:5" s="388" customFormat="1" ht="22.5" customHeight="1">
      <c r="A8" s="2105"/>
      <c r="B8" s="2105"/>
      <c r="C8" s="2105"/>
      <c r="D8" s="2105"/>
      <c r="E8" s="2105"/>
    </row>
    <row r="9" spans="1:5" s="388" customFormat="1" ht="12.75" customHeight="1">
      <c r="A9" s="2105"/>
      <c r="B9" s="2105"/>
      <c r="C9" s="2105"/>
      <c r="D9" s="2105"/>
      <c r="E9" s="2105"/>
    </row>
    <row r="10" spans="1:5" s="388" customFormat="1">
      <c r="A10" s="2105"/>
      <c r="B10" s="2105"/>
      <c r="C10" s="2105"/>
      <c r="D10" s="2105"/>
      <c r="E10" s="2105"/>
    </row>
    <row r="11" spans="1:5" s="388" customFormat="1">
      <c r="A11" s="2105"/>
      <c r="B11" s="2105"/>
      <c r="C11" s="2105"/>
      <c r="D11" s="2105"/>
      <c r="E11" s="2105"/>
    </row>
    <row r="12" spans="1:5" s="388" customFormat="1" ht="33">
      <c r="A12" s="2106" t="s">
        <v>1243</v>
      </c>
      <c r="B12" s="2105"/>
      <c r="C12" s="2105"/>
      <c r="D12" s="2105"/>
      <c r="E12" s="2105"/>
    </row>
    <row r="13" spans="1:5" s="388" customFormat="1">
      <c r="A13" s="2105"/>
      <c r="B13" s="2105"/>
      <c r="C13" s="2105"/>
      <c r="D13" s="2105"/>
      <c r="E13" s="2105"/>
    </row>
    <row r="14" spans="1:5" s="388" customFormat="1" ht="33">
      <c r="A14" s="2106" t="s">
        <v>1244</v>
      </c>
      <c r="B14" s="2105"/>
      <c r="C14" s="2105"/>
      <c r="D14" s="2105"/>
      <c r="E14" s="2105"/>
    </row>
    <row r="15" spans="1:5" s="388" customFormat="1">
      <c r="A15" s="2105"/>
      <c r="B15" s="2105"/>
      <c r="C15" s="2105"/>
      <c r="D15" s="2105"/>
      <c r="E15" s="2105"/>
    </row>
    <row r="16" spans="1:5" s="388" customFormat="1">
      <c r="A16" s="2105"/>
      <c r="B16" s="2105"/>
      <c r="C16" s="2105"/>
      <c r="D16" s="2105"/>
      <c r="E16" s="2105"/>
    </row>
    <row r="17" spans="1:5" s="388" customFormat="1">
      <c r="A17" s="2105"/>
      <c r="B17" s="2105"/>
      <c r="C17" s="2105"/>
      <c r="D17" s="2105"/>
      <c r="E17" s="2105"/>
    </row>
    <row r="18" spans="1:5" s="388" customFormat="1" ht="13.35" customHeight="1">
      <c r="A18" s="2105"/>
      <c r="B18" s="2105"/>
      <c r="C18" s="2105"/>
      <c r="D18" s="2105"/>
      <c r="E18" s="2105"/>
    </row>
    <row r="19" spans="1:5" s="388" customFormat="1">
      <c r="A19" s="2105"/>
      <c r="B19" s="2105"/>
      <c r="C19" s="2105"/>
      <c r="D19" s="2105"/>
      <c r="E19" s="2105"/>
    </row>
    <row r="20" spans="1:5" s="388" customFormat="1">
      <c r="A20" s="2105"/>
      <c r="B20" s="2105"/>
      <c r="C20" s="2105"/>
      <c r="D20" s="2105"/>
      <c r="E20" s="2105"/>
    </row>
    <row r="21" spans="1:5" s="388" customFormat="1">
      <c r="A21" s="2105"/>
      <c r="B21" s="2105"/>
      <c r="C21" s="2105"/>
      <c r="D21" s="2105"/>
      <c r="E21" s="2105"/>
    </row>
    <row r="22" spans="1:5" s="388" customFormat="1">
      <c r="A22" s="2105"/>
      <c r="B22" s="2105"/>
      <c r="C22" s="2105"/>
      <c r="D22" s="2105"/>
      <c r="E22" s="2105"/>
    </row>
    <row r="23" spans="1:5" s="388" customFormat="1">
      <c r="A23" s="2105"/>
      <c r="B23" s="2105"/>
      <c r="C23" s="2105"/>
      <c r="D23" s="2105"/>
      <c r="E23" s="2105"/>
    </row>
    <row r="24" spans="1:5" s="388" customFormat="1">
      <c r="A24" s="2105"/>
      <c r="B24" s="2105"/>
      <c r="C24" s="2105"/>
      <c r="D24" s="2105"/>
      <c r="E24" s="2105"/>
    </row>
    <row r="25" spans="1:5" s="388" customFormat="1">
      <c r="A25" s="2105"/>
      <c r="B25" s="2105"/>
      <c r="C25" s="2105"/>
      <c r="D25" s="2105"/>
      <c r="E25" s="2105"/>
    </row>
    <row r="26" spans="1:5" s="388" customFormat="1">
      <c r="A26" s="2105"/>
      <c r="B26" s="2105"/>
      <c r="C26" s="2105"/>
      <c r="D26" s="2105"/>
      <c r="E26" s="2105"/>
    </row>
    <row r="27" spans="1:5" s="388" customFormat="1">
      <c r="A27" s="2105"/>
      <c r="B27" s="2105"/>
      <c r="C27" s="2105"/>
      <c r="D27" s="2105"/>
      <c r="E27" s="2105"/>
    </row>
    <row r="28" spans="1:5" s="388" customFormat="1">
      <c r="A28" s="2105"/>
      <c r="B28" s="2105"/>
      <c r="C28" s="2105"/>
      <c r="D28" s="2105"/>
      <c r="E28" s="2105"/>
    </row>
    <row r="29" spans="1:5" s="388" customFormat="1">
      <c r="A29" s="2105"/>
      <c r="B29" s="2105"/>
      <c r="C29" s="2105"/>
      <c r="D29" s="2105"/>
      <c r="E29" s="2105"/>
    </row>
    <row r="30" spans="1:5" s="388" customFormat="1">
      <c r="A30" s="2105"/>
      <c r="B30" s="2105"/>
      <c r="C30" s="2105"/>
      <c r="D30" s="2105"/>
      <c r="E30" s="2105"/>
    </row>
    <row r="31" spans="1:5" s="388" customFormat="1">
      <c r="A31" s="2105"/>
      <c r="B31" s="2105"/>
      <c r="C31" s="2105"/>
      <c r="D31" s="2105"/>
      <c r="E31" s="2105"/>
    </row>
    <row r="32" spans="1:5" s="388" customFormat="1">
      <c r="A32" s="2105"/>
      <c r="B32" s="2105"/>
      <c r="C32" s="2105"/>
      <c r="D32" s="2105"/>
      <c r="E32" s="2105"/>
    </row>
    <row r="33" spans="1:5" s="388" customFormat="1">
      <c r="A33" s="2105"/>
      <c r="B33" s="2105"/>
      <c r="C33" s="2105"/>
      <c r="D33" s="2105"/>
      <c r="E33" s="2105"/>
    </row>
    <row r="34" spans="1:5" s="388" customFormat="1">
      <c r="A34" s="2105"/>
      <c r="B34" s="2105"/>
      <c r="C34" s="2105"/>
      <c r="D34" s="2105"/>
      <c r="E34" s="2105"/>
    </row>
    <row r="35" spans="1:5" s="388" customFormat="1">
      <c r="A35" s="2105"/>
      <c r="B35" s="2105"/>
      <c r="C35" s="2105"/>
      <c r="D35" s="2105"/>
      <c r="E35" s="2105"/>
    </row>
    <row r="36" spans="1:5" s="388" customFormat="1">
      <c r="A36" s="2105"/>
      <c r="B36" s="2105"/>
      <c r="C36" s="2105"/>
      <c r="D36" s="2105"/>
      <c r="E36" s="2105"/>
    </row>
    <row r="37" spans="1:5" s="388" customFormat="1">
      <c r="A37" s="2105"/>
      <c r="B37" s="2105"/>
      <c r="C37" s="2105"/>
      <c r="D37" s="2105"/>
      <c r="E37" s="2105"/>
    </row>
    <row r="38" spans="1:5" s="388" customFormat="1">
      <c r="A38" s="2105"/>
      <c r="B38" s="2105"/>
      <c r="C38" s="2105"/>
      <c r="D38" s="2105"/>
      <c r="E38" s="2105"/>
    </row>
    <row r="39" spans="1:5" s="388" customFormat="1">
      <c r="A39" s="2105"/>
      <c r="B39" s="2105"/>
      <c r="C39" s="2105"/>
      <c r="D39" s="2105"/>
      <c r="E39" s="2105"/>
    </row>
    <row r="40" spans="1:5" s="388" customFormat="1">
      <c r="A40" s="2105"/>
      <c r="B40" s="2105"/>
      <c r="C40" s="2105"/>
      <c r="D40" s="2105"/>
      <c r="E40" s="2105"/>
    </row>
    <row r="41" spans="1:5" s="388" customFormat="1">
      <c r="A41" s="2105"/>
      <c r="B41" s="2105"/>
      <c r="C41" s="2105"/>
      <c r="D41" s="2105"/>
      <c r="E41" s="2105"/>
    </row>
    <row r="42" spans="1:5" s="388" customFormat="1">
      <c r="A42" s="2105"/>
      <c r="B42" s="2105"/>
      <c r="C42" s="2105"/>
      <c r="D42" s="2105"/>
      <c r="E42" s="2105"/>
    </row>
    <row r="43" spans="1:5" s="388" customFormat="1">
      <c r="A43" s="2105"/>
      <c r="B43" s="2105"/>
      <c r="C43" s="2105"/>
      <c r="D43" s="2105"/>
      <c r="E43" s="2105"/>
    </row>
    <row r="44" spans="1:5" s="388" customFormat="1">
      <c r="A44" s="2105"/>
      <c r="B44" s="2105"/>
      <c r="C44" s="2105"/>
      <c r="D44" s="2105"/>
      <c r="E44" s="2105"/>
    </row>
    <row r="45" spans="1:5" s="388" customFormat="1">
      <c r="A45" s="2105"/>
      <c r="B45" s="2105"/>
      <c r="C45" s="2105"/>
      <c r="D45" s="2105"/>
      <c r="E45" s="2105"/>
    </row>
    <row r="46" spans="1:5" s="388" customFormat="1">
      <c r="A46" s="2105"/>
      <c r="B46" s="2105"/>
      <c r="C46" s="2105"/>
      <c r="D46" s="2105"/>
      <c r="E46" s="2105"/>
    </row>
    <row r="47" spans="1:5" s="388" customFormat="1">
      <c r="A47" s="2105"/>
      <c r="B47" s="2105"/>
      <c r="C47" s="2105"/>
      <c r="D47" s="2105"/>
      <c r="E47" s="2105"/>
    </row>
    <row r="48" spans="1:5" s="388" customFormat="1">
      <c r="A48" s="2105"/>
      <c r="B48" s="2105"/>
      <c r="C48" s="2105"/>
      <c r="D48" s="2105"/>
      <c r="E48" s="2105"/>
    </row>
    <row r="49" spans="1:5" s="388" customFormat="1">
      <c r="A49" s="2107"/>
      <c r="B49" s="2100"/>
      <c r="C49" s="2100"/>
      <c r="D49" s="2100"/>
      <c r="E49" s="2100"/>
    </row>
    <row r="50" spans="1:5" s="291" customFormat="1" ht="54.75" customHeight="1">
      <c r="A50" s="2108" t="s">
        <v>1247</v>
      </c>
      <c r="B50" s="2109"/>
      <c r="C50" s="2109"/>
      <c r="D50" s="2109"/>
      <c r="E50" s="2109"/>
    </row>
  </sheetData>
  <sheetProtection algorithmName="SHA-512" hashValue="7koRXaBgiB/fKrankzmLg34xlMENosiHJLxG1UAzyly84sY33w2AzRXIlzIj7jSdUlpro1eU/Ei69yaDTR4QkA==" saltValue="gmVRdPKMO0Ebtn21qzbDbg==" spinCount="100000" sheet="1" objects="1" scenarios="1"/>
  <customSheetViews>
    <customSheetView guid="{97D6DB71-3F4C-4C5F-8C5B-51E3EBF78932}" showPageBreaks="1" fitToPage="1" hiddenRows="1" hiddenColumns="1">
      <selection activeCell="B4" sqref="B4"/>
      <pageMargins left="0.70866141732283472" right="0.70866141732283472" top="0.74803149606299213" bottom="0.74803149606299213" header="0.31496062992125984" footer="0.31496062992125984"/>
      <pageSetup paperSize="9" scale="71" orientation="portrait" r:id="rId1"/>
    </customSheetView>
    <customSheetView guid="{99FBDEB7-DD08-4F57-81F4-3C180403E153}" fitToPage="1" hiddenRows="1" hiddenColumns="1">
      <selection activeCell="B4" sqref="B4"/>
      <pageMargins left="0.70866141732283472" right="0.70866141732283472" top="0.74803149606299213" bottom="0.74803149606299213" header="0.31496062992125984" footer="0.31496062992125984"/>
      <pageSetup paperSize="9" scale="65" orientation="portrait" r:id="rId2"/>
    </customSheetView>
    <customSheetView guid="{27C9E95B-0E2B-454F-B637-1CECC9579A10}" fitToPage="1" hiddenRows="1" hiddenColumns="1" showRuler="0">
      <selection activeCell="D3" sqref="D3"/>
      <pageMargins left="0.70866141732283472" right="0.70866141732283472" top="0.74803149606299213" bottom="0.74803149606299213" header="0.31496062992125984" footer="0.31496062992125984"/>
      <pageSetup paperSize="9" scale="65" orientation="portrait" r:id="rId3"/>
      <headerFooter alignWithMargins="0"/>
    </customSheetView>
  </customSheetViews>
  <mergeCells count="1">
    <mergeCell ref="A1:D1"/>
  </mergeCells>
  <phoneticPr fontId="89" type="noConversion"/>
  <pageMargins left="0.70866141732283472" right="0.48" top="0.74803149606299213" bottom="0.74803149606299213" header="0.31496062992125984" footer="0.31496062992125984"/>
  <pageSetup paperSize="9" scale="84" orientation="portrait"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2">
    <tabColor rgb="FFFFFF00"/>
  </sheetPr>
  <dimension ref="A1:W62"/>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C12" sqref="C12"/>
    </sheetView>
  </sheetViews>
  <sheetFormatPr defaultColWidth="0" defaultRowHeight="0" customHeight="1" zeroHeight="1"/>
  <cols>
    <col min="1" max="1" width="5.42578125" style="257" customWidth="1"/>
    <col min="2" max="2" width="32.5703125" style="260" customWidth="1"/>
    <col min="3" max="3" width="11.42578125" style="263" customWidth="1"/>
    <col min="4" max="4" width="9.42578125" style="263" customWidth="1"/>
    <col min="5" max="7" width="8.5703125" style="263" customWidth="1"/>
    <col min="8" max="8" width="10" style="263" customWidth="1"/>
    <col min="9" max="9" width="9.5703125" style="263" customWidth="1"/>
    <col min="10" max="10" width="10" style="263" customWidth="1"/>
    <col min="11" max="11" width="9.5703125" style="263" customWidth="1"/>
    <col min="12" max="14" width="10.42578125" style="263" customWidth="1"/>
    <col min="15" max="15" width="8" style="261" customWidth="1"/>
    <col min="16" max="16" width="2.5703125" style="257" customWidth="1"/>
    <col min="17" max="17" width="7" style="262" customWidth="1"/>
    <col min="18" max="18" width="18.5703125" style="257" customWidth="1"/>
    <col min="19" max="19" width="4.42578125" style="257" customWidth="1"/>
    <col min="20" max="20" width="14.5703125" style="257" customWidth="1"/>
    <col min="21" max="21" width="9.42578125" style="257" customWidth="1"/>
    <col min="22" max="22" width="9.42578125" style="256" customWidth="1"/>
    <col min="23" max="16384" width="0" style="256" hidden="1"/>
  </cols>
  <sheetData>
    <row r="1" spans="1:23" ht="21.75">
      <c r="A1" s="126" t="str">
        <f>"Specificering vård och omsorg om äldre och personer med funktionsnedsättning "&amp;År&amp;", miljoner kronor"</f>
        <v>Specificering vård och omsorg om äldre och personer med funktionsnedsättning 2024, miljoner kronor</v>
      </c>
      <c r="B1" s="127"/>
      <c r="C1" s="127"/>
      <c r="D1" s="254"/>
      <c r="E1" s="254"/>
      <c r="F1" s="254"/>
      <c r="G1" s="254"/>
      <c r="H1" s="254"/>
      <c r="I1" s="254"/>
      <c r="J1" s="254"/>
      <c r="K1" s="254"/>
      <c r="L1" s="254"/>
      <c r="M1" s="254"/>
      <c r="N1" s="254"/>
      <c r="O1" s="482" t="s">
        <v>446</v>
      </c>
      <c r="P1" s="483" t="str">
        <f>Information!A2</f>
        <v>RIKSTOTAL</v>
      </c>
      <c r="Q1" s="255"/>
      <c r="R1" s="254"/>
      <c r="S1" s="254"/>
      <c r="T1" s="254"/>
      <c r="U1" s="254"/>
    </row>
    <row r="2" spans="1:23" ht="12.75">
      <c r="A2" s="2110"/>
      <c r="B2" s="2110"/>
      <c r="C2" s="2110"/>
      <c r="D2" s="2110"/>
      <c r="E2" s="2110"/>
      <c r="F2" s="2110"/>
      <c r="G2" s="2110"/>
      <c r="H2" s="2110"/>
      <c r="I2" s="2110"/>
      <c r="J2" s="2110"/>
      <c r="K2" s="2110"/>
      <c r="L2" s="2110"/>
      <c r="M2" s="2110"/>
      <c r="N2" s="2110"/>
      <c r="O2" s="2110"/>
      <c r="P2" s="2110"/>
      <c r="Q2" s="2110"/>
      <c r="R2" s="2110"/>
      <c r="S2" s="2110"/>
      <c r="T2" s="2110"/>
      <c r="U2" s="2110"/>
      <c r="V2" s="2110"/>
    </row>
    <row r="3" spans="1:23" ht="12.6" customHeight="1" thickBot="1">
      <c r="A3" s="2110"/>
      <c r="B3" s="2110"/>
      <c r="C3" s="2110"/>
      <c r="D3" s="2110"/>
      <c r="E3" s="2110"/>
      <c r="F3" s="2110"/>
      <c r="G3" s="2110"/>
      <c r="H3" s="2110"/>
      <c r="I3" s="2110"/>
      <c r="J3" s="2110"/>
      <c r="K3" s="2110"/>
      <c r="L3" s="2110"/>
      <c r="M3" s="2110"/>
      <c r="N3" s="2110"/>
      <c r="O3" s="2110"/>
      <c r="P3" s="2110"/>
      <c r="Q3" s="2110"/>
      <c r="R3" s="2110"/>
      <c r="S3" s="2110"/>
      <c r="T3" s="2110"/>
      <c r="U3" s="2110"/>
      <c r="V3" s="2110"/>
    </row>
    <row r="4" spans="1:23" ht="12.75">
      <c r="A4" s="1042" t="s">
        <v>603</v>
      </c>
      <c r="B4" s="1043" t="s">
        <v>13</v>
      </c>
      <c r="C4" s="1423" t="s">
        <v>897</v>
      </c>
      <c r="D4" s="1423"/>
      <c r="E4" s="1633"/>
      <c r="F4" s="1257" t="s">
        <v>37</v>
      </c>
      <c r="G4" s="1045"/>
      <c r="H4" s="1045"/>
      <c r="I4" s="1044"/>
      <c r="J4" s="1259" t="s">
        <v>38</v>
      </c>
      <c r="K4" s="1258" t="s">
        <v>895</v>
      </c>
      <c r="L4" s="1796" t="s">
        <v>964</v>
      </c>
      <c r="M4" s="1479" t="s">
        <v>904</v>
      </c>
      <c r="N4" s="1476"/>
      <c r="O4" s="2624" t="str">
        <f>"Förändring kostnader för eget åtagande "&amp;År-1&amp;"-"&amp;År&amp;" procent"</f>
        <v>Förändring kostnader för eget åtagande 2023-2024 procent</v>
      </c>
      <c r="P4" s="2110"/>
      <c r="Q4" s="2391"/>
      <c r="R4" s="2409"/>
      <c r="S4" s="2110"/>
      <c r="T4" s="2110"/>
      <c r="U4" s="2110"/>
      <c r="V4" s="2110"/>
      <c r="W4" s="257"/>
    </row>
    <row r="5" spans="1:23" ht="17.100000000000001" customHeight="1">
      <c r="A5" s="1046" t="s">
        <v>605</v>
      </c>
      <c r="B5" s="1047"/>
      <c r="C5" s="1214" t="s">
        <v>41</v>
      </c>
      <c r="D5" s="1214"/>
      <c r="E5" s="1627"/>
      <c r="F5" s="1048"/>
      <c r="G5" s="2430"/>
      <c r="H5" s="1049"/>
      <c r="I5" s="1050"/>
      <c r="J5" s="1260" t="s">
        <v>40</v>
      </c>
      <c r="K5" s="1494" t="s">
        <v>910</v>
      </c>
      <c r="L5" s="1797" t="s">
        <v>42</v>
      </c>
      <c r="M5" s="1478" t="s">
        <v>903</v>
      </c>
      <c r="N5" s="1477"/>
      <c r="O5" s="2625"/>
      <c r="P5" s="2110"/>
      <c r="Q5" s="2392"/>
      <c r="R5" s="2410"/>
      <c r="S5" s="2110"/>
      <c r="T5" s="2110"/>
      <c r="U5" s="2110"/>
      <c r="V5" s="2110"/>
      <c r="W5" s="257"/>
    </row>
    <row r="6" spans="1:23" ht="30.95" customHeight="1">
      <c r="A6" s="1053"/>
      <c r="B6" s="1054"/>
      <c r="C6" s="1453"/>
      <c r="D6" s="2650" t="s">
        <v>963</v>
      </c>
      <c r="E6" s="2650" t="s">
        <v>991</v>
      </c>
      <c r="F6" s="2641" t="s">
        <v>663</v>
      </c>
      <c r="G6" s="2643" t="s">
        <v>788</v>
      </c>
      <c r="H6" s="2645" t="s">
        <v>456</v>
      </c>
      <c r="I6" s="2652" t="s">
        <v>1025</v>
      </c>
      <c r="J6" s="1627"/>
      <c r="K6" s="1493" t="s">
        <v>909</v>
      </c>
      <c r="L6" s="1634"/>
      <c r="M6" s="1752"/>
      <c r="N6" s="1490"/>
      <c r="O6" s="2625"/>
      <c r="P6" s="2110"/>
      <c r="Q6" s="2626" t="str">
        <f>"Nämnare nyckeltal"</f>
        <v>Nämnare nyckeltal</v>
      </c>
      <c r="R6" s="2627"/>
      <c r="S6" s="2110"/>
      <c r="T6" s="2110"/>
      <c r="U6" s="2110"/>
      <c r="V6" s="2110"/>
      <c r="W6" s="257"/>
    </row>
    <row r="7" spans="1:23" ht="21" customHeight="1">
      <c r="A7" s="1056"/>
      <c r="B7" s="1054"/>
      <c r="C7" s="1214"/>
      <c r="D7" s="2654"/>
      <c r="E7" s="2651"/>
      <c r="F7" s="2642"/>
      <c r="G7" s="2644"/>
      <c r="H7" s="2646"/>
      <c r="I7" s="2653"/>
      <c r="J7" s="1627"/>
      <c r="K7" s="1482" t="s">
        <v>905</v>
      </c>
      <c r="L7" s="1639" t="s">
        <v>901</v>
      </c>
      <c r="M7" s="1640" t="s">
        <v>908</v>
      </c>
      <c r="N7" s="1489" t="s">
        <v>908</v>
      </c>
      <c r="O7" s="2380"/>
      <c r="P7" s="2110"/>
      <c r="Q7" s="2628"/>
      <c r="R7" s="2627"/>
      <c r="S7" s="2110"/>
      <c r="T7" s="2110"/>
      <c r="U7" s="2110"/>
      <c r="V7" s="2110"/>
      <c r="W7" s="257"/>
    </row>
    <row r="8" spans="1:23" ht="11.25" customHeight="1">
      <c r="A8" s="1056"/>
      <c r="B8" s="1057"/>
      <c r="C8" s="1051"/>
      <c r="D8" s="1627"/>
      <c r="E8" s="1452"/>
      <c r="F8" s="1055"/>
      <c r="G8" s="1780"/>
      <c r="H8" s="1780"/>
      <c r="I8" s="1263"/>
      <c r="J8" s="1627"/>
      <c r="K8" s="1213" t="s">
        <v>1026</v>
      </c>
      <c r="L8" s="1641"/>
      <c r="M8" s="1642">
        <f>År</f>
        <v>2024</v>
      </c>
      <c r="N8" s="1481">
        <f>År-1</f>
        <v>2023</v>
      </c>
      <c r="O8" s="2381"/>
      <c r="P8" s="2110"/>
      <c r="Q8" s="2393"/>
      <c r="R8" s="2411"/>
      <c r="S8" s="2110"/>
      <c r="T8" s="2110"/>
      <c r="U8" s="2110"/>
      <c r="V8" s="2110"/>
      <c r="W8" s="257"/>
    </row>
    <row r="9" spans="1:23" ht="20.25" customHeight="1">
      <c r="A9" s="1056"/>
      <c r="B9" s="1054"/>
      <c r="C9" s="1051"/>
      <c r="D9" s="2655" t="s">
        <v>1047</v>
      </c>
      <c r="E9" s="1465" t="s">
        <v>767</v>
      </c>
      <c r="F9" s="1464" t="s">
        <v>797</v>
      </c>
      <c r="G9" s="1463" t="s">
        <v>45</v>
      </c>
      <c r="H9" s="2647" t="s">
        <v>787</v>
      </c>
      <c r="I9" s="1964" t="s">
        <v>1028</v>
      </c>
      <c r="J9" s="1052"/>
      <c r="K9" s="1872" t="s">
        <v>1027</v>
      </c>
      <c r="L9" s="1781"/>
      <c r="M9" s="1643"/>
      <c r="N9" s="1480"/>
      <c r="O9" s="2381"/>
      <c r="P9" s="2110"/>
      <c r="Q9" s="2394"/>
      <c r="R9" s="2412"/>
      <c r="S9" s="2110"/>
      <c r="T9" s="2110"/>
      <c r="U9" s="2110"/>
      <c r="V9" s="2110"/>
      <c r="W9" s="257"/>
    </row>
    <row r="10" spans="1:23" ht="12.75" customHeight="1">
      <c r="A10" s="1056"/>
      <c r="B10" s="1060"/>
      <c r="C10" s="1051"/>
      <c r="D10" s="2656"/>
      <c r="E10" s="1452"/>
      <c r="F10" s="1273"/>
      <c r="G10" s="1466"/>
      <c r="H10" s="2648"/>
      <c r="I10" s="1455"/>
      <c r="J10" s="1052"/>
      <c r="K10" s="1213" t="s">
        <v>1023</v>
      </c>
      <c r="L10" s="1635"/>
      <c r="M10" s="1491"/>
      <c r="N10" s="1492"/>
      <c r="O10" s="2382"/>
      <c r="P10" s="2110"/>
      <c r="Q10" s="2395"/>
      <c r="R10" s="2413"/>
      <c r="S10" s="2110"/>
      <c r="T10" s="2110"/>
      <c r="U10" s="2110"/>
      <c r="V10" s="2110"/>
      <c r="W10" s="257"/>
    </row>
    <row r="11" spans="1:23" ht="12.75">
      <c r="A11" s="1061"/>
      <c r="B11" s="1274"/>
      <c r="C11" s="1062"/>
      <c r="D11" s="1628"/>
      <c r="E11" s="1454"/>
      <c r="F11" s="1273"/>
      <c r="G11" s="1467"/>
      <c r="H11" s="2649"/>
      <c r="I11" s="1456"/>
      <c r="J11" s="1063"/>
      <c r="K11" s="1889" t="s">
        <v>1024</v>
      </c>
      <c r="L11" s="1636"/>
      <c r="M11" s="1631"/>
      <c r="N11" s="1632"/>
      <c r="O11" s="2383"/>
      <c r="P11" s="2110"/>
      <c r="Q11" s="2396"/>
      <c r="R11" s="2383"/>
      <c r="S11" s="2110"/>
      <c r="T11" s="2110"/>
      <c r="U11" s="2110"/>
      <c r="V11" s="2110"/>
      <c r="W11" s="257"/>
    </row>
    <row r="12" spans="1:23" ht="12.75">
      <c r="A12" s="1064">
        <v>510</v>
      </c>
      <c r="B12" s="1065" t="s">
        <v>476</v>
      </c>
      <c r="C12" s="310">
        <f>Drift!P73</f>
        <v>182925.91999999995</v>
      </c>
      <c r="D12" s="310">
        <f>SUM(Drift!C73:D73)</f>
        <v>102268.944</v>
      </c>
      <c r="E12" s="310">
        <f>Drift!F73</f>
        <v>25764.39</v>
      </c>
      <c r="F12" s="310">
        <f>Drift!R73</f>
        <v>7275.73</v>
      </c>
      <c r="G12" s="310">
        <f>Drift!S73</f>
        <v>4982.4870000000001</v>
      </c>
      <c r="H12" s="310">
        <f>Drift!T73</f>
        <v>12589.026</v>
      </c>
      <c r="I12" s="310">
        <f>Motpart!Y29+Motpart!Z29</f>
        <v>572.04600000000005</v>
      </c>
      <c r="J12" s="310">
        <f>Drift!V73</f>
        <v>16265.47</v>
      </c>
      <c r="K12" s="1626">
        <f t="shared" ref="K12:K19" si="0">C12-I12-J12</f>
        <v>166088.40399999995</v>
      </c>
      <c r="L12" s="1629">
        <f t="shared" ref="L12:L19" si="1">C12-SUM(F12:H12,J12)</f>
        <v>141813.20699999994</v>
      </c>
      <c r="M12" s="1082">
        <f>IF(C12&gt;0,K12*1000000/Q12,"")</f>
        <v>75272.742929034706</v>
      </c>
      <c r="N12" s="1638">
        <v>72519.788</v>
      </c>
      <c r="O12" s="2384"/>
      <c r="P12" s="2110"/>
      <c r="Q12" s="2397">
        <v>2206488</v>
      </c>
      <c r="R12" s="2414" t="s">
        <v>985</v>
      </c>
      <c r="S12" s="2110"/>
      <c r="T12" s="2110"/>
      <c r="U12" s="2110"/>
      <c r="V12" s="2110"/>
      <c r="W12" s="258"/>
    </row>
    <row r="13" spans="1:23" ht="13.5" customHeight="1">
      <c r="A13" s="1066">
        <v>5101</v>
      </c>
      <c r="B13" s="1067" t="s">
        <v>433</v>
      </c>
      <c r="C13" s="128">
        <v>63565.544000000002</v>
      </c>
      <c r="D13" s="128">
        <v>39234.345000000001</v>
      </c>
      <c r="E13" s="128">
        <v>8301.2459999999992</v>
      </c>
      <c r="F13" s="128">
        <v>3509.4059999999999</v>
      </c>
      <c r="G13" s="2018"/>
      <c r="H13" s="128">
        <v>3523.8110000000001</v>
      </c>
      <c r="I13" s="128">
        <v>184.636</v>
      </c>
      <c r="J13" s="128">
        <v>5764.4650000000001</v>
      </c>
      <c r="K13" s="1629">
        <f t="shared" si="0"/>
        <v>57616.442999999999</v>
      </c>
      <c r="L13" s="1629">
        <f t="shared" si="1"/>
        <v>50767.862000000001</v>
      </c>
      <c r="M13" s="1082">
        <f>IF(C13&gt;0,K13*1000000/Q12,"")</f>
        <v>26112.284771093247</v>
      </c>
      <c r="N13" s="1082">
        <v>25675.42</v>
      </c>
      <c r="O13" s="2385">
        <f t="shared" ref="O13:O18" si="2">IF(ISERROR((M13-N13)/N13),"",((M13-N13)/N13))</f>
        <v>1.7014902622556873E-2</v>
      </c>
      <c r="P13" s="2110"/>
      <c r="Q13" s="2398"/>
      <c r="R13" s="2415"/>
      <c r="S13" s="2110"/>
      <c r="T13" s="2110"/>
      <c r="U13" s="2110"/>
      <c r="V13" s="2110"/>
      <c r="W13" s="258"/>
    </row>
    <row r="14" spans="1:23" ht="13.5" customHeight="1">
      <c r="A14" s="1066">
        <v>5103</v>
      </c>
      <c r="B14" s="1067" t="s">
        <v>722</v>
      </c>
      <c r="C14" s="264">
        <v>8860.8809999999994</v>
      </c>
      <c r="D14" s="128">
        <v>5458.87</v>
      </c>
      <c r="E14" s="264">
        <v>709.46699999999998</v>
      </c>
      <c r="F14" s="128">
        <v>243.19399999999999</v>
      </c>
      <c r="G14" s="264">
        <v>86.201999999999998</v>
      </c>
      <c r="H14" s="128">
        <v>534.64099999999996</v>
      </c>
      <c r="I14" s="264">
        <v>46.070999999999998</v>
      </c>
      <c r="J14" s="128">
        <v>809.38300000000004</v>
      </c>
      <c r="K14" s="1629">
        <f>C14-I14-J14</f>
        <v>8005.4269999999997</v>
      </c>
      <c r="L14" s="1629">
        <f t="shared" si="1"/>
        <v>7187.4609999999993</v>
      </c>
      <c r="M14" s="1083">
        <f>IF(C14&gt;0,K14*1000000/Q12,"")</f>
        <v>3628.1307670832562</v>
      </c>
      <c r="N14" s="1083">
        <v>3562.768</v>
      </c>
      <c r="O14" s="2385">
        <f t="shared" si="2"/>
        <v>1.8346063252857366E-2</v>
      </c>
      <c r="P14" s="2110"/>
      <c r="Q14" s="2399"/>
      <c r="R14" s="2416" t="str">
        <f>"För minst en delv-ht inom v-het 510 redovisades kostnader föregående år men inte i år. Har kommunen inte verksamheten(-erna)? Lämna förklarande kommentar"</f>
        <v>För minst en delv-ht inom v-het 510 redovisades kostnader föregående år men inte i år. Har kommunen inte verksamheten(-erna)? Lämna förklarande kommentar</v>
      </c>
      <c r="S14" s="2110"/>
      <c r="T14" s="2110"/>
      <c r="U14" s="2110"/>
      <c r="V14" s="2110"/>
      <c r="W14" s="258"/>
    </row>
    <row r="15" spans="1:23" ht="13.5" customHeight="1">
      <c r="A15" s="1066">
        <v>5104</v>
      </c>
      <c r="B15" s="1067" t="s">
        <v>434</v>
      </c>
      <c r="C15" s="264">
        <v>1764.89</v>
      </c>
      <c r="D15" s="264">
        <v>1030.3040000000001</v>
      </c>
      <c r="E15" s="264">
        <v>88.971999999999994</v>
      </c>
      <c r="F15" s="264">
        <v>73.501999999999995</v>
      </c>
      <c r="G15" s="2018"/>
      <c r="H15" s="264">
        <v>112.752</v>
      </c>
      <c r="I15" s="264">
        <v>1.034</v>
      </c>
      <c r="J15" s="264">
        <v>142.72900000000001</v>
      </c>
      <c r="K15" s="1629">
        <f>C15-I15-J15</f>
        <v>1621.127</v>
      </c>
      <c r="L15" s="1629">
        <f t="shared" si="1"/>
        <v>1435.9070000000002</v>
      </c>
      <c r="M15" s="1083">
        <f>IF(C15&gt;0,K15*1000000/Q12,"")</f>
        <v>734.70918491285704</v>
      </c>
      <c r="N15" s="1083">
        <v>696.46699999999998</v>
      </c>
      <c r="O15" s="2385">
        <f t="shared" si="2"/>
        <v>5.4908825418658824E-2</v>
      </c>
      <c r="P15" s="2110"/>
      <c r="Q15" s="2399"/>
      <c r="R15" s="2417"/>
      <c r="S15" s="2110"/>
      <c r="T15" s="2110"/>
      <c r="U15" s="2110"/>
      <c r="V15" s="2110"/>
      <c r="W15" s="258"/>
    </row>
    <row r="16" spans="1:23" ht="13.5" customHeight="1">
      <c r="A16" s="2424">
        <v>5102</v>
      </c>
      <c r="B16" s="2427" t="s">
        <v>1193</v>
      </c>
      <c r="C16" s="128">
        <v>102959.624</v>
      </c>
      <c r="D16" s="128">
        <v>54445.211000000003</v>
      </c>
      <c r="E16" s="128">
        <v>16172.678</v>
      </c>
      <c r="F16" s="128">
        <v>3337.7629999999999</v>
      </c>
      <c r="G16" s="128">
        <v>4732.6149999999998</v>
      </c>
      <c r="H16" s="128">
        <v>7926.3050000000003</v>
      </c>
      <c r="I16" s="128">
        <v>320.30700000000002</v>
      </c>
      <c r="J16" s="128">
        <v>8890.2939999999999</v>
      </c>
      <c r="K16" s="1629">
        <f>C16-I16-J16</f>
        <v>93749.023000000001</v>
      </c>
      <c r="L16" s="1629">
        <f t="shared" si="1"/>
        <v>78072.646999999997</v>
      </c>
      <c r="M16" s="1083">
        <f>IF(C16&gt;0,K16*1000000/Q12,"")</f>
        <v>42487.891617810747</v>
      </c>
      <c r="N16" s="1083"/>
      <c r="O16" s="2385" t="str">
        <f>IF(OR(M16="",M17="",N16=""),"",IF(AND(M16=0,M17=0,N16=0),0,IF(N16=0,1,((M16+M17-N16)/N16))))</f>
        <v/>
      </c>
      <c r="P16" s="2110"/>
      <c r="Q16" s="2400"/>
      <c r="R16" s="2634" t="str">
        <f>IF(OR(P16="Kommentera förändringen", P16="Kontrollera förändringen"), "Förändringskontrollen i cell P16 jämför föregående års nyckeltal för verksamhet 5105 Särskilt/Annat boende mot årets nyckeltal för verksamheterna 5102 + 5107.", "")</f>
        <v/>
      </c>
      <c r="S16" s="2110"/>
      <c r="T16" s="2110"/>
      <c r="U16" s="2110"/>
      <c r="V16" s="2110"/>
      <c r="W16" s="258"/>
    </row>
    <row r="17" spans="1:23" ht="13.5" customHeight="1">
      <c r="A17" s="2424">
        <v>5107</v>
      </c>
      <c r="B17" s="2427" t="s">
        <v>1194</v>
      </c>
      <c r="C17" s="264">
        <v>1641.8810000000001</v>
      </c>
      <c r="D17" s="128">
        <v>481.654</v>
      </c>
      <c r="E17" s="128">
        <v>330.48399999999998</v>
      </c>
      <c r="F17" s="128">
        <v>44.816000000000003</v>
      </c>
      <c r="G17" s="128">
        <v>55.453000000000003</v>
      </c>
      <c r="H17" s="128">
        <v>105.145</v>
      </c>
      <c r="I17" s="128">
        <v>0.74199999999999999</v>
      </c>
      <c r="J17" s="128">
        <v>420.291</v>
      </c>
      <c r="K17" s="1629">
        <f>C17-I17-J17</f>
        <v>1220.8480000000002</v>
      </c>
      <c r="L17" s="1629">
        <f t="shared" si="1"/>
        <v>1016.1760000000002</v>
      </c>
      <c r="M17" s="1083">
        <f>IF(C17&gt;0,K17*1000000/Q12,"")</f>
        <v>553.29917951060702</v>
      </c>
      <c r="N17" s="1083"/>
      <c r="O17" s="2385"/>
      <c r="P17" s="2110"/>
      <c r="Q17" s="2400"/>
      <c r="R17" s="2634"/>
      <c r="S17" s="2110"/>
      <c r="T17" s="2110"/>
      <c r="U17" s="2110"/>
      <c r="V17" s="2110"/>
      <c r="W17" s="258"/>
    </row>
    <row r="18" spans="1:23" ht="13.5" customHeight="1">
      <c r="A18" s="1066">
        <v>5106</v>
      </c>
      <c r="B18" s="1068" t="s">
        <v>100</v>
      </c>
      <c r="C18" s="264">
        <v>2014.8720000000001</v>
      </c>
      <c r="D18" s="128">
        <v>988.1</v>
      </c>
      <c r="E18" s="128">
        <v>45.661999999999999</v>
      </c>
      <c r="F18" s="128">
        <v>35.590000000000003</v>
      </c>
      <c r="G18" s="128">
        <v>11.128</v>
      </c>
      <c r="H18" s="128">
        <v>251.41200000000001</v>
      </c>
      <c r="I18" s="128">
        <v>4.1970000000000001</v>
      </c>
      <c r="J18" s="128">
        <v>151.73699999999999</v>
      </c>
      <c r="K18" s="1629">
        <f t="shared" si="0"/>
        <v>1858.9380000000001</v>
      </c>
      <c r="L18" s="1629">
        <f t="shared" si="1"/>
        <v>1565.0050000000001</v>
      </c>
      <c r="M18" s="1082">
        <f>IF(C18&gt;0,K18*1000000/Q12,"")</f>
        <v>842.48724670154559</v>
      </c>
      <c r="N18" s="1082">
        <v>698</v>
      </c>
      <c r="O18" s="2385">
        <f t="shared" si="2"/>
        <v>0.20700178610536618</v>
      </c>
      <c r="P18" s="2110"/>
      <c r="Q18" s="2400"/>
      <c r="R18" s="2634"/>
      <c r="S18" s="2110"/>
      <c r="T18" s="2110"/>
      <c r="U18" s="2110"/>
      <c r="V18" s="2110"/>
      <c r="W18" s="258"/>
    </row>
    <row r="19" spans="1:23" ht="13.5" customHeight="1">
      <c r="A19" s="1066">
        <v>5109</v>
      </c>
      <c r="B19" s="1067" t="s">
        <v>357</v>
      </c>
      <c r="C19" s="264">
        <v>2118.2220000000002</v>
      </c>
      <c r="D19" s="128">
        <v>630.46100000000001</v>
      </c>
      <c r="E19" s="128">
        <v>115.881</v>
      </c>
      <c r="F19" s="128">
        <v>31.46</v>
      </c>
      <c r="G19" s="128">
        <v>97.087999999999994</v>
      </c>
      <c r="H19" s="128">
        <v>134.96</v>
      </c>
      <c r="I19" s="128">
        <v>15.06</v>
      </c>
      <c r="J19" s="264">
        <v>86.570999999999998</v>
      </c>
      <c r="K19" s="1081">
        <f t="shared" si="0"/>
        <v>2016.5910000000003</v>
      </c>
      <c r="L19" s="1629">
        <f t="shared" si="1"/>
        <v>1768.143</v>
      </c>
      <c r="M19" s="1084"/>
      <c r="N19" s="1084"/>
      <c r="O19" s="2386"/>
      <c r="P19" s="2110"/>
      <c r="Q19" s="2400"/>
      <c r="R19" s="2634"/>
      <c r="S19" s="2110"/>
      <c r="T19" s="2110"/>
      <c r="U19" s="2110"/>
      <c r="V19" s="2110"/>
      <c r="W19" s="258"/>
    </row>
    <row r="20" spans="1:23" ht="12.75">
      <c r="A20" s="1069">
        <v>51099</v>
      </c>
      <c r="B20" s="1070" t="s">
        <v>154</v>
      </c>
      <c r="C20" s="303">
        <f t="shared" ref="C20:J20" si="3">SUM(C13:C19)</f>
        <v>182925.91400000002</v>
      </c>
      <c r="D20" s="303">
        <f t="shared" si="3"/>
        <v>102268.94500000001</v>
      </c>
      <c r="E20" s="303">
        <f t="shared" si="3"/>
        <v>25764.39</v>
      </c>
      <c r="F20" s="303">
        <f t="shared" si="3"/>
        <v>7275.7309999999998</v>
      </c>
      <c r="G20" s="303">
        <f t="shared" si="3"/>
        <v>4982.4859999999999</v>
      </c>
      <c r="H20" s="303">
        <f t="shared" si="3"/>
        <v>12589.026000000002</v>
      </c>
      <c r="I20" s="303">
        <f t="shared" si="3"/>
        <v>572.04699999999991</v>
      </c>
      <c r="J20" s="303">
        <f t="shared" si="3"/>
        <v>16265.469999999998</v>
      </c>
      <c r="K20" s="1085"/>
      <c r="L20" s="1637"/>
      <c r="M20" s="1086"/>
      <c r="N20" s="1086"/>
      <c r="O20" s="2387"/>
      <c r="P20" s="2110"/>
      <c r="Q20" s="2399"/>
      <c r="R20" s="2417"/>
      <c r="S20" s="2110"/>
      <c r="T20" s="2110"/>
      <c r="U20" s="2110"/>
      <c r="V20" s="2110"/>
      <c r="W20" s="258"/>
    </row>
    <row r="21" spans="1:23" ht="13.5" thickBot="1">
      <c r="A21" s="1071"/>
      <c r="B21" s="1563"/>
      <c r="C21" s="304"/>
      <c r="D21" s="304"/>
      <c r="E21" s="304"/>
      <c r="F21" s="304"/>
      <c r="G21" s="304"/>
      <c r="H21" s="304"/>
      <c r="I21" s="304"/>
      <c r="J21" s="304"/>
      <c r="K21" s="1087"/>
      <c r="L21" s="1645"/>
      <c r="M21" s="1088"/>
      <c r="N21" s="1088"/>
      <c r="O21" s="2388"/>
      <c r="P21" s="2110"/>
      <c r="Q21" s="2401"/>
      <c r="R21" s="2418"/>
      <c r="S21" s="2110"/>
      <c r="T21" s="2110"/>
      <c r="U21" s="2110"/>
      <c r="V21" s="2110"/>
      <c r="W21" s="258"/>
    </row>
    <row r="22" spans="1:23" ht="22.5" customHeight="1">
      <c r="A22" s="1072">
        <v>520</v>
      </c>
      <c r="B22" s="1073" t="s">
        <v>109</v>
      </c>
      <c r="C22" s="311">
        <f>Drift!P74</f>
        <v>18813.319</v>
      </c>
      <c r="D22" s="310">
        <f>SUM(Drift!C74:D74)</f>
        <v>9732.0750000000007</v>
      </c>
      <c r="E22" s="311">
        <f>Drift!F74</f>
        <v>3923.1370000000002</v>
      </c>
      <c r="F22" s="311">
        <f>Drift!R74</f>
        <v>386.52800000000002</v>
      </c>
      <c r="G22" s="311"/>
      <c r="H22" s="311">
        <f>Drift!T74</f>
        <v>1020.819</v>
      </c>
      <c r="I22" s="311">
        <f>Motpart!Y30+Motpart!Z30</f>
        <v>46.657000000000004</v>
      </c>
      <c r="J22" s="311">
        <f>Drift!V74</f>
        <v>1258.463</v>
      </c>
      <c r="K22" s="1089">
        <f t="shared" ref="K22:K29" si="4">C22-I22-J22</f>
        <v>17508.199000000001</v>
      </c>
      <c r="L22" s="1089">
        <f t="shared" ref="L22:L29" si="5">C22-SUM(F22:H22,J22)</f>
        <v>16147.509</v>
      </c>
      <c r="M22" s="1090">
        <f>IF(C22&gt;0,K22*1000000/Q22,"")</f>
        <v>2088.9792681783156</v>
      </c>
      <c r="N22" s="1090">
        <v>2064.8119999999999</v>
      </c>
      <c r="O22" s="2389"/>
      <c r="P22" s="2110"/>
      <c r="Q22" s="2402">
        <v>8381222</v>
      </c>
      <c r="R22" s="2419" t="s">
        <v>986</v>
      </c>
      <c r="S22" s="2110"/>
      <c r="T22" s="2110"/>
      <c r="U22" s="2110"/>
      <c r="V22" s="2110"/>
      <c r="W22" s="258"/>
    </row>
    <row r="23" spans="1:23" ht="12.75">
      <c r="A23" s="1066">
        <v>5201</v>
      </c>
      <c r="B23" s="1067" t="s">
        <v>435</v>
      </c>
      <c r="C23" s="128">
        <v>4346.5259999999998</v>
      </c>
      <c r="D23" s="128">
        <v>2458.8389999999999</v>
      </c>
      <c r="E23" s="128">
        <v>679.52</v>
      </c>
      <c r="F23" s="128">
        <v>199.19</v>
      </c>
      <c r="G23" s="2018"/>
      <c r="H23" s="128">
        <v>206.61</v>
      </c>
      <c r="I23" s="128">
        <v>7.2169999999999996</v>
      </c>
      <c r="J23" s="128">
        <v>350.048</v>
      </c>
      <c r="K23" s="1091">
        <f t="shared" si="4"/>
        <v>3989.2610000000004</v>
      </c>
      <c r="L23" s="1629">
        <f t="shared" si="5"/>
        <v>3590.6779999999999</v>
      </c>
      <c r="M23" s="1083">
        <f>IF(C23&gt;0,K23*1000000/Q22,"")</f>
        <v>475.97605695207699</v>
      </c>
      <c r="N23" s="1083">
        <v>541.46699999999998</v>
      </c>
      <c r="O23" s="2385">
        <f t="shared" ref="O23:O28" si="6">IF(ISERROR((M23-N23)/N23),"",((M23-N23)/N23))</f>
        <v>-0.12095094077371843</v>
      </c>
      <c r="P23" s="2110"/>
      <c r="Q23" s="2398"/>
      <c r="R23" s="2420"/>
      <c r="S23" s="2110"/>
      <c r="T23" s="2110"/>
      <c r="U23" s="2110"/>
      <c r="V23" s="2110"/>
      <c r="W23" s="258"/>
    </row>
    <row r="24" spans="1:23" ht="12.75">
      <c r="A24" s="1066">
        <v>5202</v>
      </c>
      <c r="B24" s="1067" t="s">
        <v>436</v>
      </c>
      <c r="C24" s="264">
        <v>3390.21</v>
      </c>
      <c r="D24" s="128">
        <v>2350.6460000000002</v>
      </c>
      <c r="E24" s="128">
        <v>281.59500000000003</v>
      </c>
      <c r="F24" s="128">
        <v>26.448</v>
      </c>
      <c r="G24" s="2018"/>
      <c r="H24" s="128">
        <v>97.856999999999999</v>
      </c>
      <c r="I24" s="128">
        <v>1.907</v>
      </c>
      <c r="J24" s="128">
        <v>250.005</v>
      </c>
      <c r="K24" s="1091">
        <f t="shared" si="4"/>
        <v>3138.2979999999998</v>
      </c>
      <c r="L24" s="1629">
        <f t="shared" si="5"/>
        <v>3015.9</v>
      </c>
      <c r="M24" s="1083">
        <f>IF(C24&gt;0,K24*1000000/Q22,"")</f>
        <v>374.44396533106988</v>
      </c>
      <c r="N24" s="1083">
        <v>339.358</v>
      </c>
      <c r="O24" s="2385">
        <f t="shared" si="6"/>
        <v>0.10338923888952042</v>
      </c>
      <c r="P24" s="2110"/>
      <c r="Q24" s="2403"/>
      <c r="R24" s="2629" t="str">
        <f>"För minst en delv-ht inom v-het 520 redovisades kostnader föregående år men inte i år. Har kommunen inte verksamheten(-erna)? Lämna förklarande kommentar"</f>
        <v>För minst en delv-ht inom v-het 520 redovisades kostnader föregående år men inte i år. Har kommunen inte verksamheten(-erna)? Lämna förklarande kommentar</v>
      </c>
      <c r="S24" s="2110"/>
      <c r="T24" s="2110"/>
      <c r="U24" s="2110"/>
      <c r="V24" s="2110"/>
      <c r="W24" s="258"/>
    </row>
    <row r="25" spans="1:23" ht="12.75">
      <c r="A25" s="1066">
        <v>5203</v>
      </c>
      <c r="B25" s="1067" t="s">
        <v>722</v>
      </c>
      <c r="C25" s="264">
        <v>939.85299999999995</v>
      </c>
      <c r="D25" s="128">
        <v>356</v>
      </c>
      <c r="E25" s="128">
        <v>340.78800000000001</v>
      </c>
      <c r="F25" s="128">
        <v>15.134</v>
      </c>
      <c r="G25" s="128"/>
      <c r="H25" s="128">
        <v>46.353000000000002</v>
      </c>
      <c r="I25" s="128">
        <v>1.4390000000000001</v>
      </c>
      <c r="J25" s="264">
        <v>36.43</v>
      </c>
      <c r="K25" s="1091">
        <f>C25-I25-J25</f>
        <v>901.98400000000004</v>
      </c>
      <c r="L25" s="1629">
        <f t="shared" si="5"/>
        <v>841.93599999999992</v>
      </c>
      <c r="M25" s="1083">
        <f>IF(C25&gt;0,K25*1000000/Q22,"")</f>
        <v>107.61962873671644</v>
      </c>
      <c r="N25" s="1083">
        <v>100.94199999999999</v>
      </c>
      <c r="O25" s="2385">
        <f t="shared" si="6"/>
        <v>6.6153124930320814E-2</v>
      </c>
      <c r="P25" s="2110"/>
      <c r="Q25" s="2404"/>
      <c r="R25" s="2630"/>
      <c r="S25" s="2110"/>
      <c r="T25" s="2110"/>
      <c r="U25" s="2110"/>
      <c r="V25" s="2110"/>
      <c r="W25" s="258"/>
    </row>
    <row r="26" spans="1:23" ht="12.75">
      <c r="A26" s="1801">
        <v>5204</v>
      </c>
      <c r="B26" s="1067" t="s">
        <v>965</v>
      </c>
      <c r="C26" s="264">
        <v>612.755</v>
      </c>
      <c r="D26" s="128">
        <v>372.18900000000002</v>
      </c>
      <c r="E26" s="128">
        <v>44.063000000000002</v>
      </c>
      <c r="F26" s="128">
        <v>1.55</v>
      </c>
      <c r="G26" s="2018"/>
      <c r="H26" s="128">
        <v>43.777000000000001</v>
      </c>
      <c r="I26" s="128">
        <v>4.2290000000000001</v>
      </c>
      <c r="J26" s="128">
        <v>51.206000000000003</v>
      </c>
      <c r="K26" s="1091">
        <f t="shared" si="4"/>
        <v>557.31999999999994</v>
      </c>
      <c r="L26" s="1629">
        <f t="shared" si="5"/>
        <v>516.22199999999998</v>
      </c>
      <c r="M26" s="1083">
        <f>IF(C26&gt;0,K26*1000000/Q22,"")</f>
        <v>66.496269875681605</v>
      </c>
      <c r="N26" s="1083">
        <v>65.239999999999995</v>
      </c>
      <c r="O26" s="2385">
        <f t="shared" si="6"/>
        <v>1.9256129302293232E-2</v>
      </c>
      <c r="P26" s="2110"/>
      <c r="Q26" s="2404"/>
      <c r="R26" s="2630"/>
      <c r="S26" s="2110"/>
      <c r="T26" s="2110"/>
      <c r="U26" s="2110"/>
      <c r="V26" s="2110"/>
      <c r="W26" s="258"/>
    </row>
    <row r="27" spans="1:23" ht="12.75">
      <c r="A27" s="1066">
        <v>5205</v>
      </c>
      <c r="B27" s="1067" t="s">
        <v>467</v>
      </c>
      <c r="C27" s="264">
        <v>7445.674</v>
      </c>
      <c r="D27" s="128">
        <v>3327.0529999999999</v>
      </c>
      <c r="E27" s="128">
        <v>2354.0529999999999</v>
      </c>
      <c r="F27" s="128">
        <v>138.518</v>
      </c>
      <c r="G27" s="128">
        <v>309.30799999999999</v>
      </c>
      <c r="H27" s="128">
        <v>387.21499999999997</v>
      </c>
      <c r="I27" s="128">
        <v>10.125999999999999</v>
      </c>
      <c r="J27" s="128">
        <v>454.28800000000001</v>
      </c>
      <c r="K27" s="1091">
        <f t="shared" si="4"/>
        <v>6981.26</v>
      </c>
      <c r="L27" s="1629">
        <f t="shared" si="5"/>
        <v>6156.3450000000003</v>
      </c>
      <c r="M27" s="1083">
        <f>IF(C27&gt;0,K27*1000000/Q22,"")</f>
        <v>832.96445315492178</v>
      </c>
      <c r="N27" s="1083">
        <v>795.57799999999997</v>
      </c>
      <c r="O27" s="2385">
        <f t="shared" si="6"/>
        <v>4.6992819252068073E-2</v>
      </c>
      <c r="P27" s="2110"/>
      <c r="Q27" s="2404"/>
      <c r="R27" s="2630"/>
      <c r="S27" s="2110"/>
      <c r="T27" s="2110"/>
      <c r="U27" s="2110"/>
      <c r="V27" s="2110"/>
      <c r="W27" s="258"/>
    </row>
    <row r="28" spans="1:23" ht="12.75">
      <c r="A28" s="1066">
        <v>5206</v>
      </c>
      <c r="B28" s="1067" t="s">
        <v>100</v>
      </c>
      <c r="C28" s="264">
        <v>868.49</v>
      </c>
      <c r="D28" s="128">
        <v>454.29199999999997</v>
      </c>
      <c r="E28" s="128">
        <v>40.395000000000003</v>
      </c>
      <c r="F28" s="128">
        <v>2.657</v>
      </c>
      <c r="G28" s="128">
        <v>4.5670000000000002</v>
      </c>
      <c r="H28" s="128">
        <v>125.962</v>
      </c>
      <c r="I28" s="128">
        <v>4.55</v>
      </c>
      <c r="J28" s="128">
        <v>71.644000000000005</v>
      </c>
      <c r="K28" s="1092">
        <f t="shared" si="4"/>
        <v>792.29600000000005</v>
      </c>
      <c r="L28" s="1629">
        <f t="shared" si="5"/>
        <v>663.66</v>
      </c>
      <c r="M28" s="1082">
        <f>IF(C28&gt;0,K28*1000000/Q22,"")</f>
        <v>94.532277035496733</v>
      </c>
      <c r="N28" s="1082">
        <v>92.465999999999994</v>
      </c>
      <c r="O28" s="2385">
        <f t="shared" si="6"/>
        <v>2.2346343904751362E-2</v>
      </c>
      <c r="P28" s="2110"/>
      <c r="Q28" s="2404"/>
      <c r="R28" s="2630"/>
      <c r="S28" s="2110"/>
      <c r="T28" s="2110"/>
      <c r="U28" s="2110"/>
      <c r="V28" s="2110"/>
      <c r="W28" s="258"/>
    </row>
    <row r="29" spans="1:23" ht="12.75">
      <c r="A29" s="1066">
        <v>5209</v>
      </c>
      <c r="B29" s="1067" t="s">
        <v>357</v>
      </c>
      <c r="C29" s="264">
        <v>1209.8140000000001</v>
      </c>
      <c r="D29" s="128">
        <v>413.05799999999999</v>
      </c>
      <c r="E29" s="128">
        <v>182.72399999999999</v>
      </c>
      <c r="F29" s="128">
        <v>3.032</v>
      </c>
      <c r="G29" s="128">
        <v>42.459000000000003</v>
      </c>
      <c r="H29" s="128">
        <v>113.045</v>
      </c>
      <c r="I29" s="128">
        <v>17.189</v>
      </c>
      <c r="J29" s="128">
        <v>44.844000000000001</v>
      </c>
      <c r="K29" s="1091">
        <f t="shared" si="4"/>
        <v>1147.7809999999999</v>
      </c>
      <c r="L29" s="1629">
        <f t="shared" si="5"/>
        <v>1006.4340000000001</v>
      </c>
      <c r="M29" s="1085"/>
      <c r="N29" s="1084"/>
      <c r="O29" s="2386"/>
      <c r="P29" s="2110"/>
      <c r="Q29" s="2404"/>
      <c r="R29" s="2630"/>
      <c r="S29" s="2110"/>
      <c r="T29" s="2110"/>
      <c r="U29" s="2110"/>
      <c r="V29" s="2110"/>
      <c r="W29" s="258"/>
    </row>
    <row r="30" spans="1:23" ht="21.75" customHeight="1">
      <c r="A30" s="1069">
        <v>52099</v>
      </c>
      <c r="B30" s="1074" t="s">
        <v>596</v>
      </c>
      <c r="C30" s="2017">
        <f>SUM(C23:C29)</f>
        <v>18813.322</v>
      </c>
      <c r="D30" s="2017">
        <f t="shared" ref="D30:J30" si="7">SUM(D23:D29)</f>
        <v>9732.0770000000011</v>
      </c>
      <c r="E30" s="2017">
        <f t="shared" si="7"/>
        <v>3923.1380000000004</v>
      </c>
      <c r="F30" s="2017">
        <f t="shared" si="7"/>
        <v>386.529</v>
      </c>
      <c r="G30" s="2017">
        <f t="shared" si="7"/>
        <v>356.334</v>
      </c>
      <c r="H30" s="2017">
        <f t="shared" si="7"/>
        <v>1020.8189999999998</v>
      </c>
      <c r="I30" s="2017">
        <f t="shared" si="7"/>
        <v>46.656999999999996</v>
      </c>
      <c r="J30" s="2017">
        <f t="shared" si="7"/>
        <v>1258.4649999999999</v>
      </c>
      <c r="K30" s="1085"/>
      <c r="L30" s="1637"/>
      <c r="M30" s="1086"/>
      <c r="N30" s="1086"/>
      <c r="O30" s="2387"/>
      <c r="P30" s="2110"/>
      <c r="Q30" s="2398"/>
      <c r="R30" s="2630"/>
      <c r="S30" s="2110"/>
      <c r="T30" s="2110"/>
      <c r="U30" s="2110"/>
      <c r="V30" s="2110"/>
      <c r="W30" s="258"/>
    </row>
    <row r="31" spans="1:23" ht="13.5" thickBot="1">
      <c r="A31" s="1075"/>
      <c r="B31" s="1563"/>
      <c r="C31" s="302"/>
      <c r="D31" s="302"/>
      <c r="E31" s="302"/>
      <c r="F31" s="302"/>
      <c r="G31" s="302"/>
      <c r="H31" s="302"/>
      <c r="I31" s="302"/>
      <c r="J31" s="302"/>
      <c r="K31" s="1087"/>
      <c r="L31" s="1645"/>
      <c r="M31" s="1088"/>
      <c r="N31" s="1088"/>
      <c r="O31" s="2388"/>
      <c r="P31" s="2110"/>
      <c r="Q31" s="2401"/>
      <c r="R31" s="2418"/>
      <c r="S31" s="2110"/>
      <c r="T31" s="2110"/>
      <c r="U31" s="2110"/>
      <c r="V31" s="2110"/>
      <c r="W31" s="258"/>
    </row>
    <row r="32" spans="1:23" ht="12.75">
      <c r="A32" s="1076">
        <v>513</v>
      </c>
      <c r="B32" s="1077" t="s">
        <v>597</v>
      </c>
      <c r="C32" s="310">
        <f>Drift!P75</f>
        <v>86127.067999999999</v>
      </c>
      <c r="D32" s="310">
        <f>SUM(Drift!C75:D75)</f>
        <v>46830.14</v>
      </c>
      <c r="E32" s="310">
        <f>Drift!F75</f>
        <v>16213.316999999999</v>
      </c>
      <c r="F32" s="310">
        <f>Drift!R75</f>
        <v>159.291</v>
      </c>
      <c r="G32" s="310">
        <f>Drift!S75</f>
        <v>1607.54</v>
      </c>
      <c r="H32" s="311">
        <f>Drift!T75</f>
        <v>7830.8090000000002</v>
      </c>
      <c r="I32" s="2423">
        <f>Motpart!Y31+Motpart!Z31</f>
        <v>260.334</v>
      </c>
      <c r="J32" s="310">
        <f>Drift!V75</f>
        <v>5251.299</v>
      </c>
      <c r="K32" s="1093">
        <f>C32-I32-J32-G42-G44</f>
        <v>75617.315999999992</v>
      </c>
      <c r="L32" s="1644">
        <f t="shared" ref="L32:L37" si="8">C32-SUM(F32:H32,J32)</f>
        <v>71278.129000000001</v>
      </c>
      <c r="M32" s="1753">
        <f>IF(C32&gt;0,K32*1000000/Q32,"")</f>
        <v>7141.9897220456533</v>
      </c>
      <c r="N32" s="1753">
        <v>6770.6090000000004</v>
      </c>
      <c r="O32" s="2385">
        <f>IF(ISERROR((M32-N32)/N32),"",((M32-N32)/N32))</f>
        <v>5.4851893241162332E-2</v>
      </c>
      <c r="P32" s="2110"/>
      <c r="Q32" s="2405">
        <v>10587710</v>
      </c>
      <c r="R32" s="2419" t="s">
        <v>503</v>
      </c>
      <c r="S32" s="2110"/>
      <c r="T32" s="2110"/>
      <c r="U32" s="2110"/>
      <c r="V32" s="2110"/>
      <c r="W32" s="258"/>
    </row>
    <row r="33" spans="1:23" ht="12.75">
      <c r="A33" s="1078">
        <v>5131</v>
      </c>
      <c r="B33" s="1079" t="s">
        <v>189</v>
      </c>
      <c r="C33" s="264">
        <v>44591.107000000004</v>
      </c>
      <c r="D33" s="128">
        <v>26522.897000000001</v>
      </c>
      <c r="E33" s="128">
        <v>7578.018</v>
      </c>
      <c r="F33" s="128">
        <v>83.724999999999994</v>
      </c>
      <c r="G33" s="128">
        <v>1567.37</v>
      </c>
      <c r="H33" s="128">
        <v>1326.086</v>
      </c>
      <c r="I33" s="128">
        <v>53.061999999999998</v>
      </c>
      <c r="J33" s="128">
        <v>3065.92</v>
      </c>
      <c r="K33" s="1091">
        <f>C33-I33-J33</f>
        <v>41472.125000000007</v>
      </c>
      <c r="L33" s="1637">
        <f t="shared" si="8"/>
        <v>38548.006000000001</v>
      </c>
      <c r="M33" s="1083">
        <f>IF(C33&gt;0,K33*1000000/Q33,"")</f>
        <v>5298.868601947207</v>
      </c>
      <c r="N33" s="1083">
        <v>4985.4920000000002</v>
      </c>
      <c r="O33" s="2385">
        <f>IF(ISERROR((M33-N33)/N33),"",((M33-N33)/N33))</f>
        <v>6.2857708315890756E-2</v>
      </c>
      <c r="P33" s="2110"/>
      <c r="Q33" s="2406">
        <v>7826600</v>
      </c>
      <c r="R33" s="2421" t="s">
        <v>987</v>
      </c>
      <c r="S33" s="2110"/>
      <c r="T33" s="2110"/>
      <c r="U33" s="2110"/>
      <c r="V33" s="2110"/>
      <c r="W33" s="258"/>
    </row>
    <row r="34" spans="1:23" ht="12.75">
      <c r="A34" s="1078">
        <v>5132</v>
      </c>
      <c r="B34" s="1080" t="s">
        <v>520</v>
      </c>
      <c r="C34" s="264">
        <v>2760.7930000000001</v>
      </c>
      <c r="D34" s="128">
        <v>854.25800000000004</v>
      </c>
      <c r="E34" s="128">
        <v>1420.8109999999999</v>
      </c>
      <c r="F34" s="128">
        <v>11.587</v>
      </c>
      <c r="G34" s="128">
        <v>7.8959999999999999</v>
      </c>
      <c r="H34" s="128">
        <v>177.28200000000001</v>
      </c>
      <c r="I34" s="128">
        <v>73.492999999999995</v>
      </c>
      <c r="J34" s="264">
        <v>138.154</v>
      </c>
      <c r="K34" s="1091">
        <f>C34-I34-J34</f>
        <v>2549.1460000000002</v>
      </c>
      <c r="L34" s="1637">
        <f t="shared" si="8"/>
        <v>2425.8740000000003</v>
      </c>
      <c r="M34" s="1083">
        <f>IF(C34&gt;0,K34*1000000/Q34,"")</f>
        <v>923.23232323232321</v>
      </c>
      <c r="N34" s="1083">
        <v>879.56799999999998</v>
      </c>
      <c r="O34" s="2385">
        <f>IF(ISERROR((M34-N34)/N34),"",((M34-N34)/N34))</f>
        <v>4.9642919288017784E-2</v>
      </c>
      <c r="P34" s="2110"/>
      <c r="Q34" s="2406">
        <v>2761110</v>
      </c>
      <c r="R34" s="2422" t="s">
        <v>988</v>
      </c>
      <c r="S34" s="2110"/>
      <c r="T34" s="2110"/>
      <c r="U34" s="2110"/>
      <c r="V34" s="2110"/>
      <c r="W34" s="258"/>
    </row>
    <row r="35" spans="1:23" ht="12.75">
      <c r="A35" s="1078">
        <v>5133</v>
      </c>
      <c r="B35" s="1079" t="s">
        <v>598</v>
      </c>
      <c r="C35" s="264">
        <v>19160.124</v>
      </c>
      <c r="D35" s="128">
        <v>8712.4179999999997</v>
      </c>
      <c r="E35" s="128">
        <v>4322.2939999999999</v>
      </c>
      <c r="F35" s="128">
        <v>9.9849999999999994</v>
      </c>
      <c r="G35" s="128">
        <v>17.59</v>
      </c>
      <c r="H35" s="128">
        <v>5315.4679999999998</v>
      </c>
      <c r="I35" s="128">
        <v>21.521999999999998</v>
      </c>
      <c r="J35" s="128">
        <v>309.94600000000003</v>
      </c>
      <c r="K35" s="1091">
        <f>C35-I35-J35</f>
        <v>18828.655999999999</v>
      </c>
      <c r="L35" s="1637">
        <f t="shared" si="8"/>
        <v>13507.135</v>
      </c>
      <c r="M35" s="1083">
        <f>IF(C35&gt;0,K35*1000000/Q35,"")</f>
        <v>1778.3501814840035</v>
      </c>
      <c r="N35" s="1083">
        <v>1744.0509999999999</v>
      </c>
      <c r="O35" s="2385">
        <f>IF(ISERROR((M35-N35)/N35),"",((M35-N35)/N35))</f>
        <v>1.9666386753600447E-2</v>
      </c>
      <c r="P35" s="2110"/>
      <c r="Q35" s="2406">
        <v>10587710</v>
      </c>
      <c r="R35" s="2422" t="s">
        <v>503</v>
      </c>
      <c r="S35" s="2110"/>
      <c r="T35" s="2110"/>
      <c r="U35" s="2110"/>
      <c r="V35" s="2110"/>
      <c r="W35" s="258"/>
    </row>
    <row r="36" spans="1:23" ht="12.75">
      <c r="A36" s="1078">
        <v>5135</v>
      </c>
      <c r="B36" s="1067" t="s">
        <v>155</v>
      </c>
      <c r="C36" s="264">
        <v>12930.061</v>
      </c>
      <c r="D36" s="128">
        <v>6518.9440000000004</v>
      </c>
      <c r="E36" s="128">
        <v>2233.5059999999999</v>
      </c>
      <c r="F36" s="128">
        <v>30.748000000000001</v>
      </c>
      <c r="G36" s="128">
        <v>7.4790000000000001</v>
      </c>
      <c r="H36" s="128">
        <v>776.58199999999999</v>
      </c>
      <c r="I36" s="128">
        <v>33.241999999999997</v>
      </c>
      <c r="J36" s="128">
        <v>1234.2429999999999</v>
      </c>
      <c r="K36" s="1091">
        <f>C36-I36-J36</f>
        <v>11662.575999999999</v>
      </c>
      <c r="L36" s="1637">
        <f t="shared" si="8"/>
        <v>10881.009</v>
      </c>
      <c r="M36" s="1083">
        <f>IF(C36&gt;0,K36*1000000/Q36,"")</f>
        <v>2075.1501037701742</v>
      </c>
      <c r="N36" s="1083">
        <v>1965.473</v>
      </c>
      <c r="O36" s="2385">
        <f>IF(ISERROR((M36-N36)/N36),"",((M36-N36)/N36))</f>
        <v>5.580188777468538E-2</v>
      </c>
      <c r="P36" s="2110"/>
      <c r="Q36" s="2406">
        <v>5620112</v>
      </c>
      <c r="R36" s="2422" t="s">
        <v>989</v>
      </c>
      <c r="S36" s="2110"/>
      <c r="T36" s="2110"/>
      <c r="U36" s="2110"/>
      <c r="V36" s="2110"/>
      <c r="W36" s="258"/>
    </row>
    <row r="37" spans="1:23" ht="12.75">
      <c r="A37" s="1078">
        <v>5139</v>
      </c>
      <c r="B37" s="1067" t="s">
        <v>156</v>
      </c>
      <c r="C37" s="264">
        <v>6684.982</v>
      </c>
      <c r="D37" s="128">
        <v>4221.6229999999996</v>
      </c>
      <c r="E37" s="128">
        <v>658.68700000000001</v>
      </c>
      <c r="F37" s="128">
        <v>23.247</v>
      </c>
      <c r="G37" s="128">
        <v>7.2030000000000003</v>
      </c>
      <c r="H37" s="128">
        <v>235.39099999999999</v>
      </c>
      <c r="I37" s="128">
        <v>79.016000000000005</v>
      </c>
      <c r="J37" s="128">
        <v>503.036</v>
      </c>
      <c r="K37" s="1091">
        <f>C37-I37-J37</f>
        <v>6102.93</v>
      </c>
      <c r="L37" s="1637">
        <f t="shared" si="8"/>
        <v>5916.1049999999996</v>
      </c>
      <c r="M37" s="1085"/>
      <c r="N37" s="1084"/>
      <c r="O37" s="2386"/>
      <c r="P37" s="2110"/>
      <c r="Q37" s="2403" t="str">
        <f>"På minst en delv-ht inom v-het 513 redovisas varken detta år eller året innan lämnat några kostnader. Har kommunen inte denna/dessa verksamhet(er)? Lämna förklarande kommentar"</f>
        <v>På minst en delv-ht inom v-het 513 redovisas varken detta år eller året innan lämnat några kostnader. Har kommunen inte denna/dessa verksamhet(er)? Lämna förklarande kommentar</v>
      </c>
      <c r="R37" s="2631" t="str">
        <f>"För minst en delv-ht inom v-het 513 redovisades kostnader föregående år men inte i år. Har kommunen inte verksamheten(-erna)? Lämna förklarande kommentar"</f>
        <v>För minst en delv-ht inom v-het 513 redovisades kostnader föregående år men inte i år. Har kommunen inte verksamheten(-erna)? Lämna förklarande kommentar</v>
      </c>
      <c r="S37" s="2110"/>
      <c r="T37" s="2110"/>
      <c r="U37" s="2110"/>
      <c r="V37" s="2110"/>
      <c r="W37" s="258"/>
    </row>
    <row r="38" spans="1:23" ht="17.25" customHeight="1">
      <c r="A38" s="1069">
        <v>51399</v>
      </c>
      <c r="B38" s="1070" t="s">
        <v>599</v>
      </c>
      <c r="C38" s="2017">
        <f>SUM(C33:C37)</f>
        <v>86127.06700000001</v>
      </c>
      <c r="D38" s="2017">
        <f t="shared" ref="D38:J38" si="9">SUM(D33:D37)</f>
        <v>46830.140000000007</v>
      </c>
      <c r="E38" s="2017">
        <f t="shared" si="9"/>
        <v>16213.315999999999</v>
      </c>
      <c r="F38" s="2017">
        <f t="shared" si="9"/>
        <v>159.29199999999997</v>
      </c>
      <c r="G38" s="2017">
        <f t="shared" si="9"/>
        <v>1607.5379999999998</v>
      </c>
      <c r="H38" s="2017">
        <f t="shared" si="9"/>
        <v>7830.8089999999993</v>
      </c>
      <c r="I38" s="2017">
        <f t="shared" si="9"/>
        <v>260.33499999999998</v>
      </c>
      <c r="J38" s="2017">
        <f t="shared" si="9"/>
        <v>5251.299</v>
      </c>
      <c r="K38" s="1085"/>
      <c r="L38" s="1086"/>
      <c r="M38" s="1086"/>
      <c r="N38" s="1086"/>
      <c r="O38" s="2387"/>
      <c r="P38" s="2110"/>
      <c r="Q38" s="2407"/>
      <c r="R38" s="2632"/>
      <c r="S38" s="2110"/>
      <c r="T38" s="2110"/>
      <c r="U38" s="2110"/>
      <c r="V38" s="2110"/>
      <c r="W38" s="258"/>
    </row>
    <row r="39" spans="1:23" ht="13.5" thickBot="1">
      <c r="A39" s="1071"/>
      <c r="B39" s="1563"/>
      <c r="C39" s="302"/>
      <c r="D39" s="302"/>
      <c r="E39" s="302"/>
      <c r="F39" s="302"/>
      <c r="G39" s="302"/>
      <c r="H39" s="302"/>
      <c r="I39" s="305"/>
      <c r="J39" s="302"/>
      <c r="K39" s="1087"/>
      <c r="L39" s="1630"/>
      <c r="M39" s="1088"/>
      <c r="N39" s="1088"/>
      <c r="O39" s="2388"/>
      <c r="P39" s="2390"/>
      <c r="Q39" s="2408"/>
      <c r="R39" s="2633"/>
      <c r="S39" s="259"/>
      <c r="T39" s="258"/>
      <c r="U39" s="258"/>
      <c r="V39" s="258"/>
      <c r="W39" s="258"/>
    </row>
    <row r="40" spans="1:23" ht="12.75">
      <c r="A40" s="260"/>
      <c r="B40" s="287" t="s">
        <v>601</v>
      </c>
      <c r="C40" s="287"/>
      <c r="D40" s="287"/>
      <c r="E40" s="287"/>
      <c r="F40" s="287"/>
      <c r="G40" s="287"/>
      <c r="H40" s="287"/>
      <c r="I40" s="287"/>
      <c r="J40" s="1680"/>
      <c r="K40" s="1680"/>
      <c r="L40" s="1680"/>
      <c r="M40" s="1680"/>
      <c r="N40" s="1680"/>
      <c r="O40" s="309"/>
      <c r="P40" s="1717"/>
      <c r="Q40" s="1675"/>
      <c r="R40" s="259"/>
      <c r="S40" s="258"/>
      <c r="T40" s="258"/>
      <c r="U40" s="258"/>
      <c r="V40" s="258"/>
    </row>
    <row r="41" spans="1:23" ht="12.75">
      <c r="B41" s="287" t="s">
        <v>600</v>
      </c>
      <c r="C41" s="288"/>
      <c r="D41" s="288"/>
      <c r="E41" s="288"/>
      <c r="F41" s="288"/>
      <c r="G41" s="289"/>
      <c r="H41" s="289"/>
      <c r="I41" s="289"/>
      <c r="J41" s="289"/>
      <c r="K41" s="260"/>
      <c r="L41" s="260"/>
      <c r="M41" s="260"/>
      <c r="N41" s="260"/>
    </row>
    <row r="42" spans="1:23" ht="12.75">
      <c r="B42" s="1094" t="s">
        <v>160</v>
      </c>
      <c r="C42" s="1095"/>
      <c r="D42" s="1095"/>
      <c r="E42" s="1096"/>
      <c r="F42" s="1097"/>
      <c r="G42" s="129">
        <f>'Verks int o kostn'!D21</f>
        <v>4995.0879999999997</v>
      </c>
      <c r="H42" s="1832"/>
      <c r="I42" s="260"/>
      <c r="J42" s="260"/>
      <c r="K42" s="260"/>
      <c r="L42" s="260"/>
      <c r="M42" s="260"/>
      <c r="N42" s="260"/>
    </row>
    <row r="43" spans="1:23" ht="12.75">
      <c r="B43" s="1094" t="s">
        <v>161</v>
      </c>
      <c r="C43" s="1095"/>
      <c r="D43" s="1095"/>
      <c r="E43" s="1096"/>
      <c r="F43" s="1097"/>
      <c r="G43" s="129">
        <f>'Verks int o kostn'!I41</f>
        <v>4595.835</v>
      </c>
      <c r="H43" s="1832" t="str">
        <f>IF(C32=0,"",IF(AND(G43&lt;&gt;0,G43&lt;100),"Lågt belopp",IF(G43&gt;C35,"Ersättningen till FK ska ovan ingå på rad 5133, kol C","")))</f>
        <v/>
      </c>
      <c r="I43" s="260"/>
      <c r="J43" s="260"/>
      <c r="K43" s="260"/>
      <c r="L43" s="260"/>
      <c r="M43" s="260"/>
      <c r="N43" s="260"/>
    </row>
    <row r="44" spans="1:23" ht="12.75">
      <c r="A44" s="401">
        <v>51398</v>
      </c>
      <c r="B44" s="1098" t="s">
        <v>186</v>
      </c>
      <c r="C44" s="1095"/>
      <c r="D44" s="1095"/>
      <c r="E44" s="1096"/>
      <c r="F44" s="1097"/>
      <c r="G44" s="128">
        <v>3.0310000000000001</v>
      </c>
      <c r="H44" s="301"/>
      <c r="I44" s="260"/>
      <c r="J44" s="260"/>
      <c r="K44" s="260"/>
      <c r="L44" s="260"/>
      <c r="M44" s="260"/>
      <c r="N44" s="260"/>
    </row>
    <row r="45" spans="1:23" ht="13.5" thickBot="1">
      <c r="E45" s="396" t="s">
        <v>696</v>
      </c>
      <c r="F45" s="396" t="s">
        <v>697</v>
      </c>
      <c r="G45" s="396" t="s">
        <v>698</v>
      </c>
      <c r="H45" s="396" t="s">
        <v>699</v>
      </c>
      <c r="I45" s="396" t="s">
        <v>700</v>
      </c>
      <c r="J45" s="396" t="s">
        <v>701</v>
      </c>
      <c r="K45" s="396" t="s">
        <v>702</v>
      </c>
      <c r="L45" s="396" t="s">
        <v>703</v>
      </c>
      <c r="M45" s="396" t="s">
        <v>704</v>
      </c>
      <c r="R45" s="2110"/>
      <c r="S45" s="2110"/>
      <c r="T45" s="2110"/>
      <c r="U45" s="2110"/>
      <c r="V45" s="2110"/>
    </row>
    <row r="46" spans="1:23" ht="14.25" customHeight="1">
      <c r="A46" s="2635" t="s">
        <v>775</v>
      </c>
      <c r="B46" s="2636"/>
      <c r="C46" s="1207" t="s">
        <v>758</v>
      </c>
      <c r="D46" s="1099" t="s">
        <v>126</v>
      </c>
      <c r="E46" s="1044" t="s">
        <v>191</v>
      </c>
      <c r="F46" s="1044" t="s">
        <v>480</v>
      </c>
      <c r="G46" s="1044" t="s">
        <v>192</v>
      </c>
      <c r="H46" s="1044" t="s">
        <v>123</v>
      </c>
      <c r="I46" s="1099" t="s">
        <v>1011</v>
      </c>
      <c r="J46" s="1044" t="s">
        <v>125</v>
      </c>
      <c r="K46" s="2639" t="s">
        <v>785</v>
      </c>
      <c r="L46" s="1045" t="s">
        <v>124</v>
      </c>
      <c r="M46" s="2370" t="s">
        <v>148</v>
      </c>
      <c r="N46" s="2110"/>
      <c r="O46" s="2110"/>
      <c r="P46" s="2110"/>
      <c r="R46" s="2110"/>
      <c r="S46" s="2110"/>
      <c r="T46" s="2110"/>
      <c r="U46" s="2110"/>
      <c r="V46" s="2110"/>
    </row>
    <row r="47" spans="1:23" ht="12.75">
      <c r="A47" s="2637"/>
      <c r="B47" s="2638"/>
      <c r="C47" s="1261" t="s">
        <v>769</v>
      </c>
      <c r="D47" s="1047"/>
      <c r="E47" s="1100" t="s">
        <v>127</v>
      </c>
      <c r="F47" s="1100" t="s">
        <v>190</v>
      </c>
      <c r="G47" s="1100" t="s">
        <v>128</v>
      </c>
      <c r="H47" s="1100"/>
      <c r="I47" s="1615"/>
      <c r="J47" s="1100" t="s">
        <v>130</v>
      </c>
      <c r="K47" s="2640"/>
      <c r="L47" s="1059" t="s">
        <v>129</v>
      </c>
      <c r="M47" s="2371"/>
      <c r="N47" s="2110"/>
      <c r="O47" s="2110"/>
      <c r="P47" s="2110"/>
      <c r="R47" s="2110"/>
      <c r="S47" s="2110"/>
      <c r="T47" s="2110"/>
      <c r="U47" s="2110"/>
      <c r="V47" s="2110"/>
    </row>
    <row r="48" spans="1:23" ht="30" customHeight="1">
      <c r="A48" s="2637"/>
      <c r="B48" s="2638"/>
      <c r="C48" s="1457"/>
      <c r="D48" s="1208"/>
      <c r="E48" s="1458" t="s">
        <v>747</v>
      </c>
      <c r="F48" s="1444" t="s">
        <v>748</v>
      </c>
      <c r="G48" s="1444" t="s">
        <v>749</v>
      </c>
      <c r="H48" s="1444" t="s">
        <v>750</v>
      </c>
      <c r="I48" s="1444" t="s">
        <v>751</v>
      </c>
      <c r="J48" s="1444" t="s">
        <v>752</v>
      </c>
      <c r="K48" s="1444" t="s">
        <v>753</v>
      </c>
      <c r="L48" s="2363" t="s">
        <v>754</v>
      </c>
      <c r="M48" s="2372" t="s">
        <v>755</v>
      </c>
      <c r="N48" s="2110"/>
      <c r="O48" s="2110"/>
      <c r="P48" s="2110"/>
      <c r="R48" s="2110"/>
      <c r="S48" s="2110"/>
      <c r="T48" s="2110"/>
      <c r="U48" s="2110"/>
      <c r="V48" s="2110"/>
    </row>
    <row r="49" spans="1:22" ht="6.75" customHeight="1">
      <c r="A49" s="1392"/>
      <c r="B49" s="1393"/>
      <c r="C49" s="1459"/>
      <c r="D49" s="1460"/>
      <c r="E49" s="1461"/>
      <c r="F49" s="1461"/>
      <c r="G49" s="1461"/>
      <c r="H49" s="1461"/>
      <c r="I49" s="1462"/>
      <c r="J49" s="1461"/>
      <c r="K49" s="1462"/>
      <c r="L49" s="2364"/>
      <c r="M49" s="2371"/>
      <c r="N49" s="2110"/>
      <c r="O49" s="2110"/>
      <c r="P49" s="2110"/>
      <c r="R49" s="2110"/>
      <c r="S49" s="2110"/>
      <c r="T49" s="2110"/>
      <c r="U49" s="2110"/>
      <c r="V49" s="2110"/>
    </row>
    <row r="50" spans="1:22" ht="12" customHeight="1">
      <c r="A50" s="1101">
        <v>510</v>
      </c>
      <c r="B50" s="1102" t="s">
        <v>499</v>
      </c>
      <c r="C50" s="397">
        <f>E12</f>
        <v>25764.39</v>
      </c>
      <c r="D50" s="281"/>
      <c r="E50" s="397">
        <f>Motpart!D29</f>
        <v>2639.672</v>
      </c>
      <c r="F50" s="397">
        <f>Motpart!E29</f>
        <v>636.23800000000006</v>
      </c>
      <c r="G50" s="397">
        <f>Motpart!F29</f>
        <v>20915.705000000002</v>
      </c>
      <c r="H50" s="397">
        <f>Motpart!G29</f>
        <v>344.68099999999998</v>
      </c>
      <c r="I50" s="397">
        <f>Motpart!H29</f>
        <v>231.40600000000001</v>
      </c>
      <c r="J50" s="397">
        <f>Motpart!I29</f>
        <v>2.4129999999999998</v>
      </c>
      <c r="K50" s="1770"/>
      <c r="L50" s="2365">
        <f>Motpart!K29</f>
        <v>994.22500000000002</v>
      </c>
      <c r="M50" s="2373">
        <f>Motpart!L29</f>
        <v>4.9000000000000002E-2</v>
      </c>
      <c r="N50" s="2110"/>
      <c r="O50" s="2110"/>
      <c r="P50" s="2110"/>
      <c r="R50" s="2110"/>
      <c r="S50" s="2110"/>
      <c r="T50" s="2110"/>
      <c r="U50" s="2110"/>
      <c r="V50" s="2110"/>
    </row>
    <row r="51" spans="1:22" ht="12.75">
      <c r="A51" s="1078">
        <v>5101</v>
      </c>
      <c r="B51" s="1103" t="s">
        <v>433</v>
      </c>
      <c r="C51" s="398">
        <f>E13</f>
        <v>8301.2459999999992</v>
      </c>
      <c r="D51" s="131"/>
      <c r="E51" s="128">
        <v>360.85500000000002</v>
      </c>
      <c r="F51" s="128">
        <v>258.65199999999999</v>
      </c>
      <c r="G51" s="128">
        <v>7336.4979999999996</v>
      </c>
      <c r="H51" s="128">
        <v>70.063999999999993</v>
      </c>
      <c r="I51" s="128">
        <v>30.658999999999999</v>
      </c>
      <c r="J51" s="128">
        <v>0.27600000000000002</v>
      </c>
      <c r="K51" s="1771"/>
      <c r="L51" s="2366">
        <v>244.148</v>
      </c>
      <c r="M51" s="2374">
        <v>7.0000000000000007E-2</v>
      </c>
      <c r="N51" s="2110"/>
      <c r="O51" s="2110"/>
      <c r="P51" s="2110"/>
      <c r="R51" s="2110"/>
      <c r="S51" s="2110"/>
      <c r="T51" s="2110"/>
      <c r="U51" s="2110"/>
      <c r="V51" s="2110"/>
    </row>
    <row r="52" spans="1:22" ht="12.75">
      <c r="A52" s="1078">
        <v>5103</v>
      </c>
      <c r="B52" s="1104" t="s">
        <v>432</v>
      </c>
      <c r="C52" s="398">
        <f>E14</f>
        <v>709.46699999999998</v>
      </c>
      <c r="D52" s="131"/>
      <c r="E52" s="128">
        <v>37.136000000000003</v>
      </c>
      <c r="F52" s="128">
        <v>37.094000000000001</v>
      </c>
      <c r="G52" s="128">
        <v>418.96899999999999</v>
      </c>
      <c r="H52" s="128">
        <v>44.972000000000001</v>
      </c>
      <c r="I52" s="128">
        <v>150.63</v>
      </c>
      <c r="J52" s="128">
        <v>1.6E-2</v>
      </c>
      <c r="K52" s="1771"/>
      <c r="L52" s="2366">
        <v>20.635999999999999</v>
      </c>
      <c r="M52" s="2375">
        <v>2E-3</v>
      </c>
      <c r="N52" s="2110"/>
      <c r="O52" s="2110"/>
      <c r="P52" s="2110"/>
      <c r="R52" s="2110"/>
      <c r="S52" s="2110"/>
      <c r="T52" s="2110"/>
      <c r="U52" s="2110"/>
      <c r="V52" s="2110"/>
    </row>
    <row r="53" spans="1:22" ht="12.75">
      <c r="A53" s="2425">
        <v>5102</v>
      </c>
      <c r="B53" s="2428" t="s">
        <v>1206</v>
      </c>
      <c r="C53" s="2053">
        <f>E16</f>
        <v>16172.678</v>
      </c>
      <c r="D53" s="131"/>
      <c r="E53" s="2054">
        <v>2198.3290000000002</v>
      </c>
      <c r="F53" s="2054">
        <v>330.85700000000003</v>
      </c>
      <c r="G53" s="2054">
        <v>12678.045</v>
      </c>
      <c r="H53" s="2054">
        <v>215.08699999999999</v>
      </c>
      <c r="I53" s="2054">
        <v>43.106000000000002</v>
      </c>
      <c r="J53" s="2054">
        <v>0.88100000000000001</v>
      </c>
      <c r="K53" s="2055">
        <v>0</v>
      </c>
      <c r="L53" s="2367">
        <v>706.39700000000005</v>
      </c>
      <c r="M53" s="2376">
        <v>-2.5000000000000001E-2</v>
      </c>
      <c r="N53" s="2110"/>
      <c r="O53" s="2110"/>
      <c r="P53" s="2110"/>
      <c r="R53" s="2110"/>
      <c r="S53" s="2110"/>
      <c r="T53" s="2110"/>
      <c r="U53" s="2110"/>
      <c r="V53" s="2110"/>
    </row>
    <row r="54" spans="1:22" ht="12.75">
      <c r="A54" s="2426">
        <v>5107</v>
      </c>
      <c r="B54" s="2429" t="s">
        <v>1194</v>
      </c>
      <c r="C54" s="399">
        <f>E17</f>
        <v>330.48399999999998</v>
      </c>
      <c r="D54" s="132"/>
      <c r="E54" s="297">
        <v>23.12</v>
      </c>
      <c r="F54" s="297">
        <v>0</v>
      </c>
      <c r="G54" s="297">
        <v>297.69499999999999</v>
      </c>
      <c r="H54" s="297">
        <v>1.9079999999999999</v>
      </c>
      <c r="I54" s="297">
        <v>0.51200000000000001</v>
      </c>
      <c r="J54" s="297">
        <v>0.57199999999999995</v>
      </c>
      <c r="K54" s="1772"/>
      <c r="L54" s="2368">
        <v>6.6769999999999996</v>
      </c>
      <c r="M54" s="2377">
        <v>0</v>
      </c>
      <c r="N54" s="2110"/>
      <c r="O54" s="2110"/>
      <c r="P54" s="2110"/>
      <c r="R54" s="2110"/>
      <c r="S54" s="2110"/>
      <c r="T54" s="2110"/>
      <c r="U54" s="2110"/>
      <c r="V54" s="2110"/>
    </row>
    <row r="55" spans="1:22" ht="12.75">
      <c r="A55" s="1105">
        <v>520</v>
      </c>
      <c r="B55" s="1060" t="s">
        <v>441</v>
      </c>
      <c r="C55" s="397">
        <f>E22</f>
        <v>3923.1370000000002</v>
      </c>
      <c r="D55" s="131"/>
      <c r="E55" s="397">
        <f>Motpart!D30</f>
        <v>268.27699999999999</v>
      </c>
      <c r="F55" s="397">
        <f>Motpart!E30</f>
        <v>16.358000000000001</v>
      </c>
      <c r="G55" s="397">
        <f>Motpart!F30</f>
        <v>3444.5479999999998</v>
      </c>
      <c r="H55" s="397">
        <f>Motpart!G30</f>
        <v>43.96</v>
      </c>
      <c r="I55" s="397">
        <f>Motpart!H30</f>
        <v>17.564</v>
      </c>
      <c r="J55" s="397">
        <f>Motpart!I30</f>
        <v>6.6440000000000001</v>
      </c>
      <c r="K55" s="1770"/>
      <c r="L55" s="2365">
        <f>Motpart!K30</f>
        <v>125.783</v>
      </c>
      <c r="M55" s="2378">
        <f>Motpart!L30</f>
        <v>3.0000000000000001E-3</v>
      </c>
      <c r="N55" s="2110"/>
      <c r="O55" s="2110"/>
      <c r="P55" s="2110"/>
      <c r="R55" s="2110"/>
      <c r="S55" s="2110"/>
      <c r="T55" s="2110"/>
      <c r="U55" s="2110"/>
      <c r="V55" s="2110"/>
    </row>
    <row r="56" spans="1:22" ht="12.75">
      <c r="A56" s="1078">
        <v>5201</v>
      </c>
      <c r="B56" s="1103" t="s">
        <v>435</v>
      </c>
      <c r="C56" s="398">
        <f>E23</f>
        <v>679.52</v>
      </c>
      <c r="D56" s="130"/>
      <c r="E56" s="128">
        <v>19.056000000000001</v>
      </c>
      <c r="F56" s="128">
        <v>11.824999999999999</v>
      </c>
      <c r="G56" s="128">
        <v>626.44500000000005</v>
      </c>
      <c r="H56" s="128">
        <v>5.3810000000000002</v>
      </c>
      <c r="I56" s="128">
        <v>2.0249999999999999</v>
      </c>
      <c r="J56" s="128">
        <v>0.252</v>
      </c>
      <c r="K56" s="1771"/>
      <c r="L56" s="2366">
        <v>14.518000000000001</v>
      </c>
      <c r="M56" s="2375">
        <v>1E-3</v>
      </c>
      <c r="N56" s="2110"/>
      <c r="O56" s="2110"/>
      <c r="P56" s="2110"/>
      <c r="R56" s="2110"/>
      <c r="S56" s="2110"/>
      <c r="T56" s="2110"/>
      <c r="U56" s="2110"/>
      <c r="V56" s="2110"/>
    </row>
    <row r="57" spans="1:22" ht="12.75">
      <c r="A57" s="1078">
        <v>5203</v>
      </c>
      <c r="B57" s="1103" t="s">
        <v>432</v>
      </c>
      <c r="C57" s="398">
        <f>E25</f>
        <v>340.78800000000001</v>
      </c>
      <c r="D57" s="130"/>
      <c r="E57" s="128">
        <v>39.603000000000002</v>
      </c>
      <c r="F57" s="128">
        <v>0.47</v>
      </c>
      <c r="G57" s="128">
        <v>296.55399999999997</v>
      </c>
      <c r="H57" s="128">
        <v>1.2170000000000001</v>
      </c>
      <c r="I57" s="128">
        <v>2.89</v>
      </c>
      <c r="J57" s="128">
        <v>0</v>
      </c>
      <c r="K57" s="1771">
        <v>0</v>
      </c>
      <c r="L57" s="2366">
        <v>0.04</v>
      </c>
      <c r="M57" s="2375">
        <v>0</v>
      </c>
      <c r="N57" s="2110"/>
      <c r="O57" s="2110"/>
      <c r="P57" s="2110"/>
      <c r="R57" s="2110"/>
      <c r="S57" s="2110"/>
      <c r="T57" s="2110"/>
      <c r="U57" s="2110"/>
      <c r="V57" s="2110"/>
    </row>
    <row r="58" spans="1:22" ht="12.75">
      <c r="A58" s="1106">
        <v>5205</v>
      </c>
      <c r="B58" s="1057" t="s">
        <v>467</v>
      </c>
      <c r="C58" s="399">
        <f>E27</f>
        <v>2354.0529999999999</v>
      </c>
      <c r="D58" s="280"/>
      <c r="E58" s="128">
        <v>149.95400000000001</v>
      </c>
      <c r="F58" s="128">
        <v>2.4710000000000001</v>
      </c>
      <c r="G58" s="128">
        <v>2115.0720000000001</v>
      </c>
      <c r="H58" s="128">
        <v>21.391999999999999</v>
      </c>
      <c r="I58" s="128">
        <v>6.423</v>
      </c>
      <c r="J58" s="128">
        <v>2.379</v>
      </c>
      <c r="K58" s="1771"/>
      <c r="L58" s="2366">
        <v>56.354999999999997</v>
      </c>
      <c r="M58" s="2377">
        <v>0</v>
      </c>
      <c r="N58" s="2110"/>
      <c r="O58" s="2110"/>
      <c r="P58" s="2110"/>
      <c r="R58" s="2110"/>
      <c r="S58" s="2110"/>
      <c r="T58" s="2110"/>
      <c r="U58" s="2110"/>
      <c r="V58" s="2110"/>
    </row>
    <row r="59" spans="1:22" ht="12.75">
      <c r="A59" s="1107">
        <v>513</v>
      </c>
      <c r="B59" s="1108" t="s">
        <v>440</v>
      </c>
      <c r="C59" s="397">
        <f>E32</f>
        <v>16213.316999999999</v>
      </c>
      <c r="D59" s="281"/>
      <c r="E59" s="397">
        <f>Motpart!D31</f>
        <v>1666.952</v>
      </c>
      <c r="F59" s="397">
        <f>Motpart!E31</f>
        <v>305.11099999999999</v>
      </c>
      <c r="G59" s="397">
        <f>Motpart!F31</f>
        <v>13323.973</v>
      </c>
      <c r="H59" s="397">
        <f>Motpart!G31</f>
        <v>315.06900000000002</v>
      </c>
      <c r="I59" s="397">
        <f>Motpart!H31</f>
        <v>91.161000000000001</v>
      </c>
      <c r="J59" s="397">
        <f>Motpart!I31</f>
        <v>38.765000000000001</v>
      </c>
      <c r="K59" s="1770"/>
      <c r="L59" s="2365">
        <f>Motpart!K31</f>
        <v>471.90899999999999</v>
      </c>
      <c r="M59" s="2378">
        <f>Motpart!L31</f>
        <v>0.377</v>
      </c>
      <c r="N59" s="2110"/>
      <c r="O59" s="2110"/>
      <c r="P59" s="2110"/>
      <c r="R59" s="2110"/>
      <c r="S59" s="2110"/>
      <c r="T59" s="2110"/>
      <c r="U59" s="2110"/>
      <c r="V59" s="2110"/>
    </row>
    <row r="60" spans="1:22" ht="13.5" thickBot="1">
      <c r="A60" s="1071">
        <v>5131</v>
      </c>
      <c r="B60" s="1109" t="s">
        <v>189</v>
      </c>
      <c r="C60" s="400">
        <f>E33</f>
        <v>7578.018</v>
      </c>
      <c r="D60" s="282"/>
      <c r="E60" s="298">
        <v>990.21699999999998</v>
      </c>
      <c r="F60" s="298">
        <v>193.446</v>
      </c>
      <c r="G60" s="298">
        <v>6095.308</v>
      </c>
      <c r="H60" s="298">
        <v>45.796999999999997</v>
      </c>
      <c r="I60" s="298">
        <v>13.837999999999999</v>
      </c>
      <c r="J60" s="298">
        <v>5.5510000000000002</v>
      </c>
      <c r="K60" s="1773">
        <v>0</v>
      </c>
      <c r="L60" s="2369">
        <v>233.846</v>
      </c>
      <c r="M60" s="2379">
        <v>1.2E-2</v>
      </c>
      <c r="N60" s="2110"/>
      <c r="O60" s="2110"/>
      <c r="P60" s="2110"/>
      <c r="R60" s="2110"/>
      <c r="S60" s="2110"/>
      <c r="T60" s="2110"/>
      <c r="U60" s="2110"/>
      <c r="V60" s="2110"/>
    </row>
    <row r="61" spans="1:22" ht="12.75">
      <c r="D61" s="308" t="str">
        <f>IF(OR(COUNTIF(D50:D60,"&lt;-5")&gt;0,(COUNTIF(D50:D60,"&gt;5")&gt;0)),"Rätta differenserna i kolumn D","")</f>
        <v/>
      </c>
      <c r="N61" s="299"/>
      <c r="O61" s="300"/>
    </row>
    <row r="62" spans="1:22" ht="12.75"/>
  </sheetData>
  <sheetProtection algorithmName="SHA-512" hashValue="XIdzQ8SkiICQlHN9VZIS0B9F46y/J1vce14oo1SpHjeKye4lsme6dg0w79+NjnFH0tWr4hAhPHL+Gy+aTAnJiQ==" saltValue="9aPpkgC88ZxjOyJyVxI6jw==" spinCount="100000" sheet="1" objects="1" scenarios="1"/>
  <customSheetViews>
    <customSheetView guid="{97D6DB71-3F4C-4C5F-8C5B-51E3EBF78932}" showPageBreaks="1" showGridLines="0" fitToPage="1" hiddenRows="1" hiddenColumns="1" topLeftCell="A15">
      <selection activeCell="A44" sqref="A44:B48"/>
      <pageMargins left="0.31496062992125984" right="0.6692913385826772" top="0.74803149606299213" bottom="0.15748031496062992" header="0.31496062992125984" footer="0.31496062992125984"/>
      <pageSetup paperSize="9" scale="54" orientation="landscape" r:id="rId1"/>
      <headerFooter>
        <oddHeader>&amp;L&amp;8Statistiska Centralbyrån
Offentlig ekonomi&amp;R&amp;P</oddHeader>
      </headerFooter>
    </customSheetView>
    <customSheetView guid="{99FBDEB7-DD08-4F57-81F4-3C180403E153}" showGridLines="0" fitToPage="1" hiddenRows="1" hiddenColumns="1">
      <selection activeCell="A43" sqref="A43:B47"/>
      <pageMargins left="0.31496062992125984" right="0.6692913385826772" top="0.74803149606299213" bottom="0.15748031496062992" header="0.31496062992125984" footer="0.31496062992125984"/>
      <pageSetup paperSize="9" scale="56" orientation="landscape" r:id="rId2"/>
      <headerFooter>
        <oddHeader>&amp;L&amp;8Statistiska Centralbyrån
Offentlig ekonomi&amp;R&amp;P</oddHeader>
      </headerFooter>
    </customSheetView>
    <customSheetView guid="{27C9E95B-0E2B-454F-B637-1CECC9579A10}" showGridLines="0" fitToPage="1" hiddenRows="1" hiddenColumns="1" showRuler="0">
      <selection activeCell="J30" sqref="J30"/>
      <pageMargins left="0.31496062992125984" right="0.6692913385826772" top="0.74803149606299213" bottom="0.15748031496062992" header="0.31496062992125984" footer="0.31496062992125984"/>
      <pageSetup paperSize="9" scale="56" orientation="landscape" r:id="rId3"/>
      <headerFooter alignWithMargins="0">
        <oddHeader>&amp;L&amp;8Statistiska Centralbyrån
Offentlig ekonomi&amp;R&amp;P</oddHeader>
      </headerFooter>
    </customSheetView>
  </customSheetViews>
  <mergeCells count="15">
    <mergeCell ref="A46:B48"/>
    <mergeCell ref="K46:K47"/>
    <mergeCell ref="F6:F7"/>
    <mergeCell ref="G6:G7"/>
    <mergeCell ref="H6:H7"/>
    <mergeCell ref="H9:H11"/>
    <mergeCell ref="E6:E7"/>
    <mergeCell ref="I6:I7"/>
    <mergeCell ref="D6:D7"/>
    <mergeCell ref="D9:D10"/>
    <mergeCell ref="O4:O6"/>
    <mergeCell ref="Q6:R7"/>
    <mergeCell ref="R24:R30"/>
    <mergeCell ref="R37:R39"/>
    <mergeCell ref="R16:R19"/>
  </mergeCells>
  <phoneticPr fontId="89" type="noConversion"/>
  <conditionalFormatting sqref="B21 B31 B39">
    <cfRule type="expression" dxfId="27" priority="99" stopIfTrue="1">
      <formula>OR(C21&gt;5,C21&lt;-5,E21&gt;5,E21&lt;-5,F21&gt;5,F21&lt;-5,G21&gt;5,G21&lt;-5,H21&gt;5,H21&lt;-5,I21&gt;5,I21&lt;-5,J21&gt;5,J21&lt;-5)</formula>
    </cfRule>
  </conditionalFormatting>
  <conditionalFormatting sqref="C13:J19">
    <cfRule type="cellIs" dxfId="26" priority="7" stopIfTrue="1" operator="lessThan">
      <formula>0</formula>
    </cfRule>
  </conditionalFormatting>
  <conditionalFormatting sqref="C23:J29">
    <cfRule type="cellIs" dxfId="25" priority="8" stopIfTrue="1" operator="lessThan">
      <formula>0</formula>
    </cfRule>
  </conditionalFormatting>
  <conditionalFormatting sqref="C33:J37">
    <cfRule type="cellIs" dxfId="24" priority="12" stopIfTrue="1" operator="lessThan">
      <formula>0</formula>
    </cfRule>
  </conditionalFormatting>
  <conditionalFormatting sqref="R14:R15">
    <cfRule type="expression" dxfId="23" priority="189">
      <formula>IF(C12=0,"",IF(C18&gt;1,"",IF(K18=0,N18&lt;&gt;0)))</formula>
    </cfRule>
    <cfRule type="expression" dxfId="22" priority="190">
      <formula>IF(C12=0,"",IF(C16&gt;1,"",IF(K16=0,N16&lt;&gt;0)))</formula>
    </cfRule>
    <cfRule type="expression" dxfId="21" priority="191">
      <formula>IF(C12=0,"",IF(C15&gt;1,"",IF(K15=0,N15&lt;&gt;0)))</formula>
    </cfRule>
    <cfRule type="expression" dxfId="20" priority="192">
      <formula>IF(C12=0,"",IF(C14&gt;1,"",IF(K14=0,N14&lt;&gt;0)))</formula>
    </cfRule>
    <cfRule type="expression" dxfId="19" priority="193">
      <formula>IF(C12=0,"",IF(C13&gt;1,"",IF(K13=0,N13&lt;&gt;0)))</formula>
    </cfRule>
  </conditionalFormatting>
  <conditionalFormatting sqref="R16">
    <cfRule type="expression" dxfId="18" priority="1">
      <formula>$P$16="Kontrollera förändringen"</formula>
    </cfRule>
    <cfRule type="expression" dxfId="17" priority="2">
      <formula>$P$16="Kommentera förändringen"</formula>
    </cfRule>
  </conditionalFormatting>
  <conditionalFormatting sqref="R20">
    <cfRule type="expression" dxfId="16" priority="194">
      <formula>IF(C17=0,"",IF(C23&gt;1,"",IF(K23=0,N23&lt;&gt;0)))</formula>
    </cfRule>
    <cfRule type="expression" dxfId="15" priority="195">
      <formula>IF(C17=0,"",IF(C22&gt;1,"",IF(K22=0,N22&lt;&gt;0)))</formula>
    </cfRule>
    <cfRule type="expression" dxfId="14" priority="196">
      <formula>IF(C17=0,"",IF(C21&gt;1,"",IF(K21=0,N21&lt;&gt;0)))</formula>
    </cfRule>
    <cfRule type="expression" dxfId="13" priority="197">
      <formula>IF(C17=0,"",IF(C20&gt;1,"",IF(K20=0,N20&lt;&gt;0)))</formula>
    </cfRule>
    <cfRule type="expression" dxfId="12" priority="198">
      <formula>IF(C17=0,"",IF(C18&gt;1,"",IF(K18=0,N18&lt;&gt;0)))</formula>
    </cfRule>
  </conditionalFormatting>
  <conditionalFormatting sqref="R24:R29">
    <cfRule type="expression" dxfId="11" priority="23">
      <formula>IF(C22=0,"",IF(C28&gt;1,"",IF(K28=0,N28&lt;&gt;0)))</formula>
    </cfRule>
    <cfRule type="expression" dxfId="10" priority="24">
      <formula>IF(C22=0,"",IF(C27&gt;1,"",IF(K27=0,N27&lt;&gt;0)))</formula>
    </cfRule>
    <cfRule type="expression" dxfId="9" priority="25">
      <formula>IF(C22=0,"",IF(C26&gt;1,"",IF(K26=0,N26&lt;&gt;0)))</formula>
    </cfRule>
    <cfRule type="expression" dxfId="8" priority="26">
      <formula>IF(C22=0,"",IF(C24&gt;1,"",IF(K24=0,N24&lt;&gt;0)))</formula>
    </cfRule>
    <cfRule type="expression" dxfId="7" priority="27">
      <formula>IF(C22=0,"",IF(C23&gt;1,"",IF(K23=0,N23&lt;&gt;0)))</formula>
    </cfRule>
  </conditionalFormatting>
  <conditionalFormatting sqref="R24:R30">
    <cfRule type="expression" dxfId="6" priority="14">
      <formula>IF(C22=0,"",IF(C25&gt;1,"",IF(K25=0,N25&lt;&gt;0)))</formula>
    </cfRule>
  </conditionalFormatting>
  <conditionalFormatting sqref="R37:R39">
    <cfRule type="expression" dxfId="5" priority="15">
      <formula>IF(C32=0,"",IF(C36&gt;1,"",IF(K36=0,N36&lt;&gt;0)))</formula>
    </cfRule>
    <cfRule type="expression" dxfId="4" priority="16">
      <formula>IF(C32=0,"",IF(C35&gt;1,"",IF(K35=0,N35&lt;&gt;0)))</formula>
    </cfRule>
    <cfRule type="expression" dxfId="3" priority="17">
      <formula>IF(C32=0,"",IF(C34&gt;1,"",IF(K34=0,N34&lt;&gt;0)))</formula>
    </cfRule>
    <cfRule type="expression" dxfId="2" priority="18">
      <formula>IF(C32=0,"",IF(C33&gt;1,"",IF(K33=0,N33&lt;&gt;0)))</formula>
    </cfRule>
  </conditionalFormatting>
  <dataValidations count="2">
    <dataValidation type="decimal" operator="lessThan" allowBlank="1" showInputMessage="1" showErrorMessage="1" error="Beloppen ska vara i 1000 tal kronor" sqref="E60:M60 J30:J32 C31:H32 I22 G44 E51:M58 D30:H30 C33:J38 I30:I31 C23:C30 D23:J29 C13:J21" xr:uid="{00000000-0002-0000-0900-000000000000}">
      <formula1>99999999</formula1>
    </dataValidation>
    <dataValidation type="decimal" operator="lessThan" allowBlank="1" showInputMessage="1" showErrorMessage="1" error="Beloppet ska vara i 1000 tal kr" sqref="I32" xr:uid="{00000000-0002-0000-0900-000001000000}">
      <formula1>99999999</formula1>
    </dataValidation>
  </dataValidations>
  <pageMargins left="0.43" right="0.17" top="0.43" bottom="0.15748031496062992" header="0.21" footer="0.31496062992125984"/>
  <pageSetup paperSize="9" scale="70" orientation="landscape" r:id="rId4"/>
  <headerFooter>
    <oddHeader>&amp;L&amp;8Statistiska Centralbyrån
Offentlig ekonomi&amp;R&amp;P</oddHeader>
  </headerFooter>
  <drawing r:id="rId5"/>
  <legacy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3">
    <tabColor rgb="FFFFFF00"/>
  </sheetPr>
  <dimension ref="A1:S38"/>
  <sheetViews>
    <sheetView showGridLines="0" zoomScaleNormal="100" workbookViewId="0">
      <pane xSplit="2" ySplit="11" topLeftCell="C12" activePane="bottomRight" state="frozen"/>
      <selection activeCell="F36" sqref="F36"/>
      <selection pane="topRight" activeCell="F36" sqref="F36"/>
      <selection pane="bottomLeft" activeCell="F36" sqref="F36"/>
      <selection pane="bottomRight" activeCell="C12" sqref="C12"/>
    </sheetView>
  </sheetViews>
  <sheetFormatPr defaultColWidth="0" defaultRowHeight="12.75" zeroHeight="1"/>
  <cols>
    <col min="1" max="1" width="5.5703125" style="266" customWidth="1"/>
    <col min="2" max="2" width="34.42578125" style="1673" customWidth="1"/>
    <col min="3" max="7" width="9.42578125" style="1673" customWidth="1"/>
    <col min="8" max="10" width="12.42578125" style="1673" customWidth="1"/>
    <col min="11" max="11" width="9.5703125" style="269" customWidth="1"/>
    <col min="12" max="12" width="1" style="269" customWidth="1"/>
    <col min="13" max="13" width="7" style="269" customWidth="1"/>
    <col min="14" max="19" width="9.42578125" style="269" customWidth="1"/>
    <col min="20" max="16384" width="0" style="269" hidden="1"/>
  </cols>
  <sheetData>
    <row r="1" spans="1:19" s="1649" customFormat="1" ht="21.75">
      <c r="A1" s="73" t="str">
        <f>"Specificering individ- och familjeomsorg "&amp;År&amp;", miljoner kronor"</f>
        <v>Specificering individ- och familjeomsorg 2024, miljoner kronor</v>
      </c>
      <c r="B1" s="74"/>
      <c r="C1" s="74"/>
      <c r="D1" s="74"/>
      <c r="E1" s="267"/>
      <c r="F1" s="267"/>
      <c r="G1" s="267"/>
      <c r="H1" s="267"/>
      <c r="I1" s="484" t="s">
        <v>446</v>
      </c>
      <c r="J1" s="485" t="str">
        <f>Information!A2</f>
        <v>RIKSTOTAL</v>
      </c>
      <c r="K1" s="267"/>
      <c r="L1" s="267"/>
      <c r="M1" s="267"/>
      <c r="N1" s="267"/>
      <c r="O1" s="267"/>
      <c r="P1" s="267"/>
      <c r="Q1" s="267"/>
      <c r="R1" s="267"/>
      <c r="S1" s="267"/>
    </row>
    <row r="2" spans="1:19" s="268" customFormat="1" ht="12.75" customHeight="1">
      <c r="A2" s="2110"/>
      <c r="B2" s="2110"/>
      <c r="C2" s="2110"/>
      <c r="D2" s="2110"/>
      <c r="E2" s="2110"/>
      <c r="F2" s="2110"/>
      <c r="G2" s="2110"/>
      <c r="H2" s="2110"/>
      <c r="I2" s="2110"/>
      <c r="J2" s="2110"/>
      <c r="K2" s="2110"/>
      <c r="L2" s="2110"/>
      <c r="M2" s="2110"/>
      <c r="N2" s="2110"/>
      <c r="O2" s="2110"/>
      <c r="P2" s="2110"/>
      <c r="Q2" s="2110"/>
      <c r="R2" s="2110"/>
      <c r="S2" s="2110"/>
    </row>
    <row r="3" spans="1:19" s="1649" customFormat="1" ht="12.75" customHeight="1" thickBot="1">
      <c r="A3" s="2110"/>
      <c r="B3" s="2110"/>
      <c r="C3" s="2110"/>
      <c r="D3" s="2110"/>
      <c r="E3" s="2110"/>
      <c r="F3" s="2110"/>
      <c r="G3" s="2110"/>
      <c r="H3" s="2110"/>
      <c r="I3" s="2110"/>
      <c r="J3" s="2110"/>
      <c r="K3" s="2110"/>
      <c r="L3" s="2110"/>
      <c r="M3" s="2110"/>
      <c r="N3" s="2110"/>
      <c r="O3" s="2110"/>
      <c r="P3" s="2110"/>
      <c r="Q3" s="2110"/>
      <c r="R3" s="2110"/>
      <c r="S3" s="2110"/>
    </row>
    <row r="4" spans="1:19" s="270" customFormat="1" ht="18" customHeight="1">
      <c r="A4" s="608" t="s">
        <v>603</v>
      </c>
      <c r="B4" s="1650" t="s">
        <v>13</v>
      </c>
      <c r="C4" s="1647"/>
      <c r="D4" s="1798"/>
      <c r="E4" s="1798"/>
      <c r="F4" s="1646"/>
      <c r="G4" s="1647"/>
      <c r="H4" s="1651" t="s">
        <v>896</v>
      </c>
      <c r="I4" s="1484" t="s">
        <v>906</v>
      </c>
      <c r="J4" s="1485"/>
      <c r="K4" s="2657" t="str">
        <f>"Förändring kostnader för eget åtagande "&amp;År-1&amp;"-"&amp;År&amp;" procent"</f>
        <v>Förändring kostnader för eget åtagande 2023-2024 procent</v>
      </c>
      <c r="L4" s="2110"/>
      <c r="M4" s="2460"/>
      <c r="N4" s="2472"/>
      <c r="O4" s="2110"/>
      <c r="P4" s="2110"/>
      <c r="Q4" s="2110"/>
      <c r="R4" s="2110"/>
      <c r="S4" s="2110"/>
    </row>
    <row r="5" spans="1:19" s="270" customFormat="1" ht="15" customHeight="1">
      <c r="A5" s="610" t="s">
        <v>605</v>
      </c>
      <c r="B5" s="1447"/>
      <c r="C5" s="1262" t="s">
        <v>39</v>
      </c>
      <c r="D5" s="1262"/>
      <c r="E5" s="1262"/>
      <c r="F5" s="1648"/>
      <c r="G5" s="1648"/>
      <c r="H5" s="1495" t="s">
        <v>910</v>
      </c>
      <c r="I5" s="1486" t="s">
        <v>903</v>
      </c>
      <c r="J5" s="1487"/>
      <c r="K5" s="2658"/>
      <c r="L5" s="2110"/>
      <c r="M5" s="2461"/>
      <c r="N5" s="2473"/>
      <c r="O5" s="2110"/>
      <c r="P5" s="2110"/>
      <c r="Q5" s="2110"/>
      <c r="R5" s="2110"/>
      <c r="S5" s="2110"/>
    </row>
    <row r="6" spans="1:19" s="270" customFormat="1" ht="24" customHeight="1">
      <c r="A6" s="1111"/>
      <c r="B6" s="1653"/>
      <c r="C6" s="1262" t="s">
        <v>41</v>
      </c>
      <c r="D6" s="2661" t="s">
        <v>963</v>
      </c>
      <c r="E6" s="2661" t="s">
        <v>969</v>
      </c>
      <c r="F6" s="2663" t="s">
        <v>143</v>
      </c>
      <c r="G6" s="2659" t="s">
        <v>1030</v>
      </c>
      <c r="H6" s="1496" t="s">
        <v>909</v>
      </c>
      <c r="I6" s="1654"/>
      <c r="J6" s="1655"/>
      <c r="K6" s="2658"/>
      <c r="L6" s="2110"/>
      <c r="M6" s="2462" t="str">
        <f>"Nämnare nyckeltal"</f>
        <v>Nämnare nyckeltal</v>
      </c>
      <c r="N6" s="2474"/>
      <c r="O6" s="2110"/>
      <c r="P6" s="2110"/>
      <c r="Q6" s="2110"/>
      <c r="R6" s="2110"/>
      <c r="S6" s="2110"/>
    </row>
    <row r="7" spans="1:19" s="270" customFormat="1" ht="27.6" customHeight="1">
      <c r="A7" s="978"/>
      <c r="B7" s="1656"/>
      <c r="C7" s="1262"/>
      <c r="D7" s="2662"/>
      <c r="E7" s="2662"/>
      <c r="F7" s="2664"/>
      <c r="G7" s="2659"/>
      <c r="H7" s="1482" t="s">
        <v>1031</v>
      </c>
      <c r="I7" s="1498" t="s">
        <v>908</v>
      </c>
      <c r="J7" s="1497" t="s">
        <v>908</v>
      </c>
      <c r="K7" s="2447"/>
      <c r="L7" s="2110"/>
      <c r="M7" s="2462"/>
      <c r="N7" s="2474"/>
      <c r="O7" s="2110"/>
      <c r="P7" s="2110"/>
      <c r="Q7" s="2110"/>
      <c r="R7" s="2110"/>
      <c r="S7" s="2110"/>
    </row>
    <row r="8" spans="1:19" s="270" customFormat="1" ht="12" customHeight="1">
      <c r="A8" s="1111"/>
      <c r="B8" s="1657"/>
      <c r="C8" s="1648"/>
      <c r="D8" s="2662"/>
      <c r="E8" s="2662"/>
      <c r="F8" s="2664"/>
      <c r="G8" s="2665"/>
      <c r="H8" s="1871" t="s">
        <v>1032</v>
      </c>
      <c r="I8" s="1058">
        <f>År</f>
        <v>2024</v>
      </c>
      <c r="J8" s="1058">
        <f>År-1</f>
        <v>2023</v>
      </c>
      <c r="K8" s="2448"/>
      <c r="L8" s="2110"/>
      <c r="M8" s="2463"/>
      <c r="N8" s="2475"/>
      <c r="O8" s="2110"/>
      <c r="P8" s="2110"/>
      <c r="Q8" s="2110"/>
      <c r="R8" s="2110"/>
      <c r="S8" s="2110"/>
    </row>
    <row r="9" spans="1:19" s="270" customFormat="1" ht="21" customHeight="1">
      <c r="A9" s="1111"/>
      <c r="B9" s="1657"/>
      <c r="C9" s="1648"/>
      <c r="D9" s="2659" t="s">
        <v>1048</v>
      </c>
      <c r="E9" s="1674" t="s">
        <v>767</v>
      </c>
      <c r="F9" s="1648"/>
      <c r="G9" s="1965" t="s">
        <v>1029</v>
      </c>
      <c r="H9" s="1483" t="s">
        <v>1027</v>
      </c>
      <c r="I9" s="1658"/>
      <c r="J9" s="1658"/>
      <c r="K9" s="2449"/>
      <c r="L9" s="2110"/>
      <c r="M9" s="2463"/>
      <c r="N9" s="2475"/>
      <c r="O9" s="2110"/>
      <c r="P9" s="2110"/>
      <c r="Q9" s="2110"/>
      <c r="R9" s="2110"/>
      <c r="S9" s="2110"/>
    </row>
    <row r="10" spans="1:19" s="270" customFormat="1" ht="14.25" customHeight="1">
      <c r="A10" s="1111"/>
      <c r="B10" s="1657"/>
      <c r="C10" s="1648"/>
      <c r="D10" s="2656"/>
      <c r="E10" s="1648"/>
      <c r="F10" s="1648"/>
      <c r="G10" s="1648"/>
      <c r="H10" s="1213" t="s">
        <v>1034</v>
      </c>
      <c r="I10" s="1488"/>
      <c r="J10" s="1488"/>
      <c r="K10" s="2449"/>
      <c r="L10" s="2110"/>
      <c r="M10" s="2463"/>
      <c r="N10" s="2475"/>
      <c r="O10" s="2110"/>
      <c r="P10" s="2110"/>
      <c r="Q10" s="2110"/>
      <c r="R10" s="2110"/>
      <c r="S10" s="2110"/>
    </row>
    <row r="11" spans="1:19" s="270" customFormat="1" ht="19.5" customHeight="1">
      <c r="A11" s="1112"/>
      <c r="B11" s="1659"/>
      <c r="C11" s="1120"/>
      <c r="D11" s="2660"/>
      <c r="E11" s="1120"/>
      <c r="F11" s="1120"/>
      <c r="G11" s="1468"/>
      <c r="H11" s="1890" t="s">
        <v>1033</v>
      </c>
      <c r="I11" s="1121"/>
      <c r="J11" s="1121"/>
      <c r="K11" s="2450"/>
      <c r="L11" s="2110"/>
      <c r="M11" s="2464"/>
      <c r="N11" s="2476"/>
      <c r="O11" s="2110"/>
      <c r="P11" s="2110"/>
      <c r="Q11" s="2110"/>
      <c r="R11" s="2110"/>
      <c r="S11" s="2110"/>
    </row>
    <row r="12" spans="1:19" s="270" customFormat="1">
      <c r="A12" s="1113">
        <v>559</v>
      </c>
      <c r="B12" s="1660" t="s">
        <v>477</v>
      </c>
      <c r="C12" s="1661">
        <f>Drift!P79</f>
        <v>9830.6779999999999</v>
      </c>
      <c r="D12" s="1873">
        <f>SUM(Drift!C79:D79)</f>
        <v>4203.7520000000004</v>
      </c>
      <c r="E12" s="1661">
        <f>Drift!F79</f>
        <v>3223.1959999999999</v>
      </c>
      <c r="F12" s="1661">
        <f>Drift!V79</f>
        <v>279.09199999999998</v>
      </c>
      <c r="G12" s="1662">
        <f>Motpart!Y33+Motpart!Z33</f>
        <v>30.492999999999999</v>
      </c>
      <c r="H12" s="1122">
        <f t="shared" ref="H12:H18" si="0">C12-F12-G12</f>
        <v>9521.0929999999989</v>
      </c>
      <c r="I12" s="1123">
        <f>IF(C12&gt;0,H12*1000000/M12,"")</f>
        <v>1625.1018345668974</v>
      </c>
      <c r="J12" s="1123">
        <v>1573.155</v>
      </c>
      <c r="K12" s="2451">
        <f>IF(ISERROR((I12-J12)/J12),"",((I12-J12)/J12))</f>
        <v>3.3020798692371352E-2</v>
      </c>
      <c r="L12" s="2110"/>
      <c r="M12" s="2465">
        <v>5858767</v>
      </c>
      <c r="N12" s="2477" t="s">
        <v>500</v>
      </c>
      <c r="O12" s="2110"/>
      <c r="P12" s="2110"/>
      <c r="Q12" s="2110"/>
      <c r="R12" s="2110"/>
      <c r="S12" s="2110"/>
    </row>
    <row r="13" spans="1:19" s="270" customFormat="1">
      <c r="A13" s="1114">
        <v>552</v>
      </c>
      <c r="B13" s="1447" t="s">
        <v>427</v>
      </c>
      <c r="C13" s="50">
        <v>3948.7020000000002</v>
      </c>
      <c r="D13" s="50">
        <v>1153.826</v>
      </c>
      <c r="E13" s="1652">
        <f>Motpart!C34</f>
        <v>2117.3530000000001</v>
      </c>
      <c r="F13" s="50">
        <v>140.697</v>
      </c>
      <c r="G13" s="1652">
        <f>Motpart!Y34+Motpart!Z34</f>
        <v>10.846</v>
      </c>
      <c r="H13" s="1124">
        <f t="shared" si="0"/>
        <v>3797.1590000000001</v>
      </c>
      <c r="I13" s="1125">
        <f>IF(C13&gt;0,H13*1000000/M12,"")</f>
        <v>648.11572127719023</v>
      </c>
      <c r="J13" s="1125">
        <v>623.92999999999995</v>
      </c>
      <c r="K13" s="2452">
        <f t="shared" ref="K13:K18" si="1">IF(ISERROR((I13-J13)/J13),"",((I13-J13)/J13))</f>
        <v>3.8763517184925045E-2</v>
      </c>
      <c r="L13" s="2110"/>
      <c r="M13" s="2434"/>
      <c r="N13" s="2478"/>
      <c r="O13" s="2110"/>
      <c r="P13" s="2110"/>
      <c r="Q13" s="2110"/>
      <c r="R13" s="2110"/>
      <c r="S13" s="2110"/>
    </row>
    <row r="14" spans="1:19" s="270" customFormat="1">
      <c r="A14" s="1114">
        <v>556</v>
      </c>
      <c r="B14" s="1663" t="s">
        <v>483</v>
      </c>
      <c r="C14" s="50">
        <v>177.922</v>
      </c>
      <c r="D14" s="50">
        <v>59.823999999999998</v>
      </c>
      <c r="E14" s="50">
        <v>85.207999999999998</v>
      </c>
      <c r="F14" s="50">
        <v>5.19</v>
      </c>
      <c r="G14" s="50">
        <v>0.126</v>
      </c>
      <c r="H14" s="1124">
        <f t="shared" si="0"/>
        <v>172.60599999999999</v>
      </c>
      <c r="I14" s="1125">
        <f>IF(C14&gt;0,H14*1000000/M12,"")</f>
        <v>29.461147712479434</v>
      </c>
      <c r="J14" s="1125">
        <v>25.866</v>
      </c>
      <c r="K14" s="2452">
        <f t="shared" si="1"/>
        <v>0.13899125154563652</v>
      </c>
      <c r="L14" s="2110"/>
      <c r="M14" s="2434"/>
      <c r="N14" s="2478"/>
      <c r="O14" s="2110"/>
      <c r="P14" s="2110"/>
      <c r="Q14" s="2110"/>
      <c r="R14" s="2110"/>
      <c r="S14" s="2110"/>
    </row>
    <row r="15" spans="1:19" s="270" customFormat="1">
      <c r="A15" s="1114">
        <v>5581</v>
      </c>
      <c r="B15" s="1663" t="s">
        <v>158</v>
      </c>
      <c r="C15" s="50">
        <v>3401.9059999999999</v>
      </c>
      <c r="D15" s="50">
        <v>1497.0920000000001</v>
      </c>
      <c r="E15" s="50">
        <v>826.95899999999995</v>
      </c>
      <c r="F15" s="50">
        <v>61.682000000000002</v>
      </c>
      <c r="G15" s="50">
        <v>7.3819999999999997</v>
      </c>
      <c r="H15" s="1124">
        <f t="shared" si="0"/>
        <v>3332.8420000000001</v>
      </c>
      <c r="I15" s="1126">
        <f>IF(C15&gt;0,H15*1000000/M12,"")</f>
        <v>568.86406303578894</v>
      </c>
      <c r="J15" s="1126">
        <v>521.57000000000005</v>
      </c>
      <c r="K15" s="2452">
        <f t="shared" si="1"/>
        <v>9.0676348401535531E-2</v>
      </c>
      <c r="L15" s="2110"/>
      <c r="M15" s="2434"/>
      <c r="N15" s="2478"/>
      <c r="O15" s="2110"/>
      <c r="P15" s="2110"/>
      <c r="Q15" s="2110"/>
      <c r="R15" s="2110"/>
      <c r="S15" s="2110"/>
    </row>
    <row r="16" spans="1:19" s="270" customFormat="1">
      <c r="A16" s="1114">
        <v>5582</v>
      </c>
      <c r="B16" s="1663" t="s">
        <v>157</v>
      </c>
      <c r="C16" s="50">
        <v>1609.723</v>
      </c>
      <c r="D16" s="50">
        <v>1070.6790000000001</v>
      </c>
      <c r="E16" s="50">
        <v>118.46599999999999</v>
      </c>
      <c r="F16" s="50">
        <v>54.567999999999998</v>
      </c>
      <c r="G16" s="50">
        <v>6.3070000000000004</v>
      </c>
      <c r="H16" s="1124">
        <f t="shared" si="0"/>
        <v>1548.848</v>
      </c>
      <c r="I16" s="1125">
        <f>IF(C16&gt;0,H16*1000000/M12,"")</f>
        <v>264.3641571682233</v>
      </c>
      <c r="J16" s="1125">
        <v>246.97200000000001</v>
      </c>
      <c r="K16" s="2452">
        <f t="shared" si="1"/>
        <v>7.0421574786709795E-2</v>
      </c>
      <c r="L16" s="2110"/>
      <c r="M16" s="2434"/>
      <c r="N16" s="2478"/>
      <c r="O16" s="2110"/>
      <c r="P16" s="2110"/>
      <c r="Q16" s="2110"/>
      <c r="R16" s="2110"/>
      <c r="S16" s="2110"/>
    </row>
    <row r="17" spans="1:19" s="270" customFormat="1">
      <c r="A17" s="1114">
        <v>5583</v>
      </c>
      <c r="B17" s="1663" t="s">
        <v>159</v>
      </c>
      <c r="C17" s="50">
        <v>692.42600000000004</v>
      </c>
      <c r="D17" s="50">
        <v>422.33100000000002</v>
      </c>
      <c r="E17" s="50">
        <v>75.198999999999998</v>
      </c>
      <c r="F17" s="50">
        <v>16.954999999999998</v>
      </c>
      <c r="G17" s="50">
        <v>5.8330000000000002</v>
      </c>
      <c r="H17" s="1124">
        <f t="shared" si="0"/>
        <v>669.63800000000003</v>
      </c>
      <c r="I17" s="1125">
        <f>IF(C17&gt;0,H17*1000000/M12,"")</f>
        <v>114.2967453732159</v>
      </c>
      <c r="J17" s="1126">
        <v>154.81800000000001</v>
      </c>
      <c r="K17" s="2452">
        <f t="shared" si="1"/>
        <v>-0.26173477649100307</v>
      </c>
      <c r="L17" s="2110"/>
      <c r="M17" s="2434"/>
      <c r="N17" s="2478"/>
      <c r="O17" s="2110"/>
      <c r="P17" s="2110"/>
      <c r="Q17" s="2110"/>
      <c r="R17" s="2110"/>
      <c r="S17" s="2110"/>
    </row>
    <row r="18" spans="1:19" s="270" customFormat="1">
      <c r="A18" s="1115">
        <v>558</v>
      </c>
      <c r="B18" s="1664" t="s">
        <v>193</v>
      </c>
      <c r="C18" s="306">
        <f>SUM(C15:C17)</f>
        <v>5704.0550000000003</v>
      </c>
      <c r="D18" s="306">
        <f>SUM(D15:D17)</f>
        <v>2990.1020000000003</v>
      </c>
      <c r="E18" s="306">
        <f>SUM(E15:E17)</f>
        <v>1020.6239999999999</v>
      </c>
      <c r="F18" s="306">
        <f>SUM(F15:F17)</f>
        <v>133.20499999999998</v>
      </c>
      <c r="G18" s="306">
        <f>SUM(G15:G17)</f>
        <v>19.521999999999998</v>
      </c>
      <c r="H18" s="1124">
        <f t="shared" si="0"/>
        <v>5551.3280000000004</v>
      </c>
      <c r="I18" s="1125">
        <f>IF(C18&gt;0,H18*1000000/M12,"")</f>
        <v>947.52496557722816</v>
      </c>
      <c r="J18" s="1125">
        <v>923.35900000000004</v>
      </c>
      <c r="K18" s="2452">
        <f t="shared" si="1"/>
        <v>2.6171798376609878E-2</v>
      </c>
      <c r="L18" s="2110"/>
      <c r="M18" s="2434"/>
      <c r="N18" s="2478"/>
      <c r="O18" s="2110"/>
      <c r="P18" s="2110"/>
      <c r="Q18" s="2110"/>
      <c r="R18" s="2110"/>
      <c r="S18" s="2110"/>
    </row>
    <row r="19" spans="1:19" s="167" customFormat="1">
      <c r="A19" s="1116">
        <v>55999</v>
      </c>
      <c r="B19" s="1664" t="s">
        <v>198</v>
      </c>
      <c r="C19" s="306">
        <f>C13+C14+C15+C16+C17</f>
        <v>9830.6790000000001</v>
      </c>
      <c r="D19" s="306">
        <f>D13+D14+D15+D16+D17</f>
        <v>4203.7520000000004</v>
      </c>
      <c r="E19" s="306">
        <f>E13+E14+E15+E16+E17</f>
        <v>3223.1849999999999</v>
      </c>
      <c r="F19" s="306">
        <f>F13+F14+F15+F16+F17</f>
        <v>279.09199999999998</v>
      </c>
      <c r="G19" s="306">
        <f>G13+G14+G15+G16+G17</f>
        <v>30.494</v>
      </c>
      <c r="H19" s="1127"/>
      <c r="I19" s="1128"/>
      <c r="J19" s="1128"/>
      <c r="K19" s="2453"/>
      <c r="L19" s="2110"/>
      <c r="M19" s="2434"/>
      <c r="N19" s="2478"/>
      <c r="O19" s="2110"/>
      <c r="P19" s="2110"/>
      <c r="Q19" s="2110"/>
      <c r="R19" s="2110"/>
      <c r="S19" s="2110"/>
    </row>
    <row r="20" spans="1:19" s="167" customFormat="1" ht="13.5" thickBot="1">
      <c r="A20" s="2437"/>
      <c r="B20" s="2438"/>
      <c r="C20" s="2438"/>
      <c r="D20" s="2438"/>
      <c r="E20" s="2438"/>
      <c r="F20" s="2438"/>
      <c r="G20" s="2438"/>
      <c r="H20" s="2438"/>
      <c r="I20" s="2438"/>
      <c r="J20" s="2438"/>
      <c r="K20" s="2454"/>
      <c r="L20" s="2110"/>
      <c r="M20" s="2466"/>
      <c r="N20" s="2479"/>
      <c r="O20" s="2110"/>
      <c r="P20" s="2110"/>
      <c r="Q20" s="2110"/>
      <c r="R20" s="2110"/>
      <c r="S20" s="2110"/>
    </row>
    <row r="21" spans="1:19" s="270" customFormat="1">
      <c r="A21" s="2431">
        <v>569</v>
      </c>
      <c r="B21" s="1665" t="s">
        <v>478</v>
      </c>
      <c r="C21" s="1666">
        <f>Drift!P80</f>
        <v>33891.647999999994</v>
      </c>
      <c r="D21" s="1874">
        <f>SUM(Drift!C80:D80)</f>
        <v>17350.809999999998</v>
      </c>
      <c r="E21" s="1666">
        <f>Drift!F80</f>
        <v>10486.653</v>
      </c>
      <c r="F21" s="1666">
        <f>Drift!V80</f>
        <v>649.93499999999995</v>
      </c>
      <c r="G21" s="1667">
        <f>Motpart!Y35+Motpart!Z35</f>
        <v>208.32300000000001</v>
      </c>
      <c r="H21" s="1130">
        <f t="shared" ref="H21:H26" si="2">C21-F21-G21</f>
        <v>33033.39</v>
      </c>
      <c r="I21" s="1125">
        <f>IF(C21&gt;0,H21*1000000/M21,"")</f>
        <v>13095.730151776741</v>
      </c>
      <c r="J21" s="1125">
        <v>12017.433999999999</v>
      </c>
      <c r="K21" s="2455">
        <f t="shared" ref="K21:K26" si="3">IF(ISERROR((I21-J21)/J21),"",((I21-J21)/J21))</f>
        <v>8.9727653322393255E-2</v>
      </c>
      <c r="L21" s="2110"/>
      <c r="M21" s="2467">
        <v>2522455</v>
      </c>
      <c r="N21" s="2480" t="s">
        <v>502</v>
      </c>
      <c r="O21" s="2110"/>
      <c r="P21" s="2110"/>
      <c r="Q21" s="2110"/>
      <c r="R21" s="2110"/>
      <c r="S21" s="2110"/>
    </row>
    <row r="22" spans="1:19" s="270" customFormat="1" ht="12.6" customHeight="1">
      <c r="A22" s="2432">
        <v>554</v>
      </c>
      <c r="B22" s="1668" t="s">
        <v>194</v>
      </c>
      <c r="C22" s="50">
        <v>11072.153</v>
      </c>
      <c r="D22" s="50">
        <v>3073.38</v>
      </c>
      <c r="E22" s="1652">
        <f>Motpart!C36</f>
        <v>6484.2869999999994</v>
      </c>
      <c r="F22" s="50">
        <v>251.51</v>
      </c>
      <c r="G22" s="1652">
        <f>Motpart!Y36+Motpart!Z36</f>
        <v>62.872</v>
      </c>
      <c r="H22" s="1130">
        <f t="shared" si="2"/>
        <v>10757.771000000001</v>
      </c>
      <c r="I22" s="1125">
        <f>IF(C22&gt;0,H22*1000000/M21,"")</f>
        <v>4264.8019488950249</v>
      </c>
      <c r="J22" s="1125">
        <v>3936.1170000000002</v>
      </c>
      <c r="K22" s="2452">
        <f t="shared" si="3"/>
        <v>8.3504872668933541E-2</v>
      </c>
      <c r="L22" s="2110"/>
      <c r="M22" s="2434"/>
      <c r="N22" s="2478"/>
      <c r="O22" s="2110"/>
      <c r="P22" s="2110"/>
      <c r="Q22" s="2110"/>
      <c r="R22" s="2110"/>
      <c r="S22" s="2110"/>
    </row>
    <row r="23" spans="1:19" s="270" customFormat="1">
      <c r="A23" s="2432">
        <v>557</v>
      </c>
      <c r="B23" s="1668" t="s">
        <v>162</v>
      </c>
      <c r="C23" s="50">
        <v>13222.938</v>
      </c>
      <c r="D23" s="50">
        <v>7707.4449999999997</v>
      </c>
      <c r="E23" s="50">
        <v>3180.42</v>
      </c>
      <c r="F23" s="50">
        <v>72.978999999999999</v>
      </c>
      <c r="G23" s="50">
        <v>47.585000000000001</v>
      </c>
      <c r="H23" s="1130">
        <f t="shared" si="2"/>
        <v>13102.374000000002</v>
      </c>
      <c r="I23" s="1125">
        <f>IF(C23&gt;0,H23*1000000/M21,"")</f>
        <v>5194.2944472745803</v>
      </c>
      <c r="J23" s="1125">
        <v>4590.37</v>
      </c>
      <c r="K23" s="2452">
        <f t="shared" si="3"/>
        <v>0.13156334833021749</v>
      </c>
      <c r="L23" s="2110"/>
      <c r="M23" s="2434"/>
      <c r="N23" s="2478"/>
      <c r="O23" s="2110"/>
      <c r="P23" s="2110"/>
      <c r="Q23" s="2110"/>
      <c r="R23" s="2110"/>
      <c r="S23" s="2110"/>
    </row>
    <row r="24" spans="1:19" s="270" customFormat="1">
      <c r="A24" s="2432">
        <v>5681</v>
      </c>
      <c r="B24" s="1668" t="s">
        <v>157</v>
      </c>
      <c r="C24" s="50">
        <v>6395.7820000000002</v>
      </c>
      <c r="D24" s="50">
        <v>4328.2139999999999</v>
      </c>
      <c r="E24" s="50">
        <v>687.125</v>
      </c>
      <c r="F24" s="50">
        <v>150.44999999999999</v>
      </c>
      <c r="G24" s="50">
        <v>37.930999999999997</v>
      </c>
      <c r="H24" s="1130">
        <f t="shared" si="2"/>
        <v>6207.4010000000007</v>
      </c>
      <c r="I24" s="1125">
        <f>IF(C24&gt;0,H24*1000000/M21,"")</f>
        <v>2460.8569825824447</v>
      </c>
      <c r="J24" s="1125">
        <v>2131.1770000000001</v>
      </c>
      <c r="K24" s="2452">
        <f t="shared" si="3"/>
        <v>0.15469385348211087</v>
      </c>
      <c r="L24" s="2110"/>
      <c r="M24" s="2434"/>
      <c r="N24" s="2478"/>
      <c r="O24" s="2110"/>
      <c r="P24" s="2110"/>
      <c r="Q24" s="2110"/>
      <c r="R24" s="2110"/>
      <c r="S24" s="2110"/>
    </row>
    <row r="25" spans="1:19" s="270" customFormat="1">
      <c r="A25" s="2432">
        <v>5682</v>
      </c>
      <c r="B25" s="1668" t="s">
        <v>159</v>
      </c>
      <c r="C25" s="50">
        <v>3200.7710000000002</v>
      </c>
      <c r="D25" s="50">
        <v>2241.7730000000001</v>
      </c>
      <c r="E25" s="50">
        <v>134.82400000000001</v>
      </c>
      <c r="F25" s="50">
        <v>174.99600000000001</v>
      </c>
      <c r="G25" s="51">
        <v>59.936</v>
      </c>
      <c r="H25" s="1130">
        <f t="shared" si="2"/>
        <v>2965.8389999999999</v>
      </c>
      <c r="I25" s="1125">
        <f>IF(C25&gt;0,H25*1000000/M21,"")</f>
        <v>1175.7747908287758</v>
      </c>
      <c r="J25" s="1125">
        <v>1359.77</v>
      </c>
      <c r="K25" s="2452">
        <f t="shared" si="3"/>
        <v>-0.13531347887600412</v>
      </c>
      <c r="L25" s="2110"/>
      <c r="M25" s="2434"/>
      <c r="N25" s="2478"/>
      <c r="O25" s="2110"/>
      <c r="P25" s="2110"/>
      <c r="Q25" s="2110"/>
      <c r="R25" s="2110"/>
      <c r="S25" s="2110"/>
    </row>
    <row r="26" spans="1:19" s="270" customFormat="1">
      <c r="A26" s="2433">
        <v>568</v>
      </c>
      <c r="B26" s="1669" t="s">
        <v>200</v>
      </c>
      <c r="C26" s="306">
        <f>SUM(C24:C25)</f>
        <v>9596.5529999999999</v>
      </c>
      <c r="D26" s="306">
        <f>SUM(D24:D25)</f>
        <v>6569.9870000000001</v>
      </c>
      <c r="E26" s="306">
        <f>SUM(E24:E25)</f>
        <v>821.94900000000007</v>
      </c>
      <c r="F26" s="306">
        <f>SUM(F24:F25)</f>
        <v>325.44600000000003</v>
      </c>
      <c r="G26" s="306">
        <f>SUM(G24:G25)</f>
        <v>97.86699999999999</v>
      </c>
      <c r="H26" s="1130">
        <f t="shared" si="2"/>
        <v>9173.24</v>
      </c>
      <c r="I26" s="1125">
        <f>IF(C26&gt;0,H26*1000000/M21,"")</f>
        <v>3636.6317734112204</v>
      </c>
      <c r="J26" s="1125">
        <v>3490.9470000000001</v>
      </c>
      <c r="K26" s="2452">
        <f t="shared" si="3"/>
        <v>4.1732164198201874E-2</v>
      </c>
      <c r="L26" s="2110"/>
      <c r="M26" s="2434"/>
      <c r="N26" s="2478"/>
      <c r="O26" s="2110"/>
      <c r="P26" s="2110"/>
      <c r="Q26" s="2110"/>
      <c r="R26" s="2110"/>
      <c r="S26" s="2110"/>
    </row>
    <row r="27" spans="1:19" s="270" customFormat="1">
      <c r="A27" s="2433">
        <v>56999</v>
      </c>
      <c r="B27" s="1664" t="s">
        <v>163</v>
      </c>
      <c r="C27" s="306">
        <f>SUM(C22+C23+C24+C25)</f>
        <v>33891.644</v>
      </c>
      <c r="D27" s="306">
        <f>SUM(D22+D23+D24+D25)</f>
        <v>17350.812000000002</v>
      </c>
      <c r="E27" s="306">
        <f>SUM(E22+E23+E24+E25)</f>
        <v>10486.655999999999</v>
      </c>
      <c r="F27" s="306">
        <f>SUM(F22+F23+F24+F25)</f>
        <v>649.93499999999995</v>
      </c>
      <c r="G27" s="306">
        <f>SUM(G22+G23+G24+G25)</f>
        <v>208.32399999999998</v>
      </c>
      <c r="H27" s="1127"/>
      <c r="I27" s="1128"/>
      <c r="J27" s="1128"/>
      <c r="K27" s="2453"/>
      <c r="L27" s="2110"/>
      <c r="M27" s="2434"/>
      <c r="N27" s="2478"/>
      <c r="O27" s="2110"/>
      <c r="P27" s="2110"/>
      <c r="Q27" s="2110"/>
      <c r="R27" s="2110"/>
      <c r="S27" s="2110"/>
    </row>
    <row r="28" spans="1:19" s="270" customFormat="1" ht="13.5" thickBot="1">
      <c r="A28" s="2440"/>
      <c r="B28" s="2438"/>
      <c r="C28" s="2438"/>
      <c r="D28" s="2438"/>
      <c r="E28" s="2438"/>
      <c r="F28" s="2438"/>
      <c r="G28" s="2438"/>
      <c r="H28" s="2438"/>
      <c r="I28" s="2438"/>
      <c r="J28" s="2438"/>
      <c r="K28" s="2454"/>
      <c r="L28" s="2110"/>
      <c r="M28" s="2434"/>
      <c r="N28" s="2478"/>
      <c r="O28" s="2110"/>
      <c r="P28" s="2110"/>
      <c r="Q28" s="2110"/>
      <c r="R28" s="2110"/>
      <c r="S28" s="2110"/>
    </row>
    <row r="29" spans="1:19" s="270" customFormat="1">
      <c r="A29" s="2439">
        <v>571</v>
      </c>
      <c r="B29" s="1668" t="s">
        <v>164</v>
      </c>
      <c r="C29" s="1666">
        <f>Drift!P81</f>
        <v>3994.3229999999994</v>
      </c>
      <c r="D29" s="1874">
        <f>SUM(Drift!C81:D81)</f>
        <v>1560.4549999999999</v>
      </c>
      <c r="E29" s="1666">
        <f>Drift!F81</f>
        <v>1046.1199999999999</v>
      </c>
      <c r="F29" s="1666">
        <f>Drift!V81</f>
        <v>126.02800000000001</v>
      </c>
      <c r="G29" s="62">
        <v>54.476999999999997</v>
      </c>
      <c r="H29" s="1130">
        <f t="shared" ref="H29:H34" si="4">C29-F29-G29</f>
        <v>3813.8179999999998</v>
      </c>
      <c r="I29" s="1125">
        <f>IF(C29&gt;0,H29*1000000/M12,"")</f>
        <v>650.95915232676077</v>
      </c>
      <c r="J29" s="1125">
        <v>630.33699999999999</v>
      </c>
      <c r="K29" s="2455">
        <f t="shared" ref="K29:K34" si="5">IF(ISERROR((I29-J29)/J29),"",((I29-J29)/J29))</f>
        <v>3.2716074618435509E-2</v>
      </c>
      <c r="L29" s="2110"/>
      <c r="M29" s="2468"/>
      <c r="N29" s="2481"/>
      <c r="O29" s="2110"/>
      <c r="P29" s="2110"/>
      <c r="Q29" s="2110"/>
      <c r="R29" s="2110"/>
      <c r="S29" s="2110"/>
    </row>
    <row r="30" spans="1:19" s="270" customFormat="1">
      <c r="A30" s="2432">
        <v>575</v>
      </c>
      <c r="B30" s="1668" t="s">
        <v>104</v>
      </c>
      <c r="C30" s="1652">
        <f>Drift!P82</f>
        <v>15572.241000000002</v>
      </c>
      <c r="D30" s="1875">
        <f>SUM(Drift!C82:D82)</f>
        <v>3586.6940000000004</v>
      </c>
      <c r="E30" s="1652">
        <f>Drift!F82</f>
        <v>49.883000000000003</v>
      </c>
      <c r="F30" s="1652">
        <f>Drift!V82</f>
        <v>139.79300000000001</v>
      </c>
      <c r="G30" s="50">
        <v>25.82</v>
      </c>
      <c r="H30" s="1130">
        <f t="shared" si="4"/>
        <v>15406.628000000002</v>
      </c>
      <c r="I30" s="1125">
        <f>IF(C30&gt;0,H30*1000000/M30,"")</f>
        <v>1455.1426134641015</v>
      </c>
      <c r="J30" s="1125">
        <v>1378.1</v>
      </c>
      <c r="K30" s="2452">
        <f t="shared" si="5"/>
        <v>5.5904951356288791E-2</v>
      </c>
      <c r="L30" s="2110"/>
      <c r="M30" s="2469">
        <v>10587710</v>
      </c>
      <c r="N30" s="2482" t="s">
        <v>503</v>
      </c>
      <c r="O30" s="2110"/>
      <c r="P30" s="2110"/>
      <c r="Q30" s="2110"/>
      <c r="R30" s="2110"/>
      <c r="S30" s="2110"/>
    </row>
    <row r="31" spans="1:19" s="270" customFormat="1" ht="13.5" thickBot="1">
      <c r="A31" s="2435">
        <v>580</v>
      </c>
      <c r="B31" s="1670" t="s">
        <v>167</v>
      </c>
      <c r="C31" s="76">
        <f>C12+C21+C29+C30</f>
        <v>63288.889999999992</v>
      </c>
      <c r="D31" s="76">
        <f>D12+D21+D29+D30</f>
        <v>26701.710999999999</v>
      </c>
      <c r="E31" s="76">
        <f>E12+E21+E29+E30</f>
        <v>14805.852000000001</v>
      </c>
      <c r="F31" s="76">
        <f>F12+F21+F29+F30</f>
        <v>1194.848</v>
      </c>
      <c r="G31" s="76">
        <f>G12+G21+G29+G30</f>
        <v>319.113</v>
      </c>
      <c r="H31" s="1131">
        <f t="shared" si="4"/>
        <v>61774.928999999996</v>
      </c>
      <c r="I31" s="1132">
        <f>IF(C31&gt;0,H31*1000000/M30,"")</f>
        <v>5834.5883104089553</v>
      </c>
      <c r="J31" s="1132">
        <v>5485.2380000000003</v>
      </c>
      <c r="K31" s="2456">
        <f t="shared" si="5"/>
        <v>6.3689180015334787E-2</v>
      </c>
      <c r="L31" s="2110"/>
      <c r="M31" s="2470"/>
      <c r="N31" s="2483"/>
      <c r="O31" s="2110"/>
      <c r="P31" s="2110"/>
      <c r="Q31" s="2110"/>
      <c r="R31" s="2110"/>
      <c r="S31" s="2110"/>
    </row>
    <row r="32" spans="1:19" s="270" customFormat="1">
      <c r="A32" s="2433">
        <v>585</v>
      </c>
      <c r="B32" s="1669" t="s">
        <v>479</v>
      </c>
      <c r="C32" s="1652">
        <f>Drift!P84</f>
        <v>1425.3330000000001</v>
      </c>
      <c r="D32" s="1875">
        <f>SUM(Drift!C84:D84)</f>
        <v>923.52800000000002</v>
      </c>
      <c r="E32" s="1652">
        <f>Drift!F84</f>
        <v>209.26400000000001</v>
      </c>
      <c r="F32" s="1652">
        <f>Drift!V84</f>
        <v>44.057000000000002</v>
      </c>
      <c r="G32" s="306">
        <f>SUM(G33:G34)</f>
        <v>113.18899999999999</v>
      </c>
      <c r="H32" s="1130">
        <f t="shared" si="4"/>
        <v>1268.087</v>
      </c>
      <c r="I32" s="1125">
        <f>IF(C32&gt;0,H32*1000000/M32,"")</f>
        <v>588.20334297370198</v>
      </c>
      <c r="J32" s="1125">
        <v>530.18499999999995</v>
      </c>
      <c r="K32" s="2457">
        <f t="shared" si="5"/>
        <v>0.10943037425370775</v>
      </c>
      <c r="L32" s="2110"/>
      <c r="M32" s="2467">
        <v>2155865</v>
      </c>
      <c r="N32" s="2480" t="s">
        <v>504</v>
      </c>
      <c r="O32" s="2110"/>
      <c r="P32" s="2110"/>
      <c r="Q32" s="2110"/>
      <c r="R32" s="2110"/>
      <c r="S32" s="2110"/>
    </row>
    <row r="33" spans="1:19" s="270" customFormat="1">
      <c r="A33" s="2432">
        <v>5851</v>
      </c>
      <c r="B33" s="1668" t="s">
        <v>165</v>
      </c>
      <c r="C33" s="50">
        <v>1005.4690000000001</v>
      </c>
      <c r="D33" s="50">
        <v>707.26499999999999</v>
      </c>
      <c r="E33" s="50">
        <v>93.942999999999998</v>
      </c>
      <c r="F33" s="50">
        <v>34.962000000000003</v>
      </c>
      <c r="G33" s="50">
        <v>74.566000000000003</v>
      </c>
      <c r="H33" s="1130">
        <f t="shared" si="4"/>
        <v>895.94100000000003</v>
      </c>
      <c r="I33" s="1125">
        <f>IF(C33&gt;0,H33*1000000/M33,"")</f>
        <v>415.58307222391011</v>
      </c>
      <c r="J33" s="1125">
        <v>374.84399999999999</v>
      </c>
      <c r="K33" s="2452">
        <f t="shared" si="5"/>
        <v>0.10868273794941392</v>
      </c>
      <c r="L33" s="2110"/>
      <c r="M33" s="2467">
        <v>2155865</v>
      </c>
      <c r="N33" s="2480" t="s">
        <v>504</v>
      </c>
      <c r="O33" s="2110"/>
      <c r="P33" s="2110"/>
      <c r="Q33" s="2110"/>
      <c r="R33" s="2110"/>
      <c r="S33" s="2110"/>
    </row>
    <row r="34" spans="1:19" s="270" customFormat="1">
      <c r="A34" s="2432">
        <v>5855</v>
      </c>
      <c r="B34" s="1668" t="s">
        <v>166</v>
      </c>
      <c r="C34" s="50">
        <v>419.86500000000001</v>
      </c>
      <c r="D34" s="50">
        <v>216.26499999999999</v>
      </c>
      <c r="E34" s="50">
        <v>115.32</v>
      </c>
      <c r="F34" s="50">
        <v>9.0950000000000006</v>
      </c>
      <c r="G34" s="50">
        <v>38.622999999999998</v>
      </c>
      <c r="H34" s="1130">
        <f t="shared" si="4"/>
        <v>372.14699999999999</v>
      </c>
      <c r="I34" s="1125">
        <f>IF(C34&gt;0,H34*1000000/M34,"")</f>
        <v>54.939477510506343</v>
      </c>
      <c r="J34" s="1125">
        <v>50.124000000000002</v>
      </c>
      <c r="K34" s="2452">
        <f t="shared" si="5"/>
        <v>9.6071293402488642E-2</v>
      </c>
      <c r="L34" s="2110"/>
      <c r="M34" s="2467">
        <v>6773763</v>
      </c>
      <c r="N34" s="2480" t="s">
        <v>505</v>
      </c>
      <c r="O34" s="2110"/>
      <c r="P34" s="2110"/>
      <c r="Q34" s="2110"/>
      <c r="R34" s="2110"/>
      <c r="S34" s="2110"/>
    </row>
    <row r="35" spans="1:19" s="270" customFormat="1" ht="15" customHeight="1" thickBot="1">
      <c r="A35" s="2441">
        <v>58599</v>
      </c>
      <c r="B35" s="2442" t="s">
        <v>501</v>
      </c>
      <c r="C35" s="2443">
        <f>SUM(C33:C34)</f>
        <v>1425.3340000000001</v>
      </c>
      <c r="D35" s="2443">
        <f>SUM(D33:D34)</f>
        <v>923.53</v>
      </c>
      <c r="E35" s="2443">
        <f>SUM(E33:E34)</f>
        <v>209.26299999999998</v>
      </c>
      <c r="F35" s="2443">
        <f>SUM(F33:F34)</f>
        <v>44.057000000000002</v>
      </c>
      <c r="G35" s="2443">
        <f>SUM(G33:G34)</f>
        <v>113.18899999999999</v>
      </c>
      <c r="H35" s="2444"/>
      <c r="I35" s="2445"/>
      <c r="J35" s="2445"/>
      <c r="K35" s="2458"/>
      <c r="L35" s="2446"/>
      <c r="M35" s="2471"/>
      <c r="N35" s="2484"/>
      <c r="O35" s="2110"/>
      <c r="P35" s="2110"/>
      <c r="Q35" s="2110"/>
      <c r="R35" s="2110"/>
      <c r="S35" s="2110"/>
    </row>
    <row r="36" spans="1:19" s="270" customFormat="1" ht="15" customHeight="1">
      <c r="A36" s="2436"/>
      <c r="B36" s="2110"/>
      <c r="C36" s="2110"/>
      <c r="D36" s="2110"/>
      <c r="E36" s="2110"/>
      <c r="F36" s="2110"/>
      <c r="G36" s="2110"/>
      <c r="H36" s="2110"/>
      <c r="I36" s="2110"/>
      <c r="J36" s="2110"/>
      <c r="K36" s="2110"/>
      <c r="L36" s="2110"/>
      <c r="M36" s="2459"/>
      <c r="N36" s="2110"/>
      <c r="O36" s="2110"/>
      <c r="P36" s="2110"/>
      <c r="Q36" s="2110"/>
      <c r="R36" s="2110"/>
      <c r="S36" s="2110"/>
    </row>
    <row r="37" spans="1:19" s="270" customFormat="1" ht="16.5" customHeight="1">
      <c r="A37" s="1671"/>
      <c r="B37" s="1671"/>
      <c r="C37" s="68"/>
      <c r="D37" s="68"/>
      <c r="E37" s="68"/>
      <c r="F37" s="1171"/>
      <c r="G37" s="1833"/>
      <c r="H37" s="268"/>
      <c r="I37" s="1672"/>
      <c r="J37" s="1672"/>
      <c r="K37" s="1672"/>
      <c r="L37" s="268"/>
      <c r="M37" s="268"/>
      <c r="N37" s="268"/>
      <c r="O37" s="2110"/>
      <c r="P37" s="2110"/>
      <c r="Q37" s="2110"/>
      <c r="R37" s="2110"/>
      <c r="S37" s="2110"/>
    </row>
    <row r="38" spans="1:19" ht="20.25" customHeight="1">
      <c r="A38" s="1148"/>
      <c r="D38" s="68"/>
      <c r="E38" s="68"/>
      <c r="O38" s="2110"/>
      <c r="P38" s="2110"/>
      <c r="Q38" s="2110"/>
      <c r="R38" s="2110"/>
      <c r="S38" s="2110"/>
    </row>
  </sheetData>
  <sheetProtection algorithmName="SHA-512" hashValue="/s1giWnZjo/VAhqaYhJAju159JFEHeeRj8GFxrZ6rl7qpnF+S6RwxkjcgwjgemVSNNLbAjs4e5E0zwsMOQaZ6g==" saltValue="ALp6D1OM1O1kSNQYrGPdqg==" spinCount="100000" sheet="1" objects="1" scenarios="1"/>
  <customSheetViews>
    <customSheetView guid="{97D6DB71-3F4C-4C5F-8C5B-51E3EBF78932}" showPageBreaks="1"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1"/>
      <headerFooter>
        <oddHeader>&amp;L&amp;8Statistiska Centralbyrån
Offentlig ekonomi&amp;R&amp;P</oddHeader>
      </headerFooter>
    </customSheetView>
    <customSheetView guid="{99FBDEB7-DD08-4F57-81F4-3C180403E153}" showGridLines="0" hiddenRows="1" hiddenColumns="1">
      <selection activeCell="H34" sqref="H34"/>
      <pageMargins left="0.31496062992125984" right="0.31496062992125984" top="0.74803149606299213" bottom="0.74803149606299213" header="0.31496062992125984" footer="0.31496062992125984"/>
      <pageSetup paperSize="9" scale="85" orientation="landscape" r:id="rId2"/>
      <headerFooter>
        <oddHeader>&amp;L&amp;8Statistiska Centralbyrån
Offentlig ekonomi&amp;R&amp;P</oddHeader>
      </headerFooter>
    </customSheetView>
    <customSheetView guid="{27C9E95B-0E2B-454F-B637-1CECC9579A10}" showGridLines="0" hiddenRows="1" hiddenColumns="1" showRuler="0">
      <selection activeCell="E12" sqref="E12"/>
      <pageMargins left="0.31496062992125984" right="0.31496062992125984" top="0.74803149606299213" bottom="0.74803149606299213" header="0.31496062992125984" footer="0.31496062992125984"/>
      <pageSetup paperSize="9" scale="85" orientation="landscape" r:id="rId3"/>
      <headerFooter alignWithMargins="0">
        <oddHeader>&amp;L&amp;8Statistiska Centralbyrån
Offentlig ekonomi&amp;R&amp;P</oddHeader>
      </headerFooter>
    </customSheetView>
  </customSheetViews>
  <mergeCells count="6">
    <mergeCell ref="K4:K6"/>
    <mergeCell ref="D9:D11"/>
    <mergeCell ref="D6:D8"/>
    <mergeCell ref="E6:E8"/>
    <mergeCell ref="F6:F8"/>
    <mergeCell ref="G6:G8"/>
  </mergeCells>
  <phoneticPr fontId="89" type="noConversion"/>
  <conditionalFormatting sqref="C13:D13 F13 C14:G17 C22:D22 F22 C23:G25 G29:G30 C33:G34">
    <cfRule type="cellIs" dxfId="1" priority="34" stopIfTrue="1" operator="lessThan">
      <formula>-500</formula>
    </cfRule>
    <cfRule type="cellIs" dxfId="0" priority="35" stopIfTrue="1" operator="lessThan">
      <formula>0</formula>
    </cfRule>
  </conditionalFormatting>
  <dataValidations count="1">
    <dataValidation type="decimal" operator="lessThan" allowBlank="1" showInputMessage="1" showErrorMessage="1" error="Beloppet ska vara i 1000 tal kronor" sqref="G14:G17 G23:G25 G29:G30 C33:G34 E14:E17 C13:D17 F13:F17 C22:D25 F22:F25 E23:E25" xr:uid="{00000000-0002-0000-0A00-000000000000}">
      <formula1>99999999</formula1>
    </dataValidation>
  </dataValidations>
  <pageMargins left="0.31496062992125984" right="0.31496062992125984" top="0.74803149606299213" bottom="0.74803149606299213" header="0.31496062992125984" footer="0.31496062992125984"/>
  <pageSetup paperSize="9" scale="79" orientation="landscape" r:id="rId4"/>
  <headerFooter>
    <oddHeader>&amp;L&amp;8Statistiska Centralbyrån
Offentlig ekonomi&amp;R&amp;P</oddHead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FF00"/>
  </sheetPr>
  <dimension ref="A1:L75"/>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63" customWidth="1"/>
    <col min="2" max="2" width="42.42578125" style="163" customWidth="1"/>
    <col min="3" max="4" width="11.5703125" style="163" customWidth="1"/>
    <col min="5" max="5" width="12.42578125" style="163" customWidth="1"/>
    <col min="6" max="6" width="5.5703125" style="163" customWidth="1"/>
    <col min="7" max="7" width="24" style="163" customWidth="1"/>
    <col min="8" max="8" width="15.85546875" style="163" customWidth="1"/>
    <col min="9" max="10" width="10" style="163" customWidth="1"/>
    <col min="11" max="11" width="10.42578125" style="163" customWidth="1"/>
    <col min="12" max="12" width="0" style="163" hidden="1" customWidth="1"/>
    <col min="13" max="16384" width="9.42578125" style="163" hidden="1"/>
  </cols>
  <sheetData>
    <row r="1" spans="1:11" ht="21.75">
      <c r="A1" s="73" t="str">
        <f>"Resultaträkning "&amp;År&amp;", miljoner kr"</f>
        <v>Resultaträkning 2024, miljoner kr</v>
      </c>
      <c r="B1" s="74"/>
      <c r="C1" s="74"/>
      <c r="D1" s="74"/>
      <c r="E1" s="74"/>
      <c r="F1" s="473" t="s">
        <v>446</v>
      </c>
      <c r="G1" s="474" t="str">
        <f>Information!A2</f>
        <v>RIKSTOTAL</v>
      </c>
      <c r="H1" s="162"/>
      <c r="I1" s="162"/>
      <c r="J1" s="162"/>
      <c r="K1" s="162"/>
    </row>
    <row r="2" spans="1:11" ht="12.75" customHeight="1">
      <c r="A2" s="2110"/>
      <c r="B2" s="2110"/>
      <c r="C2" s="2110"/>
      <c r="D2" s="2110"/>
      <c r="E2" s="2110"/>
      <c r="F2" s="2110"/>
      <c r="G2" s="2110"/>
      <c r="H2" s="2110"/>
      <c r="I2" s="2110"/>
      <c r="J2" s="2110"/>
      <c r="K2" s="2110"/>
    </row>
    <row r="3" spans="1:11" ht="12.75" customHeight="1" thickBot="1">
      <c r="A3" s="2110"/>
      <c r="B3" s="2110"/>
      <c r="C3" s="2110"/>
      <c r="D3" s="2110"/>
      <c r="E3" s="2110"/>
      <c r="F3" s="2110"/>
      <c r="G3" s="2110"/>
      <c r="H3" s="2110"/>
      <c r="I3" s="2110"/>
      <c r="J3" s="2110"/>
      <c r="K3" s="2110"/>
    </row>
    <row r="4" spans="1:11" ht="12.75" customHeight="1">
      <c r="A4" s="558" t="s">
        <v>603</v>
      </c>
      <c r="B4" s="559"/>
      <c r="C4" s="569" t="s">
        <v>604</v>
      </c>
      <c r="D4" s="570" t="s">
        <v>705</v>
      </c>
      <c r="G4" s="4"/>
      <c r="H4" s="4"/>
      <c r="I4" s="2511" t="s">
        <v>450</v>
      </c>
      <c r="J4" s="2517"/>
      <c r="K4" s="164"/>
    </row>
    <row r="5" spans="1:11" ht="12.75" customHeight="1">
      <c r="A5" s="560" t="s">
        <v>605</v>
      </c>
      <c r="B5" s="561"/>
      <c r="C5" s="571"/>
      <c r="D5" s="572"/>
      <c r="E5" s="2"/>
      <c r="F5" s="4"/>
      <c r="G5" s="4"/>
      <c r="H5" s="4"/>
      <c r="I5" s="575" t="s">
        <v>604</v>
      </c>
      <c r="J5" s="576" t="s">
        <v>705</v>
      </c>
      <c r="K5" s="164"/>
    </row>
    <row r="6" spans="1:11" ht="12.75" customHeight="1">
      <c r="A6" s="560"/>
      <c r="B6" s="562"/>
      <c r="C6" s="561"/>
      <c r="D6" s="573"/>
      <c r="E6" s="2"/>
      <c r="F6" s="4"/>
      <c r="G6" s="4"/>
      <c r="H6" s="4"/>
      <c r="I6" s="577"/>
      <c r="J6" s="578"/>
      <c r="K6" s="164"/>
    </row>
    <row r="7" spans="1:11" ht="12.75">
      <c r="A7" s="543" t="s">
        <v>274</v>
      </c>
      <c r="B7" s="563" t="s">
        <v>715</v>
      </c>
      <c r="C7" s="168">
        <v>179262.255</v>
      </c>
      <c r="D7" s="169">
        <v>378165.69699999999</v>
      </c>
      <c r="E7" s="172"/>
      <c r="F7" s="63"/>
      <c r="G7" s="63"/>
      <c r="H7" s="4"/>
      <c r="I7" s="579">
        <f>C7*1000/invanare</f>
        <v>16931.164057194615</v>
      </c>
      <c r="J7" s="580">
        <f t="shared" ref="I7:J12" si="0">D7*1000/invanare</f>
        <v>35717.421142059997</v>
      </c>
      <c r="K7" s="164"/>
    </row>
    <row r="8" spans="1:11" ht="12.75">
      <c r="A8" s="541" t="s">
        <v>275</v>
      </c>
      <c r="B8" s="563" t="s">
        <v>716</v>
      </c>
      <c r="C8" s="168">
        <v>867975.78500000003</v>
      </c>
      <c r="D8" s="169">
        <v>1005476.7830000001</v>
      </c>
      <c r="E8" s="172"/>
      <c r="F8" s="63"/>
      <c r="G8" s="63"/>
      <c r="H8" s="4"/>
      <c r="I8" s="581">
        <f>C8*1000/invanare*-1</f>
        <v>-81979.5579025115</v>
      </c>
      <c r="J8" s="580">
        <f>D8*1000/invanare*-1</f>
        <v>-94966.407561219574</v>
      </c>
      <c r="K8" s="164"/>
    </row>
    <row r="9" spans="1:11" ht="13.5" customHeight="1">
      <c r="A9" s="541" t="s">
        <v>276</v>
      </c>
      <c r="B9" s="563" t="s">
        <v>920</v>
      </c>
      <c r="C9" s="62">
        <v>40012.724999999999</v>
      </c>
      <c r="D9" s="170">
        <v>79001.494000000006</v>
      </c>
      <c r="E9" s="172"/>
      <c r="F9" s="63"/>
      <c r="G9" s="63"/>
      <c r="H9" s="4"/>
      <c r="I9" s="579">
        <f>C9*1000/invanare*-1</f>
        <v>-3779.1670720108505</v>
      </c>
      <c r="J9" s="580">
        <f>D9*1000/invanare*-1</f>
        <v>-7461.6223904885956</v>
      </c>
      <c r="K9" s="164"/>
    </row>
    <row r="10" spans="1:11" ht="13.5" thickBot="1">
      <c r="A10" s="535" t="s">
        <v>277</v>
      </c>
      <c r="B10" s="564" t="s">
        <v>606</v>
      </c>
      <c r="C10" s="312">
        <f>C7-SUM(C8:C9)</f>
        <v>-728726.255</v>
      </c>
      <c r="D10" s="313">
        <f>D7-SUM(D8:D9)</f>
        <v>-706312.58000000007</v>
      </c>
      <c r="E10" s="173"/>
      <c r="F10" s="63"/>
      <c r="G10" s="63"/>
      <c r="H10" s="4"/>
      <c r="I10" s="582">
        <f t="shared" si="0"/>
        <v>-68827.560917327733</v>
      </c>
      <c r="J10" s="580">
        <f t="shared" si="0"/>
        <v>-66710.608809648184</v>
      </c>
      <c r="K10" s="164"/>
    </row>
    <row r="11" spans="1:11" ht="12.75">
      <c r="A11" s="565" t="s">
        <v>278</v>
      </c>
      <c r="B11" s="566" t="s">
        <v>607</v>
      </c>
      <c r="C11" s="93">
        <f>'Skatter, bidrag o fin poster'!D14</f>
        <v>591235.94699999993</v>
      </c>
      <c r="D11" s="1133">
        <f>C11</f>
        <v>591235.94699999993</v>
      </c>
      <c r="E11" s="173"/>
      <c r="F11" s="63"/>
      <c r="G11" s="63"/>
      <c r="H11" s="4"/>
      <c r="I11" s="583">
        <f t="shared" si="0"/>
        <v>55841.720919821186</v>
      </c>
      <c r="J11" s="584">
        <f t="shared" si="0"/>
        <v>55841.720919821186</v>
      </c>
      <c r="K11" s="164"/>
    </row>
    <row r="12" spans="1:11" ht="12.75">
      <c r="A12" s="541" t="s">
        <v>279</v>
      </c>
      <c r="B12" s="1860" t="s">
        <v>1007</v>
      </c>
      <c r="C12" s="94">
        <f>'Skatter, bidrag o fin poster'!D28-'Skatter, bidrag o fin poster'!D39+'Skatter, bidrag o fin poster'!D41</f>
        <v>148398.443</v>
      </c>
      <c r="D12" s="1134">
        <f>C12</f>
        <v>148398.443</v>
      </c>
      <c r="E12" s="173"/>
      <c r="F12" s="63"/>
      <c r="G12" s="63"/>
      <c r="H12" s="4"/>
      <c r="I12" s="579">
        <f t="shared" si="0"/>
        <v>14016.103860041501</v>
      </c>
      <c r="J12" s="585">
        <f t="shared" si="0"/>
        <v>14016.103860041501</v>
      </c>
      <c r="K12" s="164"/>
    </row>
    <row r="13" spans="1:11" ht="13.5" thickBot="1">
      <c r="A13" s="545" t="s">
        <v>292</v>
      </c>
      <c r="B13" s="1861" t="s">
        <v>1055</v>
      </c>
      <c r="C13" s="312">
        <f>SUM(C10:C12)</f>
        <v>10908.134999999922</v>
      </c>
      <c r="D13" s="313">
        <f>SUM(D10:D12)</f>
        <v>33321.809999999852</v>
      </c>
      <c r="E13" s="173"/>
      <c r="F13" s="63"/>
      <c r="G13" s="63"/>
      <c r="H13" s="4"/>
      <c r="I13" s="582">
        <f t="shared" ref="I13" si="1">C13*1000/invanare</f>
        <v>1030.2638625349507</v>
      </c>
      <c r="J13" s="589">
        <f t="shared" ref="J13" si="2">D13*1000/invanare</f>
        <v>3147.2159702145086</v>
      </c>
      <c r="K13" s="164"/>
    </row>
    <row r="14" spans="1:11" ht="12.75">
      <c r="A14" s="541" t="s">
        <v>280</v>
      </c>
      <c r="B14" s="563" t="s">
        <v>608</v>
      </c>
      <c r="C14" s="168">
        <v>31110.023000000001</v>
      </c>
      <c r="D14" s="1719">
        <v>15451.789000000001</v>
      </c>
      <c r="E14" s="172"/>
      <c r="F14" s="71"/>
      <c r="G14" s="63"/>
      <c r="H14" s="4"/>
      <c r="I14" s="2518">
        <f>(C14-C15)*1000/invanare</f>
        <v>456.05555875633195</v>
      </c>
      <c r="J14" s="2520">
        <f>(D14-D15)*1000/invanare</f>
        <v>-1527.9123625410973</v>
      </c>
      <c r="K14" s="164"/>
    </row>
    <row r="15" spans="1:11" ht="12.75">
      <c r="A15" s="543" t="s">
        <v>281</v>
      </c>
      <c r="B15" s="567" t="s">
        <v>609</v>
      </c>
      <c r="C15" s="168">
        <v>26281.438999999998</v>
      </c>
      <c r="D15" s="1719">
        <v>31628.882000000001</v>
      </c>
      <c r="E15" s="172"/>
      <c r="F15" s="71"/>
      <c r="G15" s="63"/>
      <c r="H15" s="4"/>
      <c r="I15" s="2519"/>
      <c r="J15" s="2521"/>
      <c r="K15" s="164"/>
    </row>
    <row r="16" spans="1:11" ht="13.5" thickBot="1">
      <c r="A16" s="498" t="s">
        <v>282</v>
      </c>
      <c r="B16" s="568" t="s">
        <v>1008</v>
      </c>
      <c r="C16" s="312">
        <f>SUM(C13:C14)-C15</f>
        <v>15736.718999999925</v>
      </c>
      <c r="D16" s="322">
        <f>SUM(D13:D14)-D15</f>
        <v>17144.716999999855</v>
      </c>
      <c r="E16" s="173"/>
      <c r="G16" s="2110"/>
      <c r="H16" s="4"/>
      <c r="I16" s="582">
        <f>C16*1000/invanare</f>
        <v>1486.3194212912827</v>
      </c>
      <c r="J16" s="589">
        <f>D16*1000/invanare</f>
        <v>1619.3036076734115</v>
      </c>
      <c r="K16" s="164"/>
    </row>
    <row r="17" spans="1:11" ht="12.75">
      <c r="A17" s="565" t="s">
        <v>318</v>
      </c>
      <c r="B17" s="566" t="s">
        <v>1009</v>
      </c>
      <c r="C17" s="168">
        <v>-19.670999999999999</v>
      </c>
      <c r="D17" s="1719">
        <v>-6.6139999999999999</v>
      </c>
      <c r="E17" s="2110"/>
      <c r="F17" s="164"/>
      <c r="G17" s="2110"/>
      <c r="H17" s="4"/>
      <c r="I17" s="1953">
        <f>(C17)*1000/invanare</f>
        <v>-1.8579088395885419</v>
      </c>
      <c r="J17" s="1954">
        <f>(D17)*1000/invanare</f>
        <v>-0.62468654694924597</v>
      </c>
      <c r="K17" s="164"/>
    </row>
    <row r="18" spans="1:11" ht="13.5" thickBot="1">
      <c r="A18" s="545" t="s">
        <v>208</v>
      </c>
      <c r="B18" s="1355" t="s">
        <v>610</v>
      </c>
      <c r="C18" s="312">
        <f>SUM(C16:C17)</f>
        <v>15717.047999999924</v>
      </c>
      <c r="D18" s="322">
        <f>SUM(D16:D17)</f>
        <v>17138.102999999854</v>
      </c>
      <c r="E18" s="2110"/>
      <c r="F18" s="164"/>
      <c r="G18" s="2110"/>
      <c r="H18" s="165"/>
      <c r="I18" s="587"/>
      <c r="J18" s="588"/>
      <c r="K18" s="164"/>
    </row>
    <row r="19" spans="1:11" ht="13.5" thickBot="1">
      <c r="A19" s="1968"/>
      <c r="B19" s="1969"/>
      <c r="E19" s="2110"/>
      <c r="F19" s="164"/>
      <c r="G19" s="2110"/>
      <c r="H19" s="4"/>
      <c r="I19" s="582">
        <f>C18*1000/invanare</f>
        <v>1484.461512451694</v>
      </c>
      <c r="J19" s="589">
        <f>D18*1000/invanare</f>
        <v>1618.6789211264622</v>
      </c>
      <c r="K19" s="164"/>
    </row>
    <row r="20" spans="1:11" ht="15.75" customHeight="1">
      <c r="A20" s="14"/>
      <c r="B20" s="3"/>
      <c r="C20" s="3"/>
      <c r="D20" s="3"/>
      <c r="E20" s="2110"/>
      <c r="F20" s="166"/>
      <c r="G20" s="2110"/>
      <c r="H20" s="4"/>
      <c r="I20" s="4"/>
      <c r="J20" s="4"/>
      <c r="K20" s="164"/>
    </row>
    <row r="21" spans="1:11" ht="15.75" customHeight="1" thickBot="1">
      <c r="A21" s="70" t="s">
        <v>997</v>
      </c>
      <c r="B21" s="3"/>
      <c r="C21" s="3"/>
      <c r="D21" s="3"/>
      <c r="E21" s="2110"/>
      <c r="F21" s="166"/>
      <c r="G21" s="2110"/>
      <c r="H21" s="4"/>
      <c r="I21" s="4"/>
      <c r="J21" s="4"/>
      <c r="K21" s="164"/>
    </row>
    <row r="22" spans="1:11" ht="15.75" customHeight="1">
      <c r="A22" s="565"/>
      <c r="B22" s="1808"/>
      <c r="C22" s="1809"/>
      <c r="D22" s="3"/>
      <c r="E22" s="2110"/>
      <c r="F22" s="166"/>
      <c r="G22" s="2110"/>
      <c r="H22" s="4"/>
      <c r="I22" s="4"/>
      <c r="J22" s="4"/>
      <c r="K22" s="164"/>
    </row>
    <row r="23" spans="1:11" ht="15.75" customHeight="1">
      <c r="A23" s="543" t="s">
        <v>335</v>
      </c>
      <c r="B23" s="567" t="s">
        <v>1110</v>
      </c>
      <c r="C23" s="1812">
        <v>4854.4399999999996</v>
      </c>
      <c r="D23" s="3"/>
      <c r="E23" s="2110"/>
      <c r="F23" s="166"/>
      <c r="G23" s="2110"/>
      <c r="H23" s="4"/>
      <c r="I23" s="4"/>
      <c r="J23" s="4"/>
      <c r="K23" s="164"/>
    </row>
    <row r="24" spans="1:11" ht="15.75" customHeight="1">
      <c r="A24" s="543" t="s">
        <v>623</v>
      </c>
      <c r="B24" s="567" t="s">
        <v>1111</v>
      </c>
      <c r="C24" s="1812">
        <v>1863.279</v>
      </c>
      <c r="D24" s="3"/>
      <c r="E24" s="2110"/>
      <c r="F24" s="166"/>
      <c r="G24" s="2110"/>
      <c r="H24" s="4"/>
      <c r="I24" s="4"/>
      <c r="J24" s="4"/>
      <c r="K24" s="164"/>
    </row>
    <row r="25" spans="1:11" ht="15.75" customHeight="1">
      <c r="A25" s="543" t="s">
        <v>998</v>
      </c>
      <c r="B25" s="567" t="s">
        <v>1112</v>
      </c>
      <c r="C25" s="1812">
        <v>1617.41</v>
      </c>
      <c r="D25" s="3"/>
      <c r="E25" s="2110"/>
      <c r="F25" s="166"/>
      <c r="G25" s="2110"/>
      <c r="H25" s="4"/>
      <c r="I25" s="4"/>
      <c r="J25" s="4"/>
      <c r="K25" s="164"/>
    </row>
    <row r="26" spans="1:11" ht="15.75" customHeight="1">
      <c r="A26" s="543" t="s">
        <v>999</v>
      </c>
      <c r="B26" s="567" t="s">
        <v>1114</v>
      </c>
      <c r="C26" s="1812">
        <v>3736.9</v>
      </c>
      <c r="D26" s="3"/>
      <c r="E26" s="2110"/>
      <c r="F26" s="166"/>
      <c r="G26" s="2110"/>
      <c r="H26" s="4"/>
      <c r="I26" s="4"/>
      <c r="J26" s="4"/>
      <c r="K26" s="164"/>
    </row>
    <row r="27" spans="1:11" ht="15.75" customHeight="1" thickBot="1">
      <c r="A27" s="545" t="s">
        <v>1000</v>
      </c>
      <c r="B27" s="2019" t="s">
        <v>1113</v>
      </c>
      <c r="C27" s="1813">
        <v>1219.8710000000001</v>
      </c>
      <c r="D27" s="3"/>
      <c r="E27" s="2110"/>
      <c r="F27" s="166"/>
      <c r="G27" s="2110"/>
      <c r="H27" s="4"/>
      <c r="I27" s="4"/>
      <c r="J27" s="4"/>
      <c r="K27" s="164"/>
    </row>
    <row r="28" spans="1:11" ht="15.75" customHeight="1" thickBot="1">
      <c r="A28" s="14"/>
      <c r="B28" s="3"/>
      <c r="C28" s="3"/>
      <c r="D28" s="3"/>
      <c r="E28" s="2"/>
      <c r="F28" s="166"/>
      <c r="G28" s="2110"/>
      <c r="H28" s="4"/>
      <c r="I28" s="4"/>
      <c r="J28" s="4"/>
      <c r="K28" s="164"/>
    </row>
    <row r="29" spans="1:11" ht="18" customHeight="1" thickBot="1">
      <c r="A29" s="70" t="s">
        <v>144</v>
      </c>
      <c r="B29" s="4"/>
      <c r="C29" s="4"/>
      <c r="D29" s="4"/>
      <c r="E29" s="4"/>
      <c r="F29" s="4"/>
      <c r="G29" s="2110"/>
      <c r="H29" s="4"/>
      <c r="I29" s="590" t="s">
        <v>450</v>
      </c>
      <c r="J29" s="167"/>
      <c r="K29" s="164"/>
    </row>
    <row r="30" spans="1:11" ht="13.5" thickBot="1">
      <c r="A30" s="2066">
        <v>130</v>
      </c>
      <c r="B30" s="2068" t="s">
        <v>145</v>
      </c>
      <c r="C30" s="2071">
        <f>C18</f>
        <v>15717.047999999924</v>
      </c>
      <c r="D30" s="4"/>
      <c r="E30" s="4"/>
      <c r="F30" s="4"/>
      <c r="G30" s="2110"/>
      <c r="H30" s="4"/>
      <c r="I30" s="591">
        <f>C30*1000/invanare</f>
        <v>1484.461512451694</v>
      </c>
      <c r="J30" s="165"/>
      <c r="K30" s="164"/>
    </row>
    <row r="31" spans="1:11" ht="12.75">
      <c r="A31" s="1499">
        <v>131</v>
      </c>
      <c r="B31" s="574" t="str">
        <f>"- reducering av samtliga realisationsvinster"</f>
        <v>- reducering av samtliga realisationsvinster</v>
      </c>
      <c r="C31" s="95">
        <v>3074.1619999999998</v>
      </c>
      <c r="D31" s="172"/>
      <c r="E31" s="4"/>
      <c r="F31" s="4"/>
      <c r="G31" s="2110"/>
      <c r="H31" s="4"/>
      <c r="I31" s="592"/>
      <c r="J31" s="165"/>
      <c r="K31" s="164"/>
    </row>
    <row r="32" spans="1:11" ht="12.75">
      <c r="A32" s="119">
        <v>132</v>
      </c>
      <c r="B32" s="574" t="str">
        <f>"+ justering för realisationsvinster enl. undantagsmöjlighet"</f>
        <v>+ justering för realisationsvinster enl. undantagsmöjlighet</v>
      </c>
      <c r="C32" s="95">
        <v>1494.443</v>
      </c>
      <c r="D32" s="172"/>
      <c r="E32" s="4"/>
      <c r="G32" s="2110"/>
      <c r="H32" s="4"/>
      <c r="I32" s="594"/>
      <c r="J32" s="165"/>
      <c r="K32" s="164"/>
    </row>
    <row r="33" spans="1:11" ht="12.75">
      <c r="A33" s="119">
        <v>135</v>
      </c>
      <c r="B33" s="574" t="str">
        <f>"+ justering av realisationsförluster enl. undantagsmöjlighet"</f>
        <v>+ justering av realisationsförluster enl. undantagsmöjlighet</v>
      </c>
      <c r="C33" s="171">
        <v>34.893999999999998</v>
      </c>
      <c r="D33" s="172"/>
      <c r="E33" s="4"/>
      <c r="F33" s="4"/>
      <c r="G33" s="2110"/>
      <c r="H33" s="4"/>
      <c r="I33" s="1182"/>
      <c r="J33" s="165"/>
      <c r="K33" s="164"/>
    </row>
    <row r="34" spans="1:11" ht="13.5" customHeight="1">
      <c r="A34" s="1960">
        <v>136</v>
      </c>
      <c r="B34" s="574" t="str">
        <f>"-/+ orealiserade vinster och förluster i värdepapper"</f>
        <v>-/+ orealiserade vinster och förluster i värdepapper</v>
      </c>
      <c r="C34" s="171">
        <v>-3293.98</v>
      </c>
      <c r="D34" s="172"/>
      <c r="E34" s="4"/>
      <c r="F34" s="4"/>
      <c r="G34" s="2110"/>
      <c r="H34" s="4"/>
      <c r="I34" s="594"/>
      <c r="J34" s="165"/>
      <c r="K34" s="164"/>
    </row>
    <row r="35" spans="1:11" ht="12.75" customHeight="1">
      <c r="A35" s="519">
        <v>140</v>
      </c>
      <c r="B35" s="2075" t="str">
        <f>"+/- återföring av orealiserade vinster och förluster i värdepapper"</f>
        <v>+/- återföring av orealiserade vinster och förluster i värdepapper</v>
      </c>
      <c r="C35" s="171">
        <v>701.13699999999994</v>
      </c>
      <c r="D35" s="172"/>
      <c r="E35" s="4"/>
      <c r="F35" s="4"/>
      <c r="H35" s="4"/>
      <c r="I35" s="594"/>
      <c r="J35" s="4"/>
      <c r="K35" s="164"/>
    </row>
    <row r="36" spans="1:11" ht="12.75" customHeight="1" thickBot="1">
      <c r="A36" s="2074">
        <v>141</v>
      </c>
      <c r="B36" s="1355" t="str">
        <f xml:space="preserve"> " = Årets resultat efter balanskravsjusteringar"</f>
        <v xml:space="preserve"> = Årets resultat efter balanskravsjusteringar</v>
      </c>
      <c r="C36" s="2070">
        <f>C30-C31+C32+C33+C34+C35</f>
        <v>11579.379999999925</v>
      </c>
      <c r="D36" s="172"/>
      <c r="E36" s="4"/>
      <c r="F36" s="4"/>
      <c r="G36" s="1149"/>
      <c r="H36" s="4"/>
      <c r="I36" s="594"/>
      <c r="J36" s="4"/>
      <c r="K36" s="164"/>
    </row>
    <row r="37" spans="1:11" ht="13.5" customHeight="1">
      <c r="A37" s="2111">
        <v>138</v>
      </c>
      <c r="B37" s="2119" t="str">
        <f>"- reservering av medel till resultatreserv"</f>
        <v>- reservering av medel till resultatreserv</v>
      </c>
      <c r="C37" s="2069">
        <v>1654.2139999999999</v>
      </c>
      <c r="D37" s="172" t="str">
        <f>IF(AND(C36&lt;0,C37&lt;&gt;0),"Ni har reserverat medel till RER utan positivt resultat efter balanskravsjuteringar . Åtgärda eller kommentera!","")</f>
        <v/>
      </c>
      <c r="E37" s="4"/>
      <c r="F37" s="4"/>
      <c r="G37" s="1149"/>
      <c r="H37" s="4"/>
      <c r="I37" s="594"/>
      <c r="J37" s="4"/>
      <c r="K37" s="164"/>
    </row>
    <row r="38" spans="1:11" ht="13.5" customHeight="1">
      <c r="A38" s="2111">
        <v>139</v>
      </c>
      <c r="B38" s="2120" t="str">
        <f>"+ användning av medel från resultatreserv"</f>
        <v>+ användning av medel från resultatreserv</v>
      </c>
      <c r="C38" s="171">
        <v>0</v>
      </c>
      <c r="D38" s="172" t="str">
        <f>IF(C38 &gt; BR!D43,"Ni har använt mer medel från RER än vad som finns angivet som ingående balans i balansräkningen. Åtgärda eller kommentera!",IF(AND(C36&gt;0,C38&lt;&gt;0),"Ni har använt medel från RER utan negativt resultat efter balanskravsjuteringar. Åtgärda eller kommentera!",""))</f>
        <v/>
      </c>
      <c r="E38" s="4"/>
      <c r="F38" s="4"/>
      <c r="G38" s="1149"/>
      <c r="H38" s="4"/>
      <c r="I38" s="594"/>
      <c r="J38" s="4"/>
      <c r="K38" s="164"/>
    </row>
    <row r="39" spans="1:11" ht="12.75" customHeight="1">
      <c r="A39" s="519">
        <v>143</v>
      </c>
      <c r="B39" s="567" t="str">
        <f>"+ användning av medel från resultatutjämningsreserv"</f>
        <v>+ användning av medel från resultatutjämningsreserv</v>
      </c>
      <c r="C39" s="171">
        <v>2338.0630000000001</v>
      </c>
      <c r="D39" s="172"/>
      <c r="E39" s="4"/>
      <c r="F39" s="4"/>
      <c r="G39" s="1149"/>
      <c r="H39" s="4"/>
      <c r="I39" s="594"/>
      <c r="J39" s="4"/>
      <c r="K39" s="164"/>
    </row>
    <row r="40" spans="1:11" ht="12.75" customHeight="1" thickBot="1">
      <c r="A40" s="2067">
        <v>133</v>
      </c>
      <c r="B40" s="1355" t="str">
        <f>"= Balanskravsresultat"</f>
        <v>= Balanskravsresultat</v>
      </c>
      <c r="C40" s="2070">
        <f>C36-C37+C38+C39</f>
        <v>12263.228999999925</v>
      </c>
      <c r="D40" s="172"/>
      <c r="E40" s="4"/>
      <c r="F40" s="4"/>
      <c r="G40" s="1150"/>
      <c r="H40" s="4"/>
      <c r="I40" s="1560">
        <f>C40*1000/invanare</f>
        <v>1158.2513121345339</v>
      </c>
      <c r="J40" s="4"/>
      <c r="K40" s="164"/>
    </row>
    <row r="41" spans="1:11" ht="30" customHeight="1">
      <c r="A41" s="2112"/>
      <c r="B41" s="2121" t="s">
        <v>1236</v>
      </c>
      <c r="C41" s="2077"/>
      <c r="D41" s="4"/>
      <c r="E41" s="2079"/>
      <c r="F41" s="4"/>
      <c r="G41" s="1150"/>
      <c r="H41" s="4"/>
      <c r="I41" s="594"/>
      <c r="J41" s="4"/>
      <c r="K41" s="164"/>
    </row>
    <row r="42" spans="1:11" ht="21" customHeight="1">
      <c r="A42" s="2113">
        <v>104</v>
      </c>
      <c r="B42" s="2122" t="s">
        <v>1232</v>
      </c>
      <c r="C42" s="2069">
        <v>-852.80899999999997</v>
      </c>
      <c r="D42" s="1175"/>
      <c r="E42" s="4"/>
      <c r="F42" s="4"/>
      <c r="G42" s="1150"/>
      <c r="H42" s="4"/>
      <c r="I42" s="594"/>
      <c r="J42" s="4"/>
      <c r="K42" s="164"/>
    </row>
    <row r="43" spans="1:11" ht="21" customHeight="1">
      <c r="A43" s="2114">
        <v>105</v>
      </c>
      <c r="B43" s="2123" t="s">
        <v>1234</v>
      </c>
      <c r="C43" s="171">
        <f>25</f>
        <v>25</v>
      </c>
      <c r="D43" s="172"/>
      <c r="E43" s="4"/>
      <c r="F43" s="4"/>
      <c r="G43" s="1150"/>
      <c r="H43" s="4"/>
      <c r="I43" s="593"/>
      <c r="J43" s="4"/>
      <c r="K43" s="164"/>
    </row>
    <row r="44" spans="1:11" ht="12.75" customHeight="1" thickBot="1">
      <c r="A44" s="2115">
        <v>106</v>
      </c>
      <c r="B44" s="2124" t="s">
        <v>1235</v>
      </c>
      <c r="C44" s="2072">
        <f>-1361</f>
        <v>-1361</v>
      </c>
      <c r="D44" s="1158"/>
      <c r="E44" s="4"/>
      <c r="F44" s="4"/>
      <c r="G44" s="1150"/>
      <c r="H44" s="4"/>
      <c r="I44" s="595">
        <f>C44*1000/invanare</f>
        <v>-128.54526616237129</v>
      </c>
      <c r="J44" s="4"/>
      <c r="K44" s="164"/>
    </row>
    <row r="45" spans="1:11" ht="30" customHeight="1" thickBot="1">
      <c r="A45" s="2116"/>
      <c r="B45" s="2125" t="s">
        <v>1233</v>
      </c>
      <c r="C45" s="2077"/>
      <c r="D45" s="2078"/>
      <c r="E45" s="4"/>
      <c r="F45" s="4"/>
      <c r="G45" s="4"/>
      <c r="H45" s="4"/>
      <c r="I45" s="4"/>
      <c r="J45" s="4"/>
      <c r="K45" s="164"/>
    </row>
    <row r="46" spans="1:11" ht="12.75" customHeight="1">
      <c r="A46" s="2117">
        <v>107</v>
      </c>
      <c r="B46" s="2126" t="s">
        <v>1237</v>
      </c>
      <c r="C46" s="2069">
        <v>-345.072</v>
      </c>
      <c r="D46" s="1175"/>
      <c r="E46" s="4"/>
      <c r="F46" s="4"/>
      <c r="G46" s="596" t="s">
        <v>506</v>
      </c>
      <c r="H46" s="597"/>
      <c r="I46" s="2511" t="s">
        <v>140</v>
      </c>
      <c r="J46" s="2512"/>
      <c r="K46" s="2091"/>
    </row>
    <row r="47" spans="1:11" s="269" customFormat="1" ht="30" customHeight="1" thickBot="1">
      <c r="A47" s="2118">
        <v>108</v>
      </c>
      <c r="B47" s="2127" t="s">
        <v>1238</v>
      </c>
      <c r="C47" s="2085">
        <f>-1705</f>
        <v>-1705</v>
      </c>
      <c r="D47" s="1649"/>
      <c r="E47" s="1649"/>
      <c r="F47" s="270"/>
      <c r="G47" s="2086"/>
      <c r="H47" s="2087"/>
      <c r="I47" s="2088" t="s">
        <v>604</v>
      </c>
      <c r="J47" s="2089" t="s">
        <v>705</v>
      </c>
      <c r="K47" s="270"/>
    </row>
    <row r="48" spans="1:11" ht="19.5" customHeight="1">
      <c r="A48" s="164"/>
      <c r="B48" s="2080"/>
      <c r="C48" s="164"/>
      <c r="D48" s="164"/>
      <c r="E48" s="164"/>
      <c r="F48" s="164"/>
      <c r="G48" s="2513" t="s">
        <v>1159</v>
      </c>
      <c r="H48" s="2514"/>
      <c r="I48" s="579">
        <f>IF(ISERROR(C10*100/SUM(C11:C12)*-1),0,C10*100/SUM(C11:C12)*-1)</f>
        <v>98.525199051385385</v>
      </c>
      <c r="J48" s="598">
        <f>IF(ISERROR(D10*100/SUM(D11:D12)*-1),0,D10*100/SUM(D11:D12)*-1)</f>
        <v>95.494826842759451</v>
      </c>
      <c r="K48" s="164"/>
    </row>
    <row r="49" spans="1:11" ht="15" customHeight="1">
      <c r="A49" s="164"/>
      <c r="B49" s="164"/>
      <c r="C49" s="164"/>
      <c r="D49" s="164"/>
      <c r="E49" s="164"/>
      <c r="F49" s="164"/>
      <c r="G49" s="599" t="s">
        <v>1160</v>
      </c>
      <c r="H49" s="600"/>
      <c r="I49" s="581">
        <f>IF(ISERROR((C14-C15)*100/SUM(C11:C12)),0,(C14-C15)*100/SUM(C11:C12))</f>
        <v>0.65283389540608072</v>
      </c>
      <c r="J49" s="598">
        <f>IF(ISERROR((D14-D15)*100/SUM(D11:D12)),0,(D14-D15)*100/SUM(D11:D12))</f>
        <v>-2.1871742605153881</v>
      </c>
      <c r="K49" s="164"/>
    </row>
    <row r="50" spans="1:11" ht="19.5" customHeight="1">
      <c r="A50" s="164"/>
      <c r="B50" s="164"/>
      <c r="C50" s="164"/>
      <c r="D50" s="164"/>
      <c r="E50" s="164"/>
      <c r="F50" s="164"/>
      <c r="G50" s="2515" t="s">
        <v>1161</v>
      </c>
      <c r="H50" s="2516"/>
      <c r="I50" s="581">
        <f>IF(ISERROR(C16*100/SUM(C11:C12)),0,C16*100/SUM(C11:C12))</f>
        <v>2.127634844020696</v>
      </c>
      <c r="J50" s="598">
        <f>IF(ISERROR(D16*100/SUM(D11:D12)),0,D16*100/SUM(D11:D12))</f>
        <v>2.3179988967251588</v>
      </c>
      <c r="K50" s="164"/>
    </row>
    <row r="51" spans="1:11" ht="19.5" customHeight="1">
      <c r="A51" s="4"/>
      <c r="B51" s="4"/>
      <c r="C51" s="4"/>
      <c r="D51" s="164"/>
      <c r="E51" s="164"/>
      <c r="F51" s="164"/>
      <c r="G51" s="599" t="s">
        <v>1162</v>
      </c>
      <c r="H51" s="600"/>
      <c r="I51" s="581">
        <f>IF(ISERROR(C18*100/SUM(C11:C12)),0,C18*100/SUM(C11:C12))</f>
        <v>2.1249752867764742</v>
      </c>
      <c r="J51" s="598">
        <f>IF(ISERROR(D18*100/SUM(D11:D12)),0,D18*100/SUM(D11:D12))</f>
        <v>2.3171046711335119</v>
      </c>
      <c r="K51" s="164"/>
    </row>
    <row r="52" spans="1:11" ht="13.5" customHeight="1">
      <c r="A52" s="4"/>
      <c r="B52" s="4"/>
      <c r="C52" s="4"/>
      <c r="D52" s="164"/>
      <c r="E52" s="164"/>
      <c r="F52" s="164"/>
      <c r="G52" s="601" t="s">
        <v>515</v>
      </c>
      <c r="H52" s="1937"/>
      <c r="I52" s="581">
        <f>IF(C8&gt;0,C7*100/(C8+C9),0)</f>
        <v>19.742788925820218</v>
      </c>
      <c r="J52" s="598">
        <f>IF(D8&gt;0,D7*100/(D8+D9),0)</f>
        <v>34.870748914042096</v>
      </c>
      <c r="K52" s="164"/>
    </row>
    <row r="53" spans="1:11" ht="14.25" customHeight="1">
      <c r="A53" s="164"/>
      <c r="B53" s="164"/>
      <c r="C53" s="164"/>
      <c r="D53" s="164"/>
      <c r="E53" s="164"/>
      <c r="F53" s="164"/>
      <c r="G53" s="601" t="s">
        <v>710</v>
      </c>
      <c r="H53" s="602"/>
      <c r="I53" s="581">
        <f>IF(ISERROR((Investeringar!C7+Investeringar!D7+Investeringar!E7-Investeringar!C78)*100/SUM(C11:C12)),0,(Investeringar!C7+Investeringar!D7+Investeringar!E7-Investeringar!C78)*100/SUM(C11:C12))</f>
        <v>13.799344700562127</v>
      </c>
      <c r="J53" s="603"/>
      <c r="K53" s="164"/>
    </row>
    <row r="54" spans="1:11" ht="12.75" customHeight="1">
      <c r="A54" s="164"/>
      <c r="B54" s="164"/>
      <c r="C54" s="164"/>
      <c r="D54" s="164"/>
      <c r="E54" s="164"/>
      <c r="F54" s="164"/>
      <c r="G54" s="601" t="s">
        <v>507</v>
      </c>
      <c r="H54" s="602"/>
      <c r="I54" s="581">
        <f>IF(ISERROR((Investeringar!C8+Investeringar!D8+Investeringar!E8)*100/SUM(C11:C12)*-1),0,(Investeringar!C8+Investeringar!D8+Investeringar!E8)*100/SUM(C11:C12)*-1)</f>
        <v>0.67579456385201342</v>
      </c>
      <c r="J54" s="604"/>
      <c r="K54" s="164"/>
    </row>
    <row r="55" spans="1:11" ht="12.75" customHeight="1">
      <c r="A55" s="164"/>
      <c r="B55" s="164"/>
      <c r="C55" s="164"/>
      <c r="D55" s="164"/>
      <c r="E55" s="164"/>
      <c r="F55" s="164"/>
      <c r="G55" s="601" t="s">
        <v>508</v>
      </c>
      <c r="H55" s="602"/>
      <c r="I55" s="581">
        <f>IF(ISERROR(SUM(Investeringar!C8:E8)/(Investeringar!C66)*-1),0,(SUM(Investeringar!C8:E8)/(Investeringar!C66)*-1)*100)</f>
        <v>5.0361371712571001</v>
      </c>
      <c r="J55" s="604"/>
      <c r="K55" s="164"/>
    </row>
    <row r="56" spans="1:11" ht="12.75" customHeight="1" thickBot="1">
      <c r="A56" s="164"/>
      <c r="B56" s="164"/>
      <c r="C56" s="164"/>
      <c r="D56" s="164"/>
      <c r="E56" s="164"/>
      <c r="F56" s="164"/>
      <c r="G56" s="605" t="s">
        <v>1046</v>
      </c>
      <c r="H56" s="1938"/>
      <c r="I56" s="606">
        <f>IF(ISERROR(BR!D32*100/RR!C8),0,BR!D32*100/RR!C8)</f>
        <v>6.0687853175535302</v>
      </c>
      <c r="J56" s="607"/>
      <c r="K56" s="164"/>
    </row>
    <row r="57" spans="1:11" ht="12.75" customHeight="1">
      <c r="A57" s="164"/>
      <c r="B57" s="164"/>
      <c r="C57" s="164"/>
      <c r="D57" s="164"/>
      <c r="E57" s="164"/>
      <c r="F57" s="164"/>
      <c r="G57" s="140"/>
      <c r="H57" s="1179"/>
      <c r="I57" s="1180"/>
      <c r="J57" s="1181"/>
      <c r="K57" s="192"/>
    </row>
    <row r="58" spans="1:11" ht="12.75" customHeight="1">
      <c r="A58" s="164"/>
      <c r="B58" s="164"/>
      <c r="C58" s="164"/>
      <c r="D58" s="164"/>
      <c r="E58" s="164"/>
      <c r="F58" s="164"/>
      <c r="G58" s="140"/>
      <c r="H58" s="1179"/>
      <c r="I58" s="1180"/>
      <c r="J58" s="1181"/>
      <c r="K58" s="192"/>
    </row>
    <row r="59" spans="1:11" ht="19.5" customHeight="1">
      <c r="A59" s="164"/>
      <c r="B59" s="164"/>
      <c r="C59" s="164"/>
      <c r="D59" s="164"/>
      <c r="E59" s="164"/>
      <c r="F59" s="164"/>
      <c r="G59" s="140"/>
      <c r="H59" s="1179"/>
      <c r="I59" s="1180"/>
      <c r="J59" s="1181"/>
      <c r="K59" s="192"/>
    </row>
    <row r="60" spans="1:11" ht="12.75">
      <c r="A60" s="164"/>
      <c r="B60" s="164"/>
      <c r="C60" s="164"/>
      <c r="D60" s="164"/>
      <c r="E60" s="164"/>
      <c r="F60" s="164"/>
      <c r="G60" s="140"/>
      <c r="H60" s="1179"/>
      <c r="I60" s="1180"/>
      <c r="J60" s="1181"/>
      <c r="K60" s="164"/>
    </row>
    <row r="61" spans="1:11" ht="12.75" hidden="1">
      <c r="A61" s="164"/>
      <c r="B61" s="164"/>
      <c r="C61" s="164"/>
      <c r="G61" s="761"/>
      <c r="H61" s="1176"/>
      <c r="I61" s="1177"/>
      <c r="J61" s="1178"/>
      <c r="K61" s="164"/>
    </row>
    <row r="62" spans="1:11" ht="12.75" hidden="1">
      <c r="A62" s="164"/>
      <c r="B62" s="164"/>
      <c r="C62" s="164"/>
      <c r="G62" s="164"/>
      <c r="H62" s="164"/>
      <c r="I62" s="164"/>
      <c r="J62" s="164"/>
      <c r="K62" s="164"/>
    </row>
    <row r="63" spans="1:11" ht="12.75" hidden="1">
      <c r="A63" s="164"/>
      <c r="B63" s="164"/>
      <c r="C63" s="164"/>
    </row>
    <row r="64" spans="1:11" ht="12.75" hidden="1">
      <c r="A64" s="164"/>
      <c r="B64" s="164"/>
      <c r="C64" s="164"/>
    </row>
    <row r="65" spans="1:3" ht="12.75" hidden="1">
      <c r="A65" s="164"/>
      <c r="B65" s="164"/>
      <c r="C65" s="164"/>
    </row>
    <row r="66" spans="1:3" ht="12.75" hidden="1"/>
    <row r="67" spans="1:3" ht="12.75" hidden="1"/>
    <row r="68" spans="1:3" ht="12.75" hidden="1"/>
    <row r="69" spans="1:3" ht="12.75" hidden="1"/>
    <row r="70" spans="1:3" ht="12.75" hidden="1"/>
    <row r="71" spans="1:3" ht="12.75" hidden="1"/>
    <row r="72" spans="1:3" ht="12.75" hidden="1"/>
    <row r="73" spans="1:3" ht="12.75" hidden="1"/>
    <row r="74" spans="1:3" ht="12.75" hidden="1"/>
    <row r="75" spans="1:3" ht="12.75" customHeight="1"/>
  </sheetData>
  <sheetProtection algorithmName="SHA-512" hashValue="0i1tMN/LIF8ThbSLnYmdDpFL2nQuDJlSrV34+kmAyTUklX6EDoCBCiLJSvn5ZueX969Ewd3iLYhaDlc7ehHpiA==" saltValue="Yb3/kQxf/cr7vd2o9K/qCg==" spinCount="100000" sheet="1" objects="1" scenarios="1"/>
  <mergeCells count="6">
    <mergeCell ref="I46:J46"/>
    <mergeCell ref="G48:H48"/>
    <mergeCell ref="G50:H50"/>
    <mergeCell ref="I4:J4"/>
    <mergeCell ref="I14:I15"/>
    <mergeCell ref="J14:J15"/>
  </mergeCells>
  <conditionalFormatting sqref="C37:C39">
    <cfRule type="cellIs" dxfId="151" priority="2" stopIfTrue="1" operator="lessThan">
      <formula>-5</formula>
    </cfRule>
  </conditionalFormatting>
  <dataValidations disablePrompts="1" count="13">
    <dataValidation type="decimal" operator="greaterThanOrEqual" allowBlank="1" showInputMessage="1" showErrorMessage="1" error="Belopp anges utan minustecken" sqref="C23:C24 C26 C27" xr:uid="{00000000-0002-0000-0100-000000000000}">
      <formula1>0</formula1>
    </dataValidation>
    <dataValidation type="decimal" operator="lessThan" allowBlank="1" showInputMessage="1" showErrorMessage="1" error="Beloppet ska vara i tusental kronor" sqref="C14:D15" xr:uid="{00000000-0002-0000-0100-000001000000}">
      <formula1>99999999</formula1>
    </dataValidation>
    <dataValidation type="decimal" operator="lessThan" allowBlank="1" showInputMessage="1" showErrorMessage="1" error="Beloppet ska vara i 1000 tal kronoer" sqref="C7:D9" xr:uid="{00000000-0002-0000-0100-000002000000}">
      <formula1>99999999</formula1>
    </dataValidation>
    <dataValidation type="decimal" operator="lessThan" allowBlank="1" showInputMessage="1" showErrorMessage="1" error="Beloppet ska vara i 1000 tal kronor" sqref="C34 C17:D17 C25" xr:uid="{00000000-0002-0000-0100-000003000000}">
      <formula1>99999999</formula1>
    </dataValidation>
    <dataValidation type="decimal" allowBlank="1" showInputMessage="1" showErrorMessage="1" error="Beloppet ska vara i 1000 tal kronor. Inget minusbelopp anges." sqref="C31" xr:uid="{00000000-0002-0000-0100-000004000000}">
      <formula1>0</formula1>
      <formula2>99999999</formula2>
    </dataValidation>
    <dataValidation type="decimal" allowBlank="1" showInputMessage="1" showErrorMessage="1" error="Beloppet ska vara i 1000 tal kronor_x000a_Inget minusbelopp anges." sqref="C32" xr:uid="{00000000-0002-0000-0100-000005000000}">
      <formula1>0</formula1>
      <formula2>99999999</formula2>
    </dataValidation>
    <dataValidation type="decimal" operator="greaterThanOrEqual" allowBlank="1" showInputMessage="1" showErrorMessage="1" error="Beloppet ska vara i 1000 tal kronor._x000a_Inget minustecken anges." sqref="C33" xr:uid="{00000000-0002-0000-0100-000006000000}">
      <formula1>0</formula1>
    </dataValidation>
    <dataValidation type="decimal" allowBlank="1" showInputMessage="1" showErrorMessage="1" error="Beloppet ska vara i 1000 tal kronor_x000a_Inget minustecken ska anges_x000a_" sqref="C37:C38" xr:uid="{00000000-0002-0000-0100-000007000000}">
      <formula1>0</formula1>
      <formula2>99999999</formula2>
    </dataValidation>
    <dataValidation type="decimal" allowBlank="1" showInputMessage="1" showErrorMessage="1" error="Beloppet ska vara i 1000 tal kronor_x000a_Inget minustecken ska anges." sqref="C39" xr:uid="{00000000-0002-0000-0100-000008000000}">
      <formula1>0</formula1>
      <formula2>99999999</formula2>
    </dataValidation>
    <dataValidation type="whole" operator="greaterThanOrEqual" allowBlank="1" showInputMessage="1" showErrorMessage="1" error="Enbart positiva heltal eller 0 är tillåtna." sqref="C43" xr:uid="{00000000-0002-0000-0100-000009000000}">
      <formula1>0</formula1>
    </dataValidation>
    <dataValidation type="decimal" operator="lessThanOrEqual" allowBlank="1" showInputMessage="1" showErrorMessage="1" error="Beloppet ska vara i 1000 tal kronor._x000a_Endast negativa värden eller 0 är tillåtna._x000a_" sqref="C46" xr:uid="{4EB6ED5A-FAB4-4D3D-84F1-D271B6A58B63}">
      <formula1>0</formula1>
    </dataValidation>
    <dataValidation operator="lessThan" allowBlank="1" showInputMessage="1" showErrorMessage="1" error="Beloppet ska vara i 1000 tal kronor" sqref="C44 C47" xr:uid="{047B7CD7-57C1-43FD-B267-DB5D42BA7849}"/>
    <dataValidation type="decimal" operator="lessThanOrEqual" allowBlank="1" showInputMessage="1" showErrorMessage="1" error="Beloppet ska vara i 1000 tal kronor._x000a_Endast negativa värden eller 0 är tillåtna." sqref="C42" xr:uid="{7773B4EE-C60E-43C8-9625-08CD6A7B94C0}">
      <formula1>0</formula1>
    </dataValidation>
  </dataValidations>
  <pageMargins left="0.70866141732283472" right="0.70866141732283472" top="0.74803149606299213" bottom="0.52" header="0.31496062992125984" footer="0.31496062992125984"/>
  <pageSetup paperSize="9" scale="85" orientation="landscape" r:id="rId1"/>
  <headerFooter>
    <oddHeader>&amp;L&amp;8Statistiska Centralbyrån
Offentlig ekonomi&amp;R&amp;P</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FFFF00"/>
  </sheetPr>
  <dimension ref="A1:U122"/>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5" style="137" customWidth="1"/>
    <col min="2" max="2" width="10.5703125" style="137" customWidth="1"/>
    <col min="3" max="3" width="36.140625" style="137" customWidth="1"/>
    <col min="4" max="4" width="10.5703125" style="137" customWidth="1"/>
    <col min="5" max="5" width="10.42578125" style="137" customWidth="1"/>
    <col min="6" max="6" width="23" style="163" customWidth="1"/>
    <col min="7" max="7" width="4.5703125" style="163" customWidth="1"/>
    <col min="8" max="8" width="7.42578125" style="163" customWidth="1"/>
    <col min="9" max="9" width="31.5703125" style="163" customWidth="1"/>
    <col min="10" max="10" width="11.42578125" style="163" customWidth="1"/>
    <col min="11" max="11" width="12.42578125" style="163" customWidth="1"/>
    <col min="12" max="12" width="45.85546875" style="163" customWidth="1"/>
    <col min="13" max="14" width="9.5703125" style="163" customWidth="1"/>
    <col min="15" max="15" width="2.42578125" style="163" customWidth="1"/>
    <col min="16" max="16" width="6" style="163" customWidth="1"/>
    <col min="17" max="17" width="10.5703125" style="137" customWidth="1"/>
    <col min="18" max="18" width="3.5703125" style="137" customWidth="1"/>
    <col min="19" max="20" width="6" style="163" customWidth="1"/>
    <col min="21" max="21" width="0" hidden="1" customWidth="1"/>
    <col min="22" max="16384" width="0" style="163" hidden="1"/>
  </cols>
  <sheetData>
    <row r="1" spans="1:20" ht="20.25">
      <c r="A1" s="86" t="str">
        <f>"Balansräkning "&amp;År&amp;", miljoner kr"</f>
        <v>Balansräkning 2024, miljoner kr</v>
      </c>
      <c r="B1" s="87"/>
      <c r="C1" s="87"/>
      <c r="D1" s="88"/>
      <c r="E1" s="475" t="s">
        <v>446</v>
      </c>
      <c r="F1" s="476" t="str">
        <f>Information!A2</f>
        <v>RIKSTOTAL</v>
      </c>
      <c r="G1" s="476"/>
      <c r="H1" s="476"/>
      <c r="I1" s="476"/>
      <c r="J1" s="162"/>
      <c r="K1" s="162"/>
      <c r="L1" s="162"/>
      <c r="M1" s="162"/>
      <c r="N1" s="162"/>
      <c r="O1" s="187"/>
      <c r="P1" s="187"/>
      <c r="Q1" s="1400"/>
      <c r="R1" s="1400"/>
      <c r="S1" s="187"/>
      <c r="T1" s="162"/>
    </row>
    <row r="2" spans="1:20" ht="12.75" customHeight="1">
      <c r="A2" s="2498"/>
      <c r="B2" s="2110"/>
      <c r="C2" s="2110"/>
      <c r="D2" s="2110"/>
      <c r="E2" s="2110"/>
      <c r="F2" s="2110"/>
      <c r="G2" s="2110"/>
      <c r="H2" s="2110"/>
      <c r="I2" s="2110"/>
      <c r="J2" s="2110"/>
      <c r="K2" s="2110"/>
      <c r="L2" s="2110"/>
      <c r="M2" s="2110"/>
      <c r="N2" s="2110"/>
      <c r="O2" s="2110"/>
      <c r="P2" s="2110"/>
      <c r="Q2" s="2110"/>
      <c r="R2" s="2110"/>
      <c r="S2" s="2110"/>
      <c r="T2" s="2110"/>
    </row>
    <row r="3" spans="1:20" ht="12.75" customHeight="1" thickBot="1">
      <c r="A3" s="2110"/>
      <c r="B3" s="2110"/>
      <c r="C3" s="2110"/>
      <c r="D3" s="2110"/>
      <c r="E3" s="2110"/>
      <c r="F3" s="2110"/>
      <c r="G3" s="2110"/>
      <c r="H3" s="2110"/>
      <c r="I3" s="2110"/>
      <c r="J3" s="2110"/>
      <c r="K3" s="2110"/>
      <c r="L3" s="2110"/>
      <c r="M3" s="2110"/>
      <c r="N3" s="2110"/>
      <c r="O3" s="2110"/>
      <c r="P3" s="2110"/>
      <c r="Q3" s="2110"/>
      <c r="R3" s="2110"/>
      <c r="S3" s="2110"/>
      <c r="T3" s="2110"/>
    </row>
    <row r="4" spans="1:20" s="175" customFormat="1">
      <c r="A4" s="608" t="s">
        <v>611</v>
      </c>
      <c r="B4" s="2021" t="str">
        <f>"BAS "&amp;År-2000&amp;""</f>
        <v>BAS 24</v>
      </c>
      <c r="C4" s="609" t="s">
        <v>707</v>
      </c>
      <c r="D4" s="627" t="s">
        <v>604</v>
      </c>
      <c r="E4" s="628" t="s">
        <v>705</v>
      </c>
      <c r="H4" s="174"/>
      <c r="I4" s="174"/>
      <c r="J4" s="174"/>
      <c r="K4" s="174"/>
      <c r="L4" s="174"/>
      <c r="M4" s="2511" t="s">
        <v>450</v>
      </c>
      <c r="N4" s="2525"/>
      <c r="O4" s="1229"/>
      <c r="P4" s="1172"/>
      <c r="Q4" s="1401"/>
      <c r="R4" s="1228"/>
      <c r="S4" s="1173"/>
      <c r="T4" s="1173"/>
    </row>
    <row r="5" spans="1:20" s="175" customFormat="1" ht="32.25" customHeight="1">
      <c r="A5" s="1399" t="s">
        <v>605</v>
      </c>
      <c r="B5" s="2523"/>
      <c r="C5" s="611"/>
      <c r="D5" s="629"/>
      <c r="E5" s="630"/>
      <c r="F5" s="174"/>
      <c r="G5" s="174"/>
      <c r="H5" s="174"/>
      <c r="I5" s="174"/>
      <c r="J5" s="174"/>
      <c r="K5" s="174"/>
      <c r="L5" s="174"/>
      <c r="M5" s="638" t="s">
        <v>604</v>
      </c>
      <c r="N5" s="639" t="s">
        <v>705</v>
      </c>
      <c r="O5" s="1229"/>
      <c r="P5" s="1172"/>
      <c r="Q5" s="1173"/>
      <c r="R5" s="1173"/>
      <c r="S5" s="2530"/>
      <c r="T5" s="2528"/>
    </row>
    <row r="6" spans="1:20" ht="15">
      <c r="A6" s="612"/>
      <c r="B6" s="2524"/>
      <c r="C6" s="613"/>
      <c r="D6" s="631"/>
      <c r="E6" s="632"/>
      <c r="F6" s="4"/>
      <c r="G6" s="4"/>
      <c r="H6" s="4"/>
      <c r="I6" s="4"/>
      <c r="J6" s="4"/>
      <c r="K6" s="4"/>
      <c r="L6" s="4"/>
      <c r="M6" s="640"/>
      <c r="N6" s="641"/>
      <c r="O6" s="1230"/>
      <c r="P6" s="1172"/>
      <c r="Q6" s="1236"/>
      <c r="R6" s="1236"/>
      <c r="S6" s="2530"/>
      <c r="T6" s="2529"/>
    </row>
    <row r="7" spans="1:20" ht="15">
      <c r="A7" s="614"/>
      <c r="B7" s="615"/>
      <c r="C7" s="616" t="s">
        <v>612</v>
      </c>
      <c r="D7" s="633"/>
      <c r="E7" s="634"/>
      <c r="F7" s="65"/>
      <c r="G7" s="4"/>
      <c r="H7" s="4"/>
      <c r="I7" s="4"/>
      <c r="J7" s="4"/>
      <c r="K7" s="4"/>
      <c r="L7" s="4"/>
      <c r="M7" s="642"/>
      <c r="N7" s="643"/>
      <c r="O7" s="68"/>
      <c r="P7" s="231"/>
      <c r="Q7" s="1402"/>
      <c r="R7" s="231"/>
    </row>
    <row r="8" spans="1:20" ht="7.5" customHeight="1">
      <c r="A8" s="614"/>
      <c r="B8" s="615"/>
      <c r="C8" s="617"/>
      <c r="D8" s="635"/>
      <c r="E8" s="636"/>
      <c r="F8" s="65"/>
      <c r="G8" s="4"/>
      <c r="H8" s="4"/>
      <c r="I8" s="4"/>
      <c r="J8" s="4"/>
      <c r="K8" s="4"/>
      <c r="L8" s="4"/>
      <c r="M8" s="642"/>
      <c r="N8" s="643"/>
      <c r="O8" s="68"/>
      <c r="P8" s="231"/>
      <c r="Q8" s="1402"/>
      <c r="R8" s="231"/>
    </row>
    <row r="9" spans="1:20" ht="14.85" customHeight="1">
      <c r="A9" s="1913" t="s">
        <v>283</v>
      </c>
      <c r="B9" s="618">
        <v>10</v>
      </c>
      <c r="C9" s="619" t="s">
        <v>613</v>
      </c>
      <c r="D9" s="179">
        <v>829.42</v>
      </c>
      <c r="E9" s="406">
        <v>3096.8139999999999</v>
      </c>
      <c r="F9" s="172" t="str">
        <f>IF(OR(D9="",E9=""),"Skriv belopp eller 0","")</f>
        <v/>
      </c>
      <c r="G9" s="4"/>
      <c r="H9" s="4"/>
      <c r="I9" s="4"/>
      <c r="J9" s="4"/>
      <c r="K9" s="4"/>
      <c r="L9" s="4"/>
      <c r="M9" s="644"/>
      <c r="N9" s="645"/>
      <c r="O9" s="1209"/>
      <c r="P9" s="1237"/>
      <c r="Q9" s="1403"/>
      <c r="R9" s="1404"/>
    </row>
    <row r="10" spans="1:20" ht="14.85" customHeight="1">
      <c r="A10" s="1913" t="s">
        <v>284</v>
      </c>
      <c r="B10" s="1914">
        <v>11</v>
      </c>
      <c r="C10" s="513" t="s">
        <v>614</v>
      </c>
      <c r="D10" s="179">
        <v>831838.55700000003</v>
      </c>
      <c r="E10" s="637"/>
      <c r="F10" s="65"/>
      <c r="G10" s="4"/>
      <c r="H10" s="4"/>
      <c r="I10" s="4"/>
      <c r="J10" s="4"/>
      <c r="K10" s="4"/>
      <c r="L10" s="4"/>
      <c r="M10" s="646"/>
      <c r="N10" s="647"/>
      <c r="O10" s="1209"/>
      <c r="P10" s="1237"/>
      <c r="Q10" s="1237"/>
      <c r="R10" s="1237"/>
    </row>
    <row r="11" spans="1:20" ht="14.85" customHeight="1">
      <c r="A11" s="1913" t="s">
        <v>285</v>
      </c>
      <c r="B11" s="1914">
        <v>12</v>
      </c>
      <c r="C11" s="513" t="s">
        <v>615</v>
      </c>
      <c r="D11" s="179">
        <v>42495.866999999998</v>
      </c>
      <c r="E11" s="637"/>
      <c r="F11" s="65"/>
      <c r="G11" s="72" t="s">
        <v>451</v>
      </c>
      <c r="H11" s="4"/>
      <c r="I11" s="4"/>
      <c r="J11" s="4"/>
      <c r="K11" s="4"/>
      <c r="L11" s="4"/>
      <c r="M11" s="646"/>
      <c r="N11" s="647"/>
      <c r="O11" s="1209"/>
      <c r="P11" s="1237"/>
      <c r="Q11" s="1237"/>
      <c r="R11" s="1237"/>
    </row>
    <row r="12" spans="1:20" ht="14.85" customHeight="1">
      <c r="A12" s="1913" t="s">
        <v>276</v>
      </c>
      <c r="B12" s="1915">
        <v>11.12</v>
      </c>
      <c r="C12" s="724" t="s">
        <v>1115</v>
      </c>
      <c r="D12" s="314">
        <f>SUM(D10:D11)</f>
        <v>874334.424</v>
      </c>
      <c r="E12" s="180">
        <v>1850095.473</v>
      </c>
      <c r="F12" s="172" t="str">
        <f>IF(D12&gt;E12,"konc. &lt; kom.",IF(OR(D12=0,E12=0),"Belopp saknas",""))</f>
        <v/>
      </c>
      <c r="G12" s="1373" t="s">
        <v>534</v>
      </c>
      <c r="H12" s="1897" t="str">
        <f>"BAS "&amp;År-2000&amp;""</f>
        <v>BAS 24</v>
      </c>
      <c r="I12" s="1371"/>
      <c r="J12" s="1372"/>
      <c r="K12" s="165"/>
      <c r="L12" s="4"/>
      <c r="M12" s="579">
        <f>(D9+D12)*1000/invanare</f>
        <v>82658.463822677426</v>
      </c>
      <c r="N12" s="580">
        <f>(E9+E12)*1000/invanare</f>
        <v>175032.39954626639</v>
      </c>
      <c r="O12" s="1181"/>
      <c r="P12" s="1237"/>
      <c r="Q12" s="1404"/>
      <c r="R12" s="1404"/>
      <c r="S12" s="140"/>
      <c r="T12" s="140"/>
    </row>
    <row r="13" spans="1:20" ht="14.85" customHeight="1">
      <c r="A13" s="1913" t="s">
        <v>286</v>
      </c>
      <c r="B13" s="1916" t="s">
        <v>795</v>
      </c>
      <c r="C13" s="567" t="s">
        <v>616</v>
      </c>
      <c r="D13" s="181">
        <v>92488.259000000005</v>
      </c>
      <c r="E13" s="637"/>
      <c r="F13" s="65"/>
      <c r="G13" s="654" t="s">
        <v>290</v>
      </c>
      <c r="H13" s="655" t="s">
        <v>533</v>
      </c>
      <c r="I13" s="656" t="s">
        <v>0</v>
      </c>
      <c r="J13" s="271">
        <v>71122.171000000002</v>
      </c>
      <c r="K13" s="1936"/>
      <c r="L13" s="4"/>
      <c r="M13" s="648"/>
      <c r="N13" s="649"/>
      <c r="O13" s="1181"/>
      <c r="P13" s="1237"/>
      <c r="Q13" s="1227"/>
      <c r="R13" s="1237"/>
      <c r="S13" s="284"/>
      <c r="T13" s="284"/>
    </row>
    <row r="14" spans="1:20" ht="14.85" customHeight="1">
      <c r="A14" s="1913" t="s">
        <v>287</v>
      </c>
      <c r="B14" s="1916" t="s">
        <v>794</v>
      </c>
      <c r="C14" s="518" t="s">
        <v>9</v>
      </c>
      <c r="D14" s="181">
        <v>2140.482</v>
      </c>
      <c r="E14" s="637"/>
      <c r="F14" s="65"/>
      <c r="G14" s="176"/>
      <c r="H14" s="4"/>
      <c r="I14" s="4"/>
      <c r="J14" s="135"/>
      <c r="K14" s="135"/>
      <c r="L14" s="4"/>
      <c r="M14" s="648"/>
      <c r="N14" s="649"/>
      <c r="O14" s="1181"/>
      <c r="P14" s="1237"/>
      <c r="Q14" s="1227"/>
      <c r="R14" s="1237"/>
    </row>
    <row r="15" spans="1:20" ht="14.85" customHeight="1">
      <c r="A15" s="1913" t="s">
        <v>288</v>
      </c>
      <c r="B15" s="1917" t="s">
        <v>2</v>
      </c>
      <c r="C15" s="525" t="s">
        <v>617</v>
      </c>
      <c r="D15" s="179">
        <v>302214.81400000001</v>
      </c>
      <c r="E15" s="637"/>
      <c r="F15" s="65"/>
      <c r="G15" s="654" t="s">
        <v>291</v>
      </c>
      <c r="H15" s="655" t="s">
        <v>708</v>
      </c>
      <c r="I15" s="1186" t="s">
        <v>1</v>
      </c>
      <c r="J15" s="271">
        <v>277264.44300000003</v>
      </c>
      <c r="K15" s="1936"/>
      <c r="L15" s="4"/>
      <c r="M15" s="650"/>
      <c r="N15" s="651"/>
      <c r="O15" s="1857"/>
      <c r="P15" s="1237"/>
      <c r="Q15" s="1237"/>
      <c r="R15" s="1237"/>
      <c r="S15" s="284"/>
      <c r="T15" s="284"/>
    </row>
    <row r="16" spans="1:20" ht="14.85" customHeight="1">
      <c r="A16" s="1913" t="s">
        <v>289</v>
      </c>
      <c r="B16" s="1914" t="s">
        <v>792</v>
      </c>
      <c r="C16" s="513" t="s">
        <v>793</v>
      </c>
      <c r="D16" s="179">
        <v>205.68199999999999</v>
      </c>
      <c r="E16" s="637"/>
      <c r="F16" s="65"/>
      <c r="G16" s="176"/>
      <c r="H16" s="4"/>
      <c r="I16" s="4"/>
      <c r="J16" s="135"/>
      <c r="K16" s="135"/>
      <c r="L16" s="4"/>
      <c r="M16" s="650"/>
      <c r="N16" s="651"/>
      <c r="O16" s="1181"/>
      <c r="P16" s="1237"/>
      <c r="Q16" s="1237"/>
      <c r="R16" s="1405"/>
    </row>
    <row r="17" spans="1:20" ht="14.85" customHeight="1">
      <c r="A17" s="1913" t="s">
        <v>292</v>
      </c>
      <c r="B17" s="1918" t="s">
        <v>5</v>
      </c>
      <c r="C17" s="534" t="s">
        <v>1116</v>
      </c>
      <c r="D17" s="314">
        <f>SUM(D13:D16)</f>
        <v>397049.23700000002</v>
      </c>
      <c r="E17" s="182">
        <v>48049.822</v>
      </c>
      <c r="F17" s="172" t="str">
        <f>IF(OR(D17=0,E17=""),"Belopp saknas","")</f>
        <v/>
      </c>
      <c r="G17" s="176"/>
      <c r="H17" s="4"/>
      <c r="I17" s="4"/>
      <c r="J17" s="4"/>
      <c r="K17" s="4"/>
      <c r="L17" s="4"/>
      <c r="M17" s="579">
        <f>D17*1000/invanare</f>
        <v>37500.955069604286</v>
      </c>
      <c r="N17" s="580">
        <f>E17*1000/invanare</f>
        <v>4538.2638927586804</v>
      </c>
      <c r="O17" s="1181"/>
      <c r="P17" s="1237"/>
      <c r="Q17" s="1405"/>
      <c r="R17" s="1405"/>
    </row>
    <row r="18" spans="1:20" ht="14.85" customHeight="1" thickBot="1">
      <c r="A18" s="1919" t="s">
        <v>293</v>
      </c>
      <c r="B18" s="1920" t="s">
        <v>6</v>
      </c>
      <c r="C18" s="527" t="s">
        <v>618</v>
      </c>
      <c r="D18" s="315">
        <f>SUM(D9,D12,D17)</f>
        <v>1272213.081</v>
      </c>
      <c r="E18" s="316">
        <f>SUM(E9,E12,E17)</f>
        <v>1901242.1089999999</v>
      </c>
      <c r="F18" s="65"/>
      <c r="G18" s="176"/>
      <c r="H18" s="4"/>
      <c r="I18" s="4"/>
      <c r="J18" s="4"/>
      <c r="K18" s="4"/>
      <c r="L18" s="4"/>
      <c r="M18" s="648"/>
      <c r="N18" s="649"/>
      <c r="O18" s="1181"/>
      <c r="P18" s="1237"/>
      <c r="Q18" s="1405"/>
      <c r="R18" s="1405"/>
    </row>
    <row r="19" spans="1:20" ht="14.85" customHeight="1" thickBot="1">
      <c r="A19" s="1921" t="s">
        <v>303</v>
      </c>
      <c r="B19" s="2020" t="s">
        <v>4</v>
      </c>
      <c r="C19" s="499" t="s">
        <v>889</v>
      </c>
      <c r="D19" s="1242">
        <v>6434.6350000000002</v>
      </c>
      <c r="E19" s="276">
        <v>6434.6350000000002</v>
      </c>
      <c r="F19" s="172"/>
      <c r="G19" s="4"/>
      <c r="H19" s="4"/>
      <c r="I19" s="4"/>
      <c r="J19" s="4"/>
      <c r="K19" s="4"/>
      <c r="L19" s="4"/>
      <c r="M19" s="579">
        <f>D19*1000/invanare</f>
        <v>607.74567871617194</v>
      </c>
      <c r="N19" s="586">
        <f>E19*1000/invanare</f>
        <v>607.74567871617194</v>
      </c>
      <c r="O19" s="1181"/>
      <c r="P19" s="1237"/>
      <c r="Q19" s="1237"/>
      <c r="R19" s="1237"/>
    </row>
    <row r="20" spans="1:20" ht="14.85" customHeight="1">
      <c r="A20" s="1922"/>
      <c r="B20" s="1923"/>
      <c r="C20" s="623" t="s">
        <v>602</v>
      </c>
      <c r="D20" s="664"/>
      <c r="E20" s="665"/>
      <c r="F20" s="65"/>
      <c r="G20" s="1304" t="s">
        <v>868</v>
      </c>
      <c r="H20" s="1305" t="s">
        <v>860</v>
      </c>
      <c r="I20" s="1186" t="s">
        <v>1119</v>
      </c>
      <c r="J20" s="1948">
        <v>13696.752</v>
      </c>
      <c r="K20" s="1946"/>
      <c r="L20" s="4"/>
      <c r="M20" s="652"/>
      <c r="N20" s="653"/>
      <c r="O20" s="1231"/>
      <c r="P20" s="284"/>
      <c r="Q20" s="284"/>
      <c r="R20" s="284"/>
      <c r="S20" s="284"/>
    </row>
    <row r="21" spans="1:20" ht="14.85" customHeight="1">
      <c r="A21" s="1913" t="s">
        <v>278</v>
      </c>
      <c r="B21" s="618">
        <v>14</v>
      </c>
      <c r="C21" s="534" t="s">
        <v>1117</v>
      </c>
      <c r="D21" s="62">
        <v>15708.352999999999</v>
      </c>
      <c r="E21" s="183">
        <v>23955.302</v>
      </c>
      <c r="F21" s="221" t="str">
        <f>IF(D21&gt;E21,"konc. &lt; kom.",IF(OR(D21="",E21=""),"Belopp saknas",IF(OR(D21&lt;-100,E21&lt;-100),"Kommentera varför minuspost","")))</f>
        <v/>
      </c>
      <c r="G21" s="1356"/>
      <c r="H21" s="1357"/>
      <c r="I21" s="1358"/>
      <c r="J21" s="135"/>
      <c r="K21" s="135"/>
      <c r="L21" s="178"/>
      <c r="M21" s="652"/>
      <c r="N21" s="653"/>
      <c r="O21" s="1231"/>
      <c r="P21" s="1237"/>
      <c r="Q21" s="1404"/>
      <c r="R21" s="1404"/>
    </row>
    <row r="22" spans="1:20" ht="14.85" customHeight="1">
      <c r="A22" s="1913" t="s">
        <v>294</v>
      </c>
      <c r="B22" s="1914" t="s">
        <v>619</v>
      </c>
      <c r="C22" s="513" t="s">
        <v>620</v>
      </c>
      <c r="D22" s="50">
        <v>11811.904</v>
      </c>
      <c r="E22" s="637"/>
      <c r="F22" s="1156"/>
      <c r="G22" s="1941" t="s">
        <v>295</v>
      </c>
      <c r="H22" s="1942" t="s">
        <v>725</v>
      </c>
      <c r="I22" s="1943" t="s">
        <v>1</v>
      </c>
      <c r="J22" s="1947">
        <v>2394.326</v>
      </c>
      <c r="K22" s="135"/>
      <c r="L22" s="4"/>
      <c r="M22" s="652"/>
      <c r="N22" s="653"/>
      <c r="O22" s="1231"/>
      <c r="P22" s="1237"/>
      <c r="Q22" s="1237"/>
      <c r="R22" s="1237"/>
      <c r="S22" s="284"/>
      <c r="T22" s="284"/>
    </row>
    <row r="23" spans="1:20" ht="14.85" customHeight="1">
      <c r="A23" s="1913" t="s">
        <v>279</v>
      </c>
      <c r="B23" s="1914" t="s">
        <v>621</v>
      </c>
      <c r="C23" s="513" t="s">
        <v>622</v>
      </c>
      <c r="D23" s="50">
        <v>155524.36900000001</v>
      </c>
      <c r="E23" s="637"/>
      <c r="F23" s="1157"/>
      <c r="G23" s="1356"/>
      <c r="H23" s="1356"/>
      <c r="I23" s="1945"/>
      <c r="J23" s="135"/>
      <c r="K23" s="135"/>
      <c r="L23" s="4"/>
      <c r="M23" s="652"/>
      <c r="N23" s="653"/>
      <c r="O23" s="1231"/>
      <c r="P23" s="1237"/>
      <c r="Q23" s="1237"/>
      <c r="R23" s="1237"/>
    </row>
    <row r="24" spans="1:20" ht="14.85" customHeight="1">
      <c r="A24" s="1913" t="s">
        <v>297</v>
      </c>
      <c r="B24" s="1914" t="s">
        <v>172</v>
      </c>
      <c r="C24" s="513" t="s">
        <v>1118</v>
      </c>
      <c r="D24" s="179">
        <v>27894.116000000002</v>
      </c>
      <c r="E24" s="637"/>
      <c r="F24" s="1157"/>
      <c r="G24" s="1944" t="s">
        <v>296</v>
      </c>
      <c r="H24" s="622" t="s">
        <v>623</v>
      </c>
      <c r="I24" s="2149" t="s">
        <v>1070</v>
      </c>
      <c r="J24" s="1420">
        <v>17283.187999999998</v>
      </c>
      <c r="K24" s="135"/>
      <c r="M24" s="1949"/>
      <c r="N24" s="1950"/>
      <c r="O24" s="4"/>
      <c r="P24" s="1237"/>
      <c r="Q24" s="1237"/>
      <c r="R24" s="1237"/>
      <c r="S24" s="284"/>
      <c r="T24" s="284"/>
    </row>
    <row r="25" spans="1:20" ht="14.85" customHeight="1">
      <c r="A25" s="1913" t="s">
        <v>305</v>
      </c>
      <c r="B25" s="1914" t="s">
        <v>201</v>
      </c>
      <c r="C25" s="513" t="s">
        <v>475</v>
      </c>
      <c r="D25" s="179">
        <v>11920.859</v>
      </c>
      <c r="E25" s="637"/>
      <c r="F25" s="1157"/>
      <c r="G25" s="662" t="s">
        <v>304</v>
      </c>
      <c r="H25" s="1837" t="s">
        <v>1001</v>
      </c>
      <c r="I25" s="663" t="s">
        <v>1</v>
      </c>
      <c r="J25" s="2499">
        <v>123525.43399999999</v>
      </c>
      <c r="L25" s="4"/>
      <c r="M25" s="652"/>
      <c r="N25" s="653"/>
      <c r="O25" s="1231"/>
      <c r="P25" s="1237"/>
      <c r="Q25" s="1237"/>
      <c r="R25" s="1237"/>
      <c r="S25" s="284"/>
      <c r="T25" s="284"/>
    </row>
    <row r="26" spans="1:20" ht="14.85" customHeight="1">
      <c r="A26" s="1913" t="s">
        <v>929</v>
      </c>
      <c r="B26" s="618" t="s">
        <v>930</v>
      </c>
      <c r="C26" s="534" t="s">
        <v>931</v>
      </c>
      <c r="D26" s="314">
        <f>SUM(D22:D25)</f>
        <v>207151.24800000002</v>
      </c>
      <c r="E26" s="1812">
        <v>112147.985</v>
      </c>
      <c r="F26" s="221" t="str">
        <f>IF(OR(D26=0,E26=""),"Belopp saknas","")</f>
        <v/>
      </c>
      <c r="G26" s="1237"/>
      <c r="H26" s="1237"/>
      <c r="I26" s="1172"/>
      <c r="J26" s="2500"/>
      <c r="K26" s="135"/>
      <c r="L26" s="4"/>
      <c r="M26" s="652"/>
      <c r="N26" s="653"/>
      <c r="O26" s="1231"/>
      <c r="P26" s="1237"/>
      <c r="Q26" s="1237"/>
      <c r="R26" s="1237"/>
      <c r="S26" s="284"/>
      <c r="T26" s="284"/>
    </row>
    <row r="27" spans="1:20" ht="14.85" customHeight="1">
      <c r="A27" s="1913" t="s">
        <v>298</v>
      </c>
      <c r="B27" s="1916" t="s">
        <v>624</v>
      </c>
      <c r="C27" s="2142" t="s">
        <v>1088</v>
      </c>
      <c r="D27" s="179">
        <v>47284.122000000003</v>
      </c>
      <c r="E27" s="637"/>
      <c r="F27" s="1157"/>
      <c r="G27" s="1877"/>
      <c r="H27" s="1418"/>
      <c r="I27" s="140"/>
      <c r="J27" s="135"/>
      <c r="K27" s="1353"/>
      <c r="L27" s="4"/>
      <c r="M27" s="652"/>
      <c r="N27" s="653"/>
      <c r="O27" s="1231"/>
      <c r="P27" s="1237"/>
      <c r="Q27" s="1227"/>
      <c r="R27" s="1237"/>
      <c r="S27" s="284"/>
      <c r="T27" s="284"/>
    </row>
    <row r="28" spans="1:20" ht="14.85" customHeight="1">
      <c r="A28" s="1913" t="s">
        <v>299</v>
      </c>
      <c r="B28" s="1916" t="s">
        <v>625</v>
      </c>
      <c r="C28" s="2142" t="s">
        <v>1095</v>
      </c>
      <c r="D28" s="179">
        <v>12992.742</v>
      </c>
      <c r="E28" s="637"/>
      <c r="F28" s="1157"/>
      <c r="G28" s="1418"/>
      <c r="H28" s="1418"/>
      <c r="I28" s="140"/>
      <c r="K28" s="135"/>
      <c r="L28" s="4"/>
      <c r="M28" s="652"/>
      <c r="N28" s="653"/>
      <c r="O28" s="1231"/>
      <c r="P28" s="1237"/>
      <c r="Q28" s="1227"/>
      <c r="R28" s="1237"/>
    </row>
    <row r="29" spans="1:20" ht="14.85" customHeight="1">
      <c r="A29" s="1913" t="s">
        <v>300</v>
      </c>
      <c r="B29" s="1916" t="s">
        <v>626</v>
      </c>
      <c r="C29" s="518" t="s">
        <v>627</v>
      </c>
      <c r="D29" s="179">
        <v>85.867000000000004</v>
      </c>
      <c r="E29" s="637"/>
      <c r="F29" s="1157"/>
      <c r="G29" s="1877"/>
      <c r="H29" s="1418"/>
      <c r="I29" s="140"/>
      <c r="J29" s="135"/>
      <c r="K29" s="4"/>
      <c r="L29" s="4"/>
      <c r="M29" s="652"/>
      <c r="N29" s="653"/>
      <c r="O29" s="1231"/>
      <c r="P29" s="1237"/>
      <c r="Q29" s="1227"/>
      <c r="R29" s="1237"/>
    </row>
    <row r="30" spans="1:20" ht="14.85" customHeight="1">
      <c r="A30" s="2135" t="s">
        <v>1228</v>
      </c>
      <c r="B30" s="2137">
        <v>189</v>
      </c>
      <c r="C30" s="2138" t="s">
        <v>1227</v>
      </c>
      <c r="D30" s="179">
        <v>1105.5899999999999</v>
      </c>
      <c r="E30" s="2064"/>
      <c r="F30" s="1157"/>
      <c r="G30" s="1877"/>
      <c r="H30" s="1418"/>
      <c r="I30" s="140"/>
      <c r="J30" s="135"/>
      <c r="K30" s="4"/>
      <c r="L30" s="4"/>
      <c r="M30" s="652"/>
      <c r="N30" s="653"/>
      <c r="O30" s="1231"/>
      <c r="P30" s="1237"/>
      <c r="Q30" s="1227"/>
      <c r="R30" s="1237"/>
    </row>
    <row r="31" spans="1:20" ht="14.85" customHeight="1">
      <c r="A31" s="1913" t="s">
        <v>280</v>
      </c>
      <c r="B31" s="618" t="s">
        <v>932</v>
      </c>
      <c r="C31" s="534" t="s">
        <v>1016</v>
      </c>
      <c r="D31" s="314">
        <f>SUM(D27:D30)</f>
        <v>61468.320999999996</v>
      </c>
      <c r="E31" s="183">
        <v>62137.243000000002</v>
      </c>
      <c r="F31" s="221" t="str">
        <f>IF(OR(D27="",D28="",D29="",D30=""),"Skriv belopp eller 0 på raderna 053-057 för kommunen",IF(E31="","Skriv belopp eller 0 för koncernen",""))</f>
        <v/>
      </c>
      <c r="G31" s="1418"/>
      <c r="H31" s="1418"/>
      <c r="I31" s="140"/>
      <c r="J31" s="1237"/>
      <c r="K31" s="4"/>
      <c r="L31" s="4"/>
      <c r="M31" s="652"/>
      <c r="N31" s="653"/>
      <c r="O31" s="1231"/>
      <c r="P31" s="1237"/>
      <c r="Q31" s="1404"/>
      <c r="R31" s="1404"/>
    </row>
    <row r="32" spans="1:20" ht="14.85" customHeight="1">
      <c r="A32" s="1913" t="s">
        <v>301</v>
      </c>
      <c r="B32" s="618">
        <v>19</v>
      </c>
      <c r="C32" s="534" t="s">
        <v>1017</v>
      </c>
      <c r="D32" s="179">
        <v>52675.587</v>
      </c>
      <c r="E32" s="183">
        <v>65491.169000000002</v>
      </c>
      <c r="F32" s="221" t="str">
        <f>IF(D32&gt;E32,"konc. &lt; kom.",IF(OR(D32&lt;0,E32&lt;0),"Varför minusbelopp?",IF(OR(D32=0,E32=0),"Belopp saknas","")))</f>
        <v/>
      </c>
      <c r="G32" s="1418"/>
      <c r="H32" s="1418"/>
      <c r="I32" s="140"/>
      <c r="K32" s="4"/>
      <c r="L32" s="4"/>
      <c r="M32" s="652"/>
      <c r="N32" s="653"/>
      <c r="O32" s="1231"/>
      <c r="P32" s="1237"/>
      <c r="Q32" s="1404"/>
      <c r="R32" s="1404"/>
    </row>
    <row r="33" spans="1:19" ht="14.85" customHeight="1" thickBot="1">
      <c r="A33" s="1924" t="s">
        <v>302</v>
      </c>
      <c r="B33" s="624" t="s">
        <v>628</v>
      </c>
      <c r="C33" s="499" t="s">
        <v>1120</v>
      </c>
      <c r="D33" s="317">
        <f>SUM(D21,D26,D31,D32)</f>
        <v>337003.50900000002</v>
      </c>
      <c r="E33" s="318">
        <f>SUM(E21,E26,E31,E32)</f>
        <v>263731.69900000002</v>
      </c>
      <c r="F33" s="1157"/>
      <c r="G33" s="165"/>
      <c r="H33" s="165"/>
      <c r="I33" s="165"/>
      <c r="J33" s="165"/>
      <c r="K33" s="4"/>
      <c r="L33" s="4"/>
      <c r="M33" s="582">
        <f>D33*1000/invanare</f>
        <v>31829.688289535701</v>
      </c>
      <c r="N33" s="589">
        <f>E33*1000/invanare</f>
        <v>24909.22956900029</v>
      </c>
      <c r="O33" s="1181"/>
      <c r="P33" s="1237"/>
      <c r="Q33" s="1404"/>
      <c r="R33" s="1404"/>
    </row>
    <row r="34" spans="1:19" ht="14.85" customHeight="1" thickBot="1">
      <c r="A34" s="1925" t="s">
        <v>281</v>
      </c>
      <c r="B34" s="625" t="s">
        <v>629</v>
      </c>
      <c r="C34" s="626" t="s">
        <v>630</v>
      </c>
      <c r="D34" s="320">
        <f>SUM(D18,D19,D33)</f>
        <v>1615651.2250000001</v>
      </c>
      <c r="E34" s="319">
        <f>SUM(E18,E19,E33)</f>
        <v>2171408.443</v>
      </c>
      <c r="F34" s="1157"/>
      <c r="G34" s="165"/>
      <c r="H34" s="165"/>
      <c r="I34" s="165"/>
      <c r="J34" s="165"/>
      <c r="K34" s="4"/>
      <c r="L34" s="4"/>
      <c r="M34" s="4"/>
      <c r="N34" s="4"/>
      <c r="P34" s="1237"/>
      <c r="Q34" s="1404"/>
      <c r="R34" s="1404"/>
    </row>
    <row r="35" spans="1:19" customFormat="1" ht="14.85" customHeight="1"/>
    <row r="36" spans="1:19" customFormat="1" ht="14.85" customHeight="1"/>
    <row r="37" spans="1:19" customFormat="1" ht="14.85" customHeight="1"/>
    <row r="38" spans="1:19" customFormat="1" ht="14.85" customHeight="1"/>
    <row r="39" spans="1:19" customFormat="1" ht="14.85" customHeight="1"/>
    <row r="40" spans="1:19" ht="14.85" customHeight="1" thickBot="1">
      <c r="A40" s="1237"/>
      <c r="B40" s="1404"/>
      <c r="C40" s="16"/>
      <c r="D40" s="1209"/>
      <c r="E40" s="1209"/>
      <c r="F40" s="1157"/>
      <c r="G40" s="165"/>
      <c r="H40" s="165"/>
      <c r="I40" s="165"/>
      <c r="J40" s="165"/>
      <c r="K40" s="4"/>
      <c r="L40" s="4"/>
      <c r="M40" s="4"/>
      <c r="N40" s="4"/>
      <c r="P40" s="1237"/>
      <c r="Q40" s="1404"/>
      <c r="R40" s="1404"/>
    </row>
    <row r="41" spans="1:19" ht="22.5" customHeight="1" thickBot="1">
      <c r="A41" s="2058" t="s">
        <v>1212</v>
      </c>
      <c r="B41" s="2059" t="str">
        <f>"BAS "&amp;År-2000&amp;""</f>
        <v>BAS 24</v>
      </c>
      <c r="C41" s="2060" t="s">
        <v>352</v>
      </c>
      <c r="D41" s="2061" t="s">
        <v>604</v>
      </c>
      <c r="E41" s="2062" t="s">
        <v>705</v>
      </c>
      <c r="F41" s="1157"/>
      <c r="G41" s="165"/>
      <c r="H41" s="165"/>
      <c r="I41" s="165"/>
      <c r="J41" s="165"/>
      <c r="K41" s="4"/>
      <c r="L41" s="4"/>
      <c r="M41" s="4"/>
      <c r="N41" s="4"/>
      <c r="Q41" s="1236"/>
      <c r="R41" s="1172"/>
    </row>
    <row r="42" spans="1:19" ht="12.75" customHeight="1" thickBot="1">
      <c r="A42" s="565" t="s">
        <v>306</v>
      </c>
      <c r="B42" s="1313">
        <v>201</v>
      </c>
      <c r="C42" s="2145" t="s">
        <v>1230</v>
      </c>
      <c r="D42" s="2502">
        <v>630557.72699999996</v>
      </c>
      <c r="E42" s="2503">
        <v>832766.97699999996</v>
      </c>
      <c r="F42" s="1157"/>
      <c r="G42" s="165"/>
      <c r="H42" s="165"/>
      <c r="I42" s="165"/>
      <c r="J42" s="165"/>
      <c r="K42" s="4"/>
      <c r="L42" s="4"/>
      <c r="M42" s="4"/>
      <c r="N42" s="4"/>
      <c r="Q42" s="1236"/>
      <c r="R42" s="1172"/>
    </row>
    <row r="43" spans="1:19" ht="12.75" customHeight="1">
      <c r="A43" s="2501" t="s">
        <v>1225</v>
      </c>
      <c r="B43" s="2138"/>
      <c r="C43" s="2138" t="s">
        <v>1229</v>
      </c>
      <c r="D43" s="2081">
        <v>0</v>
      </c>
      <c r="E43" s="2073">
        <v>0</v>
      </c>
      <c r="F43" s="2057"/>
      <c r="G43" s="165"/>
      <c r="H43" s="165"/>
      <c r="I43" s="165"/>
      <c r="J43" s="165"/>
      <c r="L43" s="4"/>
      <c r="M43" s="2526" t="s">
        <v>450</v>
      </c>
      <c r="N43" s="2527"/>
      <c r="O43" s="1232"/>
      <c r="P43" s="1172"/>
      <c r="Q43" s="1228"/>
      <c r="R43" s="1404"/>
      <c r="S43" s="1228"/>
    </row>
    <row r="44" spans="1:19" ht="12.75" customHeight="1">
      <c r="A44" s="2136" t="s">
        <v>1226</v>
      </c>
      <c r="B44" s="2138"/>
      <c r="C44" s="2138" t="s">
        <v>1214</v>
      </c>
      <c r="D44" s="50">
        <v>39392.42</v>
      </c>
      <c r="E44" s="171">
        <v>39415.125999999997</v>
      </c>
      <c r="F44" s="221"/>
      <c r="G44" s="2110"/>
      <c r="H44" s="2110"/>
      <c r="I44" s="2110"/>
      <c r="J44" s="2110"/>
      <c r="K44" s="2110"/>
      <c r="L44" s="4"/>
      <c r="M44" s="679" t="s">
        <v>604</v>
      </c>
      <c r="N44" s="680" t="s">
        <v>705</v>
      </c>
      <c r="O44" s="1233"/>
      <c r="P44" s="1172"/>
      <c r="Q44" s="1228"/>
      <c r="R44" s="1404"/>
      <c r="S44" s="1406"/>
    </row>
    <row r="45" spans="1:19" ht="12.75" customHeight="1">
      <c r="A45" s="541" t="s">
        <v>1039</v>
      </c>
      <c r="B45" s="620" t="s">
        <v>1006</v>
      </c>
      <c r="C45" s="513" t="s">
        <v>1122</v>
      </c>
      <c r="D45" s="50">
        <v>-2348.723</v>
      </c>
      <c r="E45" s="171"/>
      <c r="F45" s="1158"/>
      <c r="G45" s="2110"/>
      <c r="H45" s="2110"/>
      <c r="I45" s="2110"/>
      <c r="J45" s="2110"/>
      <c r="K45" s="2110"/>
      <c r="L45" s="4"/>
      <c r="M45" s="681"/>
      <c r="N45" s="682"/>
      <c r="O45" s="1209"/>
      <c r="P45" s="1237"/>
      <c r="Q45" s="1237"/>
      <c r="R45" s="1237"/>
      <c r="S45" s="1391"/>
    </row>
    <row r="46" spans="1:19" ht="12.75" customHeight="1">
      <c r="A46" s="541" t="s">
        <v>307</v>
      </c>
      <c r="B46" s="620">
        <v>202</v>
      </c>
      <c r="C46" s="513" t="s">
        <v>610</v>
      </c>
      <c r="D46" s="94">
        <f>RR!C18</f>
        <v>15717.047999999924</v>
      </c>
      <c r="E46" s="1134">
        <f>RR!D18</f>
        <v>17138.102999999854</v>
      </c>
      <c r="F46" s="2504"/>
      <c r="G46" s="165"/>
      <c r="H46" s="165"/>
      <c r="I46" s="165"/>
      <c r="J46" s="165"/>
      <c r="K46" s="4"/>
      <c r="L46" s="4"/>
      <c r="M46" s="681"/>
      <c r="N46" s="682"/>
      <c r="O46" s="1209"/>
      <c r="P46" s="1237"/>
      <c r="Q46" s="1237"/>
      <c r="R46" s="1237"/>
      <c r="S46" s="1858"/>
    </row>
    <row r="47" spans="1:19" ht="12.75" customHeight="1">
      <c r="A47" s="541" t="s">
        <v>782</v>
      </c>
      <c r="B47" s="620"/>
      <c r="C47" s="518" t="s">
        <v>1239</v>
      </c>
      <c r="D47" s="50">
        <v>312.95</v>
      </c>
      <c r="E47" s="171">
        <v>391.14400000000001</v>
      </c>
      <c r="F47" s="1158"/>
      <c r="G47" s="4"/>
      <c r="H47" s="4"/>
      <c r="I47" s="4"/>
      <c r="J47" s="4"/>
      <c r="K47" s="4"/>
      <c r="L47" s="4"/>
      <c r="M47" s="681"/>
      <c r="N47" s="682"/>
      <c r="O47" s="1209"/>
      <c r="P47" s="1237"/>
      <c r="Q47" s="1237"/>
      <c r="R47" s="1237"/>
    </row>
    <row r="48" spans="1:19" ht="12.75" customHeight="1">
      <c r="A48" s="543" t="s">
        <v>308</v>
      </c>
      <c r="B48" s="671" t="s">
        <v>806</v>
      </c>
      <c r="C48" s="2143" t="s">
        <v>1231</v>
      </c>
      <c r="D48" s="321">
        <f>SUM(D42,D45:D47)</f>
        <v>644239.00199999986</v>
      </c>
      <c r="E48" s="318">
        <f>SUM(E42,E45:E47)</f>
        <v>850296.22399999981</v>
      </c>
      <c r="F48" s="221"/>
      <c r="G48" s="4"/>
      <c r="H48" s="4"/>
      <c r="I48" s="4"/>
      <c r="J48" s="4"/>
      <c r="K48" s="4"/>
      <c r="L48" s="4"/>
      <c r="M48" s="683">
        <f>D48*1000/invanare</f>
        <v>60847.813360962849</v>
      </c>
      <c r="N48" s="580">
        <f>E48*1000/invanare</f>
        <v>80309.73874426102</v>
      </c>
      <c r="O48" s="1209"/>
      <c r="P48" s="1237"/>
      <c r="Q48" s="1237"/>
      <c r="R48" s="1237"/>
    </row>
    <row r="49" spans="1:20" ht="12.75" customHeight="1">
      <c r="A49" s="2136" t="s">
        <v>1224</v>
      </c>
      <c r="B49" s="2138"/>
      <c r="C49" s="2138" t="s">
        <v>1213</v>
      </c>
      <c r="D49" s="321">
        <v>1654.2139999999999</v>
      </c>
      <c r="E49" s="171">
        <v>1654.2139999999999</v>
      </c>
      <c r="F49" s="221" t="str">
        <f>IF(E49 = "",
      "Skriv 0 i kol.E om RER inte finns",
         IF(ABS(D49 - E49) &gt; 100,
             "Varför differens mellan kommun och koncernen?","")
)</f>
        <v/>
      </c>
      <c r="G49" s="4"/>
      <c r="H49" s="4"/>
      <c r="I49" s="4"/>
      <c r="J49" s="4"/>
      <c r="K49" s="4"/>
      <c r="L49" s="4"/>
      <c r="M49" s="684"/>
      <c r="N49" s="685"/>
      <c r="O49" s="1209"/>
      <c r="P49" s="1237"/>
      <c r="Q49" s="1404"/>
      <c r="R49" s="1237"/>
    </row>
    <row r="50" spans="1:20" ht="12.75" customHeight="1" thickBot="1">
      <c r="A50" s="2136" t="s">
        <v>781</v>
      </c>
      <c r="B50" s="2139"/>
      <c r="C50" s="2144" t="s">
        <v>1214</v>
      </c>
      <c r="D50" s="2065">
        <v>37054.356</v>
      </c>
      <c r="E50" s="171">
        <v>37079.843999999997</v>
      </c>
      <c r="F50" s="221" t="str">
        <f>IF(E50 = "",
      "Skriv 0 i kol.E om RUR inte finns",
         IF(ABS(D50 - E50) &gt; 100,
             "Varför differens mellan kommun och koncernen?","")
)</f>
        <v/>
      </c>
      <c r="G50" s="2093"/>
      <c r="H50" s="2092"/>
      <c r="I50" s="2092"/>
      <c r="J50" s="2092"/>
      <c r="K50" s="2092"/>
      <c r="L50" s="4"/>
      <c r="M50" s="684"/>
      <c r="N50" s="685"/>
      <c r="O50" s="1857"/>
      <c r="P50" s="2090"/>
      <c r="Q50" s="1237"/>
      <c r="R50" s="1237"/>
    </row>
    <row r="51" spans="1:20" ht="12.75" customHeight="1">
      <c r="A51" s="565" t="s">
        <v>309</v>
      </c>
      <c r="B51" s="2140" t="s">
        <v>631</v>
      </c>
      <c r="C51" s="2145" t="s">
        <v>790</v>
      </c>
      <c r="D51" s="179">
        <v>72341.519</v>
      </c>
      <c r="E51" s="1998"/>
      <c r="F51" s="221" t="str">
        <f>IF(D51=0,"Varför saknas avsättningar för pensioner?","")</f>
        <v/>
      </c>
      <c r="G51" s="2092"/>
      <c r="H51" s="2092"/>
      <c r="I51" s="2092"/>
      <c r="J51" s="2092"/>
      <c r="K51" s="2092"/>
      <c r="L51" s="4"/>
      <c r="M51" s="684"/>
      <c r="N51" s="685"/>
      <c r="O51" s="1181"/>
      <c r="P51" s="1237"/>
      <c r="Q51" s="1404"/>
      <c r="R51" s="1404"/>
    </row>
    <row r="52" spans="1:20" ht="12.75" customHeight="1">
      <c r="A52" s="541" t="s">
        <v>310</v>
      </c>
      <c r="B52" s="2141" t="s">
        <v>632</v>
      </c>
      <c r="C52" s="2138" t="s">
        <v>791</v>
      </c>
      <c r="D52" s="179">
        <v>1868.8820000000001</v>
      </c>
      <c r="E52" s="666"/>
      <c r="F52" s="221"/>
      <c r="G52" s="174" t="s">
        <v>968</v>
      </c>
      <c r="H52" s="4"/>
      <c r="I52" s="4"/>
      <c r="J52" s="4"/>
      <c r="K52" s="4"/>
      <c r="L52" s="4"/>
      <c r="M52" s="684"/>
      <c r="N52" s="685"/>
      <c r="O52" s="1181"/>
      <c r="P52" s="1237"/>
      <c r="Q52" s="1237"/>
      <c r="R52" s="1237"/>
    </row>
    <row r="53" spans="1:20" ht="12.75" customHeight="1">
      <c r="A53" s="541" t="s">
        <v>311</v>
      </c>
      <c r="B53" s="667" t="s">
        <v>633</v>
      </c>
      <c r="C53" s="668" t="s">
        <v>737</v>
      </c>
      <c r="D53" s="179">
        <v>18221.370999999999</v>
      </c>
      <c r="E53" s="666"/>
      <c r="F53" s="221" t="str">
        <f>IF(D53=0,"Varför saknas avsättningar för särskild löneskatt pens.?","")</f>
        <v/>
      </c>
      <c r="G53" s="72"/>
      <c r="H53" s="4"/>
      <c r="I53" s="4"/>
      <c r="J53" s="198"/>
      <c r="L53" s="4"/>
      <c r="M53" s="579">
        <f>SUM(D51:D53)*1000/invanare</f>
        <v>8730.1004655397628</v>
      </c>
      <c r="N53" s="686"/>
      <c r="O53" s="1181"/>
      <c r="P53" s="1237"/>
      <c r="Q53" s="1237"/>
      <c r="R53" s="1237"/>
    </row>
    <row r="54" spans="1:20" ht="12.75" customHeight="1">
      <c r="A54" s="543" t="s">
        <v>312</v>
      </c>
      <c r="B54" s="1971" t="s">
        <v>634</v>
      </c>
      <c r="C54" s="1972" t="s">
        <v>635</v>
      </c>
      <c r="D54" s="179">
        <v>35357.514000000003</v>
      </c>
      <c r="E54" s="666"/>
      <c r="F54" s="221"/>
      <c r="G54" s="4"/>
      <c r="H54" s="4"/>
      <c r="I54" s="13"/>
      <c r="J54" s="1577" t="s">
        <v>604</v>
      </c>
      <c r="L54" s="1572"/>
      <c r="M54" s="687">
        <f>D54*1000/invanare</f>
        <v>3339.4864422996097</v>
      </c>
      <c r="N54" s="1985"/>
      <c r="O54" s="1181"/>
      <c r="P54" s="1237"/>
      <c r="Q54" s="1237"/>
      <c r="R54" s="1237"/>
    </row>
    <row r="55" spans="1:20" ht="12.75" customHeight="1" thickBot="1">
      <c r="A55" s="1746" t="s">
        <v>313</v>
      </c>
      <c r="B55" s="1976" t="s">
        <v>1076</v>
      </c>
      <c r="C55" s="530" t="s">
        <v>637</v>
      </c>
      <c r="D55" s="1970">
        <f>SUM(D51:D54)</f>
        <v>127789.28599999999</v>
      </c>
      <c r="E55" s="1987">
        <v>175114.57</v>
      </c>
      <c r="F55" s="221" t="str">
        <f>IF((D55-E55)&gt;1,"konc. &lt; komm.",IF(OR(D55=0,E55=0),"Belopp saknas",""))</f>
        <v/>
      </c>
      <c r="G55" s="654" t="s">
        <v>282</v>
      </c>
      <c r="H55" s="655" t="s">
        <v>636</v>
      </c>
      <c r="I55" s="1568" t="s">
        <v>1124</v>
      </c>
      <c r="J55" s="1571">
        <v>3252.33</v>
      </c>
      <c r="K55" s="1567"/>
      <c r="L55" s="1716"/>
      <c r="M55" s="579">
        <f>D55*1000/invanare</f>
        <v>12069.586907839373</v>
      </c>
      <c r="N55" s="1983">
        <f>E55*1000/invanare</f>
        <v>16539.418816722409</v>
      </c>
      <c r="O55" s="1181"/>
      <c r="P55" s="1237"/>
      <c r="Q55" s="1237"/>
      <c r="R55" s="1237"/>
      <c r="S55" s="284"/>
      <c r="T55" s="284"/>
    </row>
    <row r="56" spans="1:20" ht="12.75" customHeight="1">
      <c r="A56" s="1991" t="s">
        <v>1082</v>
      </c>
      <c r="B56" s="1313" t="s">
        <v>1077</v>
      </c>
      <c r="C56" s="2138" t="s">
        <v>1207</v>
      </c>
      <c r="D56" s="1973">
        <v>153990.549</v>
      </c>
      <c r="E56" s="1974">
        <v>158441.43799999999</v>
      </c>
      <c r="F56" s="1975"/>
      <c r="G56" s="1304" t="s">
        <v>933</v>
      </c>
      <c r="H56" s="2147" t="s">
        <v>1208</v>
      </c>
      <c r="I56" s="2150" t="s">
        <v>1125</v>
      </c>
      <c r="J56" s="1571">
        <v>26087.446</v>
      </c>
      <c r="K56" s="1567"/>
      <c r="M56" s="650"/>
      <c r="N56" s="1984"/>
      <c r="O56" s="1982"/>
      <c r="P56" s="1237"/>
      <c r="Q56" s="1404"/>
      <c r="R56" s="1404"/>
    </row>
    <row r="57" spans="1:20" ht="12.75" customHeight="1">
      <c r="A57" s="543" t="s">
        <v>314</v>
      </c>
      <c r="B57" s="620" t="s">
        <v>1100</v>
      </c>
      <c r="C57" s="513" t="s">
        <v>1121</v>
      </c>
      <c r="D57" s="179">
        <v>293197.95799999998</v>
      </c>
      <c r="E57" s="1812">
        <v>533237.86899999995</v>
      </c>
      <c r="F57" s="221" t="str">
        <f>IF(D57&gt;E57,"konc. &lt; komm.",IF(OR(D57="",E57=""),"Skriv belopp eller 0",""))</f>
        <v/>
      </c>
      <c r="G57" s="176"/>
      <c r="H57" s="4"/>
      <c r="I57" s="165"/>
      <c r="J57" s="135" t="str">
        <f>IF(AND(D54=0,SUM(J55+J56)=0),"",IF(SUM(J55:J56)-D54&gt;1,"Däravr.080+ 131&gt;rad 078",IF(AND(D54&gt;10,J55=""),"Rad 080: skriv belopp eller 0",IF(AND(D54&gt;10,J56=""),"Rad 131: skriv belopp eller 0 ",""))))</f>
        <v/>
      </c>
      <c r="K57" s="165"/>
      <c r="L57" s="1716"/>
      <c r="M57" s="684"/>
      <c r="N57" s="685"/>
      <c r="O57" s="1181"/>
      <c r="P57" s="1237"/>
      <c r="Q57" s="1237"/>
      <c r="R57" s="1237"/>
    </row>
    <row r="58" spans="1:20" ht="12.75" customHeight="1">
      <c r="A58" s="541" t="s">
        <v>315</v>
      </c>
      <c r="B58" s="620" t="s">
        <v>1101</v>
      </c>
      <c r="C58" s="513" t="s">
        <v>1102</v>
      </c>
      <c r="D58" s="179">
        <v>24303.486000000001</v>
      </c>
      <c r="E58" s="1565">
        <v>21714.043000000001</v>
      </c>
      <c r="F58" s="221" t="str">
        <f>IF(OR(D58="",E58=""),"Skriv belopp eller 0","")</f>
        <v/>
      </c>
      <c r="G58" s="176"/>
      <c r="H58" s="4"/>
      <c r="I58" s="165"/>
      <c r="J58" s="208"/>
      <c r="K58" s="1574"/>
      <c r="L58" s="1716"/>
      <c r="M58" s="684"/>
      <c r="N58" s="685"/>
      <c r="O58" s="1181"/>
      <c r="P58" s="1237"/>
      <c r="Q58" s="1237"/>
      <c r="R58" s="1237"/>
    </row>
    <row r="59" spans="1:20" ht="12.75" customHeight="1">
      <c r="A59" s="541" t="s">
        <v>316</v>
      </c>
      <c r="B59" s="620">
        <v>236</v>
      </c>
      <c r="C59" s="513" t="s">
        <v>638</v>
      </c>
      <c r="D59" s="179">
        <v>5422.375</v>
      </c>
      <c r="E59" s="666"/>
      <c r="F59" s="1157"/>
      <c r="G59" s="176"/>
      <c r="H59" s="4"/>
      <c r="I59" s="1575"/>
      <c r="J59" s="1569" t="s">
        <v>604</v>
      </c>
      <c r="K59" s="1570" t="s">
        <v>705</v>
      </c>
      <c r="L59" s="192"/>
      <c r="M59" s="684"/>
      <c r="N59" s="685"/>
      <c r="O59" s="1181"/>
      <c r="P59" s="1237"/>
      <c r="Q59" s="1237"/>
      <c r="R59" s="1237"/>
    </row>
    <row r="60" spans="1:20" ht="12.75" customHeight="1">
      <c r="A60" s="541" t="s">
        <v>317</v>
      </c>
      <c r="B60" s="620" t="s">
        <v>760</v>
      </c>
      <c r="C60" s="513" t="s">
        <v>978</v>
      </c>
      <c r="D60" s="184">
        <v>7083.3879999999999</v>
      </c>
      <c r="E60" s="1565">
        <v>27990.981</v>
      </c>
      <c r="F60" s="221" t="str">
        <f>IF(OR(D60="",E60=""),"Skriv belopp eller 0","")</f>
        <v/>
      </c>
      <c r="G60" s="1304" t="s">
        <v>934</v>
      </c>
      <c r="H60" s="2148" t="s">
        <v>973</v>
      </c>
      <c r="I60" s="2150" t="s">
        <v>1126</v>
      </c>
      <c r="J60" s="1571">
        <v>23810.14</v>
      </c>
      <c r="K60" s="1571">
        <v>27631.760999999999</v>
      </c>
      <c r="L60" s="1716"/>
      <c r="M60" s="650"/>
      <c r="N60" s="685"/>
      <c r="O60" s="1181"/>
      <c r="P60" s="1237"/>
      <c r="Q60" s="1237"/>
      <c r="R60" s="1237"/>
      <c r="S60" s="1172"/>
      <c r="T60" s="1172"/>
    </row>
    <row r="61" spans="1:20" ht="12.75" customHeight="1">
      <c r="A61" s="2135" t="s">
        <v>780</v>
      </c>
      <c r="B61" s="2141" t="s">
        <v>759</v>
      </c>
      <c r="C61" s="2146" t="s">
        <v>1049</v>
      </c>
      <c r="D61" s="184">
        <v>41040.957999999999</v>
      </c>
      <c r="E61" s="1565">
        <v>48267.938999999998</v>
      </c>
      <c r="F61" s="221" t="str">
        <f>IF(D61&gt;E61,"konc. &lt; komm.",IF(OR(D61="",E61=""),"Skriv belopp eller 0",""))</f>
        <v/>
      </c>
      <c r="G61" s="1576"/>
      <c r="H61" s="1576"/>
      <c r="I61" s="1358"/>
      <c r="J61" s="135" t="str">
        <f>IF(AND(D61=0,J60=0),"",IF(SUM(J60)&gt;D61,"Däravrad 132 &gt; rad 087",IF(AND(D61&gt;10,J60=""),"Rad 132: skriv belopp eller 0","")))</f>
        <v/>
      </c>
      <c r="K61" s="135" t="str">
        <f>IF(AND(E61=0,K60=0),"",IF(SUM(K60)&gt;E61,"Däravrad 132 &gt; rad 087",IF(AND(E61&gt;10,K60=""),"Rad 132: skriv belopp eller 0",IF(J60&gt;K60,"konc.&lt;kommun",""))))</f>
        <v/>
      </c>
      <c r="L61" s="178"/>
      <c r="M61" s="650"/>
      <c r="N61" s="685"/>
      <c r="O61" s="1181"/>
      <c r="P61" s="1237"/>
      <c r="Q61" s="1237"/>
      <c r="R61" s="1237"/>
      <c r="S61" s="1172"/>
      <c r="T61" s="1172"/>
    </row>
    <row r="62" spans="1:20" ht="12.75" customHeight="1">
      <c r="A62" s="541" t="s">
        <v>318</v>
      </c>
      <c r="B62" s="621" t="s">
        <v>639</v>
      </c>
      <c r="C62" s="567" t="s">
        <v>640</v>
      </c>
      <c r="D62" s="185">
        <v>72132.055999999997</v>
      </c>
      <c r="E62" s="1565">
        <v>33712.360999999997</v>
      </c>
      <c r="F62" s="221" t="str">
        <f>IF(OR(D62="",E62=""),"Skriv belopp eller 0","")</f>
        <v/>
      </c>
      <c r="G62" s="1307" t="s">
        <v>935</v>
      </c>
      <c r="H62" s="1308" t="s">
        <v>974</v>
      </c>
      <c r="I62" s="2004" t="s">
        <v>1127</v>
      </c>
      <c r="J62" s="1757">
        <v>117517.136</v>
      </c>
      <c r="K62" s="1758">
        <v>117867.719</v>
      </c>
      <c r="L62" s="1158" t="str">
        <f>IF(AND(D63=0,J62=0,E63=0,K62=0),"",IF(SUM(J62)&gt;D63,"Däravrad 133 &gt; rad 089",IF(AND(D63&gt;10,J62=""),"Rad 133,kommun: skriv belopp eller 0",IF(AND(E63=0,K62=0),"",IF(SUM(K62)&gt;E63,"Koncern:Däravrad 133&gt;rad 089",IF(AND(E63&gt;10,K62=""),"Rad 133,koncern:skriv belopp eller 0",""))))))</f>
        <v/>
      </c>
      <c r="M62" s="650"/>
      <c r="N62" s="685"/>
      <c r="O62" s="1181"/>
      <c r="P62" s="1237"/>
      <c r="Q62" s="1227"/>
      <c r="R62" s="1237"/>
      <c r="S62" s="1172"/>
      <c r="T62" s="1172"/>
    </row>
    <row r="63" spans="1:20" ht="12.75" customHeight="1" thickBot="1">
      <c r="A63" s="545" t="s">
        <v>319</v>
      </c>
      <c r="B63" s="669">
        <v>23</v>
      </c>
      <c r="C63" s="530" t="s">
        <v>641</v>
      </c>
      <c r="D63" s="317">
        <f>SUM(D56:D62)</f>
        <v>597170.7699999999</v>
      </c>
      <c r="E63" s="2082">
        <f>SUM(E56:E58,E60:E62)</f>
        <v>823364.63099999994</v>
      </c>
      <c r="F63" s="2076"/>
      <c r="G63" s="1893" t="s">
        <v>336</v>
      </c>
      <c r="H63" s="667" t="s">
        <v>974</v>
      </c>
      <c r="I63" s="802" t="s">
        <v>1132</v>
      </c>
      <c r="J63" s="2505">
        <v>252726.88099999999</v>
      </c>
      <c r="K63" s="2506"/>
      <c r="L63" s="1158" t="str">
        <f>IF(AND(D63=0,J63=0),"",IF(SUM(J63)&gt;D63,"Däravrad 088 &gt; rad 089",IF(AND(D63&gt;10,J63=""),"Rad 088,kommun: skriv belopp eller 0","")))</f>
        <v/>
      </c>
      <c r="M63" s="579">
        <f>D63*1000/invanare</f>
        <v>56402.259789888456</v>
      </c>
      <c r="N63" s="580">
        <f>E63*1000/invanare</f>
        <v>77766.073211298761</v>
      </c>
      <c r="O63" s="1181"/>
      <c r="P63" s="1237"/>
      <c r="Q63" s="1404"/>
      <c r="R63" s="1404"/>
    </row>
    <row r="64" spans="1:20" ht="12.75" customHeight="1">
      <c r="A64" s="541" t="s">
        <v>320</v>
      </c>
      <c r="B64" s="670" t="s">
        <v>642</v>
      </c>
      <c r="C64" s="513" t="s">
        <v>643</v>
      </c>
      <c r="D64" s="179">
        <v>106573.299</v>
      </c>
      <c r="E64" s="666"/>
      <c r="F64" s="221"/>
      <c r="G64" s="660" t="s">
        <v>322</v>
      </c>
      <c r="H64" s="661" t="s">
        <v>709</v>
      </c>
      <c r="I64" s="2508" t="s">
        <v>1128</v>
      </c>
      <c r="J64" s="2505">
        <v>24374.502</v>
      </c>
      <c r="K64" s="1865" t="s">
        <v>977</v>
      </c>
      <c r="L64" s="135" t="str">
        <f>IF(AND(D64=0,J64=0),"",IF(SUM(J64)&gt;D64,"Däravrad 091 &gt; rad 090",IF(AND(D64&gt;10,J64=""),"Rad 091: skriv belopp eller 0","")))</f>
        <v/>
      </c>
      <c r="M64" s="684"/>
      <c r="N64" s="685"/>
      <c r="O64" s="1181"/>
      <c r="P64" s="1237"/>
      <c r="Q64" s="1227"/>
      <c r="R64" s="1237"/>
      <c r="S64" s="284"/>
      <c r="T64" s="284"/>
    </row>
    <row r="65" spans="1:20" ht="12.75" customHeight="1">
      <c r="A65" s="541" t="s">
        <v>321</v>
      </c>
      <c r="B65" s="621" t="s">
        <v>644</v>
      </c>
      <c r="C65" s="518" t="s">
        <v>645</v>
      </c>
      <c r="D65" s="179">
        <v>40507.396000000001</v>
      </c>
      <c r="E65" s="666"/>
      <c r="F65" s="1157"/>
      <c r="G65" s="1893" t="s">
        <v>936</v>
      </c>
      <c r="H65" s="500" t="s">
        <v>937</v>
      </c>
      <c r="I65" s="2508" t="s">
        <v>1129</v>
      </c>
      <c r="J65" s="2505">
        <v>60449.373</v>
      </c>
      <c r="K65" s="1865" t="s">
        <v>976</v>
      </c>
      <c r="L65" s="1553" t="str">
        <f>IF(AND(D64=0,J65=0),"",IF(SUM(J65)&gt;D64,"Däravrad 134 &gt; rad 090",IF(J65="","skriv belopp eller 0","")))</f>
        <v/>
      </c>
      <c r="M65" s="684"/>
      <c r="N65" s="685"/>
      <c r="O65" s="1181"/>
      <c r="P65" s="1237"/>
      <c r="Q65" s="1227"/>
      <c r="R65" s="1237"/>
      <c r="S65" s="284"/>
      <c r="T65" s="284"/>
    </row>
    <row r="66" spans="1:20" ht="12.75" customHeight="1">
      <c r="A66" s="541" t="s">
        <v>337</v>
      </c>
      <c r="B66" s="621">
        <v>271</v>
      </c>
      <c r="C66" s="518" t="s">
        <v>10</v>
      </c>
      <c r="D66" s="179">
        <v>6459.9579999999996</v>
      </c>
      <c r="E66" s="666"/>
      <c r="F66" s="1157"/>
      <c r="G66" s="2487" t="s">
        <v>2</v>
      </c>
      <c r="H66" s="502" t="s">
        <v>1071</v>
      </c>
      <c r="I66" s="801" t="s">
        <v>1131</v>
      </c>
      <c r="J66" s="2507">
        <v>47963.642</v>
      </c>
      <c r="K66" s="1865"/>
      <c r="L66" s="1553" t="str">
        <f>IF(AND(D64=0,J66=0),"",IF(SUM(J66)&gt;D64,"Däravrad 135 &gt; rad 090",IF(J65="","skriv belopp eller 0","")))</f>
        <v/>
      </c>
      <c r="M66" s="684"/>
      <c r="N66" s="685"/>
      <c r="O66" s="1181"/>
      <c r="P66" s="1237"/>
      <c r="Q66" s="1227"/>
      <c r="R66" s="1237"/>
    </row>
    <row r="67" spans="1:20" ht="12.75" customHeight="1">
      <c r="A67" s="541" t="s">
        <v>1108</v>
      </c>
      <c r="B67" s="621">
        <v>272</v>
      </c>
      <c r="C67" s="518" t="s">
        <v>1103</v>
      </c>
      <c r="D67" s="2007">
        <v>8348.2999999999993</v>
      </c>
      <c r="E67" s="2008"/>
      <c r="F67" s="221" t="str">
        <f>IF(D67&lt;&gt;0,"","Belopp saknas för kommunen")</f>
        <v/>
      </c>
      <c r="G67" s="662" t="s">
        <v>323</v>
      </c>
      <c r="H67" s="1303" t="s">
        <v>726</v>
      </c>
      <c r="I67" s="2022" t="s">
        <v>1130</v>
      </c>
      <c r="J67" s="1898">
        <v>4552.3860000000004</v>
      </c>
      <c r="K67" s="2012"/>
      <c r="L67" s="1553" t="str">
        <f>IF(AND(D65=0,J67=0),"",IF(SUM(J67)&gt;D65,"Däravrad 092 &gt; rad 086",IF(J67="","skriv belopp eller 0","")))</f>
        <v/>
      </c>
      <c r="M67" s="684"/>
      <c r="N67" s="685"/>
      <c r="O67" s="1181"/>
      <c r="P67" s="1237"/>
      <c r="Q67" s="1227"/>
      <c r="R67" s="1237"/>
    </row>
    <row r="68" spans="1:20" ht="12.75" customHeight="1">
      <c r="A68" s="541" t="s">
        <v>324</v>
      </c>
      <c r="B68" s="621">
        <v>281</v>
      </c>
      <c r="C68" s="518" t="s">
        <v>1069</v>
      </c>
      <c r="D68" s="186">
        <v>5248.3050000000003</v>
      </c>
      <c r="E68" s="677"/>
      <c r="F68" s="1157"/>
      <c r="J68" s="2011"/>
      <c r="K68" s="2010"/>
      <c r="L68" s="1158"/>
      <c r="M68" s="684"/>
      <c r="N68" s="651"/>
      <c r="O68" s="1181"/>
      <c r="P68" s="1237"/>
      <c r="Q68" s="1227"/>
      <c r="R68" s="1237"/>
    </row>
    <row r="69" spans="1:20" ht="12.75" customHeight="1">
      <c r="A69" s="541" t="s">
        <v>325</v>
      </c>
      <c r="B69" s="621" t="s">
        <v>646</v>
      </c>
      <c r="C69" s="518" t="s">
        <v>647</v>
      </c>
      <c r="D69" s="185">
        <v>19436.002</v>
      </c>
      <c r="E69" s="678"/>
      <c r="F69" s="221" t="str">
        <f>IF(D69&lt;&gt;0,"","Belopp saknas för kommunen")</f>
        <v/>
      </c>
      <c r="G69" s="4"/>
      <c r="H69" s="9"/>
      <c r="I69" s="165"/>
      <c r="J69" s="1577" t="s">
        <v>604</v>
      </c>
      <c r="K69" s="1555"/>
      <c r="L69" s="192"/>
      <c r="M69" s="684"/>
      <c r="N69" s="651"/>
      <c r="O69" s="1181"/>
      <c r="P69" s="1237"/>
      <c r="Q69" s="1227"/>
      <c r="R69" s="1237"/>
    </row>
    <row r="70" spans="1:20" ht="12.75" customHeight="1">
      <c r="A70" s="541" t="s">
        <v>796</v>
      </c>
      <c r="B70" s="621">
        <v>293</v>
      </c>
      <c r="C70" s="518" t="s">
        <v>761</v>
      </c>
      <c r="D70" s="184">
        <v>13016.296</v>
      </c>
      <c r="E70" s="676"/>
      <c r="F70" s="221" t="str">
        <f>IF(D70&lt;&gt;0,"","Belopp saknas för kommunen")</f>
        <v/>
      </c>
      <c r="G70" s="1304" t="s">
        <v>326</v>
      </c>
      <c r="H70" s="1305" t="s">
        <v>648</v>
      </c>
      <c r="I70" s="1568" t="s">
        <v>1133</v>
      </c>
      <c r="J70" s="1571">
        <v>4774.393</v>
      </c>
      <c r="K70" s="165"/>
      <c r="L70" s="192"/>
      <c r="M70" s="684"/>
      <c r="N70" s="651"/>
      <c r="O70" s="1181"/>
      <c r="P70" s="1237"/>
      <c r="Q70" s="1227"/>
      <c r="R70" s="1237"/>
      <c r="S70" s="284"/>
    </row>
    <row r="71" spans="1:20" ht="12.75" customHeight="1">
      <c r="A71" s="541" t="s">
        <v>327</v>
      </c>
      <c r="B71" s="621" t="s">
        <v>649</v>
      </c>
      <c r="C71" s="518" t="s">
        <v>738</v>
      </c>
      <c r="D71" s="184">
        <v>12734.343000000001</v>
      </c>
      <c r="E71" s="676"/>
      <c r="F71" s="221" t="str">
        <f>IF(D71&lt;&gt;0,"","Belopp saknas för kommunen")</f>
        <v/>
      </c>
      <c r="J71" s="2013" t="str">
        <f>IF(AND(D70=0,J70=0),"",IF(SUM(J70)&gt;D70,"Däravrad 095 &gt; rad 104",IF(J70="","skriv belopp eller 0","")))</f>
        <v/>
      </c>
      <c r="K71" s="1353"/>
      <c r="L71" s="1553"/>
      <c r="M71" s="684"/>
      <c r="N71" s="651"/>
      <c r="O71" s="1181"/>
      <c r="P71" s="1237"/>
      <c r="Q71" s="1227"/>
      <c r="R71" s="1237"/>
    </row>
    <row r="72" spans="1:20" ht="12.75" customHeight="1">
      <c r="A72" s="541" t="s">
        <v>438</v>
      </c>
      <c r="B72" s="621" t="s">
        <v>11</v>
      </c>
      <c r="C72" s="518" t="s">
        <v>12</v>
      </c>
      <c r="D72" s="184">
        <v>235.624</v>
      </c>
      <c r="E72" s="676"/>
      <c r="F72" s="1157"/>
      <c r="G72" s="4"/>
      <c r="H72" s="4"/>
      <c r="I72" s="4"/>
      <c r="J72" s="135"/>
      <c r="K72" s="135"/>
      <c r="L72" s="192"/>
      <c r="M72" s="684"/>
      <c r="N72" s="651"/>
      <c r="O72" s="1181"/>
      <c r="P72" s="1237"/>
      <c r="Q72" s="1227"/>
      <c r="R72" s="1237"/>
    </row>
    <row r="73" spans="1:20" ht="12.75" customHeight="1">
      <c r="A73" s="541" t="s">
        <v>328</v>
      </c>
      <c r="B73" s="620" t="s">
        <v>650</v>
      </c>
      <c r="C73" s="513" t="s">
        <v>652</v>
      </c>
      <c r="D73" s="184">
        <v>33893.421000000002</v>
      </c>
      <c r="E73" s="676"/>
      <c r="F73" s="1157"/>
      <c r="G73" s="4"/>
      <c r="H73" s="177"/>
      <c r="I73" s="4"/>
      <c r="J73" s="175"/>
      <c r="K73" s="1577" t="s">
        <v>705</v>
      </c>
      <c r="L73" s="192"/>
      <c r="M73" s="684"/>
      <c r="N73" s="651"/>
      <c r="O73" s="1181"/>
      <c r="P73" s="1237"/>
      <c r="Q73" s="1237"/>
      <c r="R73" s="1237"/>
    </row>
    <row r="74" spans="1:20" ht="12.75" customHeight="1" thickBot="1">
      <c r="A74" s="543" t="s">
        <v>329</v>
      </c>
      <c r="B74" s="671" t="s">
        <v>653</v>
      </c>
      <c r="C74" s="672" t="s">
        <v>654</v>
      </c>
      <c r="D74" s="321">
        <f>SUM(D64:D73)</f>
        <v>246452.94400000002</v>
      </c>
      <c r="E74" s="182">
        <v>322385.64799999999</v>
      </c>
      <c r="F74" s="221" t="str">
        <f>IF(E74="","Skriv belopp eller 0 för koncernen","")</f>
        <v/>
      </c>
      <c r="G74" s="654" t="s">
        <v>320</v>
      </c>
      <c r="H74" s="2023">
        <v>24</v>
      </c>
      <c r="I74" s="1868" t="s">
        <v>1135</v>
      </c>
      <c r="J74" s="1869"/>
      <c r="K74" s="1755">
        <v>120397.747</v>
      </c>
      <c r="L74" s="1553" t="str">
        <f>IF(AND(E74=0,K74=0),"",IF(SUM(K74)&gt;E74,"Därav-rad 090&gt;rad 098 (Excel K68&gt;E68)",IF(AND(E74&gt;100,K74=""),"Rad 090: skriv belopp eller 0","")))</f>
        <v/>
      </c>
      <c r="M74" s="688">
        <f>D74*1000/invanare</f>
        <v>23277.266188817041</v>
      </c>
      <c r="N74" s="689">
        <f>E74*1000/invanare</f>
        <v>30449.044033128979</v>
      </c>
      <c r="O74" s="1181"/>
      <c r="P74" s="1237"/>
      <c r="Q74" s="1404"/>
      <c r="R74" s="1404"/>
    </row>
    <row r="75" spans="1:20" ht="12.75" customHeight="1" thickBot="1">
      <c r="A75" s="535" t="s">
        <v>330</v>
      </c>
      <c r="B75" s="624" t="s">
        <v>655</v>
      </c>
      <c r="C75" s="499" t="s">
        <v>656</v>
      </c>
      <c r="D75" s="312">
        <f>SUM(D63,D74)</f>
        <v>843623.71399999992</v>
      </c>
      <c r="E75" s="322">
        <f>SUM(E63,E74)</f>
        <v>1145750.2789999999</v>
      </c>
      <c r="F75" s="1157"/>
      <c r="G75" s="1304" t="s">
        <v>936</v>
      </c>
      <c r="H75" s="1782" t="s">
        <v>937</v>
      </c>
      <c r="I75" s="1748" t="s">
        <v>1134</v>
      </c>
      <c r="J75" s="1747"/>
      <c r="K75" s="1756">
        <v>76718.998000000007</v>
      </c>
      <c r="L75" s="1553" t="str">
        <f>IF(AND(K74=0,K75=0),"",IF(SUM(K75)&gt;K74,"Varav-rad 134&gt;rad 090",IF(AND(K74&gt;100,K75=""),"Rad 134, skriv belopp eller 0","")))</f>
        <v/>
      </c>
      <c r="M75" s="1181"/>
      <c r="N75" s="1181"/>
      <c r="O75" s="1181"/>
      <c r="P75" s="1237"/>
      <c r="Q75" s="1404"/>
      <c r="R75" s="1404"/>
    </row>
    <row r="76" spans="1:20" ht="12.75" customHeight="1" thickBot="1">
      <c r="A76" s="673">
        <v>100</v>
      </c>
      <c r="B76" s="674" t="s">
        <v>657</v>
      </c>
      <c r="C76" s="675" t="s">
        <v>1123</v>
      </c>
      <c r="D76" s="323">
        <f>SUM(D48,D55,D63,D74)</f>
        <v>1615652.0019999999</v>
      </c>
      <c r="E76" s="319">
        <f>SUM(E48,E55,E63,E74)</f>
        <v>2171161.0729999999</v>
      </c>
      <c r="F76" s="4"/>
      <c r="G76" s="4"/>
      <c r="H76" s="4"/>
      <c r="I76" s="4"/>
      <c r="J76" s="4"/>
      <c r="K76" s="1553"/>
      <c r="L76" s="2131"/>
      <c r="M76" s="63"/>
      <c r="N76" s="63"/>
      <c r="O76" s="210"/>
      <c r="P76" s="1237"/>
      <c r="Q76" s="1404"/>
      <c r="R76" s="1404"/>
    </row>
    <row r="77" spans="1:20">
      <c r="A77" s="1243" t="s">
        <v>1104</v>
      </c>
      <c r="B77" s="138"/>
      <c r="C77" s="140"/>
      <c r="D77" s="10"/>
      <c r="E77" s="10"/>
      <c r="F77" s="4"/>
      <c r="G77" s="4"/>
      <c r="H77" s="4"/>
      <c r="I77" s="4"/>
      <c r="J77" s="4"/>
      <c r="K77" s="2129"/>
      <c r="L77" s="2130" t="s">
        <v>518</v>
      </c>
      <c r="M77" s="583">
        <f>J63*1000/invanare</f>
        <v>23869.83408121303</v>
      </c>
      <c r="N77" s="690"/>
      <c r="O77" s="1209"/>
      <c r="P77" s="1407"/>
      <c r="Q77" s="1408"/>
      <c r="R77" s="1408"/>
    </row>
    <row r="78" spans="1:20">
      <c r="A78" s="1243"/>
      <c r="B78" s="138"/>
      <c r="C78" s="140"/>
      <c r="D78" s="10"/>
      <c r="E78" s="10"/>
      <c r="F78" s="4"/>
      <c r="G78" s="4"/>
      <c r="H78" s="4"/>
      <c r="I78" s="4"/>
      <c r="J78" s="4"/>
      <c r="K78" s="2129"/>
      <c r="L78" s="2128" t="s">
        <v>514</v>
      </c>
      <c r="M78" s="1715">
        <f>SUM(D63-J63)*1000/invanare</f>
        <v>32532.425708675426</v>
      </c>
      <c r="N78" s="647"/>
      <c r="O78" s="1209"/>
      <c r="Q78" s="2522"/>
      <c r="R78" s="2522"/>
      <c r="S78" s="2522"/>
    </row>
    <row r="79" spans="1:20" ht="15" customHeight="1">
      <c r="A79" s="164"/>
      <c r="B79" s="8"/>
      <c r="C79" s="7"/>
      <c r="D79" s="10"/>
      <c r="E79" s="10"/>
      <c r="F79" s="4"/>
      <c r="G79" s="4"/>
      <c r="H79" s="4"/>
      <c r="I79" s="4"/>
      <c r="J79" s="4"/>
      <c r="K79" s="2129"/>
      <c r="L79" s="2133" t="s">
        <v>512</v>
      </c>
      <c r="M79" s="579">
        <f>IF(D34=0,"",D48*100/D34)</f>
        <v>39.874880916826577</v>
      </c>
      <c r="N79" s="580">
        <f>IF(E34=0,"",E48*100/E34)</f>
        <v>39.158741725496725</v>
      </c>
      <c r="O79" s="1181"/>
      <c r="Q79" s="2522"/>
      <c r="R79" s="2522"/>
      <c r="S79" s="2522"/>
    </row>
    <row r="80" spans="1:20" ht="18" customHeight="1" thickBot="1">
      <c r="A80" s="1883" t="s">
        <v>720</v>
      </c>
      <c r="D80" s="10"/>
      <c r="E80" s="10"/>
      <c r="F80" s="4"/>
      <c r="G80" s="4"/>
      <c r="H80" s="4"/>
      <c r="I80" s="4"/>
      <c r="J80" s="4"/>
      <c r="K80" s="269"/>
      <c r="L80" s="2134" t="s">
        <v>513</v>
      </c>
      <c r="M80" s="2132">
        <f>IF(D34=0,"",(D48-E86)*100/D34)</f>
        <v>29.473984337182667</v>
      </c>
      <c r="N80" s="689">
        <f>IF(E34=0,"",(E48-E86)*100/E34)</f>
        <v>31.419883863830027</v>
      </c>
      <c r="O80" s="1181"/>
      <c r="Q80" s="138"/>
      <c r="R80" s="138"/>
    </row>
    <row r="81" spans="1:18" ht="27">
      <c r="A81" s="2084" t="s">
        <v>1107</v>
      </c>
      <c r="B81" s="1878"/>
      <c r="C81" s="1879"/>
      <c r="D81" s="2009" t="str">
        <f>"Kommunen  "&amp;År-1&amp;"  "</f>
        <v xml:space="preserve">Kommunen  2023  </v>
      </c>
      <c r="E81" s="2083" t="s">
        <v>604</v>
      </c>
      <c r="F81" s="4"/>
      <c r="G81" s="4"/>
      <c r="H81" s="4"/>
      <c r="I81" s="4"/>
      <c r="J81" s="4"/>
      <c r="K81" s="4"/>
      <c r="L81" s="164"/>
      <c r="M81" s="691" t="str">
        <f>"Föränd. %  "&amp;År-1&amp;" - "&amp;År&amp;" "</f>
        <v xml:space="preserve">Föränd. %  2023 - 2024 </v>
      </c>
      <c r="N81" s="691" t="s">
        <v>1106</v>
      </c>
    </row>
    <row r="82" spans="1:18" ht="17.25" customHeight="1">
      <c r="A82" s="541" t="s">
        <v>331</v>
      </c>
      <c r="B82" s="696" t="s">
        <v>658</v>
      </c>
      <c r="C82" s="1880"/>
      <c r="D82" s="697">
        <v>154202.848</v>
      </c>
      <c r="E82" s="95">
        <v>150094.18299999999</v>
      </c>
      <c r="F82" s="1751" t="str">
        <f>IF(E82="","Skriv belopp eller 0","")</f>
        <v/>
      </c>
      <c r="G82" s="4"/>
      <c r="H82" s="4"/>
      <c r="I82" s="4"/>
      <c r="J82" s="4"/>
      <c r="K82" s="4"/>
      <c r="L82" s="4"/>
      <c r="M82" s="692">
        <f t="shared" ref="M82:M87" si="0">IF(AND(D82=0,E82=0),"",IF(E82=0,1,IF(D82=0,-1,E82/D82-1)))</f>
        <v>-2.6644546798513136E-2</v>
      </c>
      <c r="N82" s="693">
        <f t="shared" ref="N82:N87" si="1">E82*1000/invanare</f>
        <v>14176.265028037225</v>
      </c>
      <c r="O82" s="1234"/>
      <c r="Q82" s="1172"/>
      <c r="R82" s="1172"/>
    </row>
    <row r="83" spans="1:18" ht="15.75" customHeight="1">
      <c r="A83" s="541" t="s">
        <v>332</v>
      </c>
      <c r="B83" s="698" t="s">
        <v>1136</v>
      </c>
      <c r="C83" s="525"/>
      <c r="D83" s="699">
        <v>5577.2650000000003</v>
      </c>
      <c r="E83" s="95">
        <v>5375.808</v>
      </c>
      <c r="F83" s="1751" t="str">
        <f t="shared" ref="F83:F85" si="2">IF(E83="","Skriv belopp eller 0","")</f>
        <v/>
      </c>
      <c r="G83" s="4"/>
      <c r="H83" s="4"/>
      <c r="I83" s="4"/>
      <c r="J83" s="4"/>
      <c r="K83" s="4"/>
      <c r="L83" s="4"/>
      <c r="M83" s="694">
        <f t="shared" si="0"/>
        <v>-3.6121109540249607E-2</v>
      </c>
      <c r="N83" s="693">
        <f t="shared" si="1"/>
        <v>507.74038956488232</v>
      </c>
      <c r="O83" s="1181"/>
      <c r="Q83" s="1172"/>
      <c r="R83" s="1172"/>
    </row>
    <row r="84" spans="1:18" ht="18.75" customHeight="1">
      <c r="A84" s="541" t="s">
        <v>209</v>
      </c>
      <c r="B84" s="698" t="s">
        <v>659</v>
      </c>
      <c r="C84" s="525"/>
      <c r="D84" s="699">
        <v>140288.97700000001</v>
      </c>
      <c r="E84" s="95">
        <v>141026.98199999999</v>
      </c>
      <c r="F84" s="1751" t="str">
        <f t="shared" si="2"/>
        <v/>
      </c>
      <c r="G84" s="4"/>
      <c r="H84" s="4"/>
      <c r="I84" s="4"/>
      <c r="J84" s="4"/>
      <c r="K84" s="4"/>
      <c r="L84" s="4"/>
      <c r="M84" s="694">
        <f t="shared" si="0"/>
        <v>5.2606057566446651E-3</v>
      </c>
      <c r="N84" s="693">
        <f t="shared" si="1"/>
        <v>13319.875780504</v>
      </c>
      <c r="O84" s="1181"/>
      <c r="Q84" s="1172"/>
      <c r="R84" s="1172"/>
    </row>
    <row r="85" spans="1:18" ht="18">
      <c r="A85" s="541" t="s">
        <v>333</v>
      </c>
      <c r="B85" s="1881" t="s">
        <v>1137</v>
      </c>
      <c r="C85" s="1882" t="s">
        <v>921</v>
      </c>
      <c r="D85" s="699">
        <v>19648.305</v>
      </c>
      <c r="E85" s="95">
        <v>20090.557000000001</v>
      </c>
      <c r="F85" s="1751" t="str">
        <f t="shared" si="2"/>
        <v/>
      </c>
      <c r="G85" s="4"/>
      <c r="H85" s="4"/>
      <c r="I85" s="4"/>
      <c r="J85" s="4"/>
      <c r="K85" s="4"/>
      <c r="L85" s="4"/>
      <c r="M85" s="694">
        <f t="shared" si="0"/>
        <v>2.2508404669003168E-2</v>
      </c>
      <c r="N85" s="693">
        <f t="shared" si="1"/>
        <v>1897.5356332955853</v>
      </c>
      <c r="O85" s="1181"/>
      <c r="Q85" s="1172"/>
      <c r="R85" s="1172"/>
    </row>
    <row r="86" spans="1:18" ht="18.75" customHeight="1">
      <c r="A86" s="541" t="s">
        <v>334</v>
      </c>
      <c r="B86" s="1866" t="s">
        <v>922</v>
      </c>
      <c r="C86" s="1867" t="s">
        <v>923</v>
      </c>
      <c r="D86" s="699">
        <v>165344.63099999999</v>
      </c>
      <c r="E86" s="180">
        <v>168042.21299999999</v>
      </c>
      <c r="F86" s="221" t="str">
        <f>IF(E86=0,"Belopp saknas","")</f>
        <v/>
      </c>
      <c r="G86" s="4"/>
      <c r="H86" s="4"/>
      <c r="I86" s="4"/>
      <c r="J86" s="4"/>
      <c r="K86" s="192"/>
      <c r="L86" s="4"/>
      <c r="M86" s="694">
        <f t="shared" si="0"/>
        <v>1.6314905320391038E-2</v>
      </c>
      <c r="N86" s="693">
        <f t="shared" si="1"/>
        <v>15871.440849815495</v>
      </c>
      <c r="O86" s="1181"/>
      <c r="Q86" s="1172"/>
      <c r="R86" s="1172"/>
    </row>
    <row r="87" spans="1:18" ht="15" customHeight="1" thickBot="1">
      <c r="A87" s="545" t="s">
        <v>335</v>
      </c>
      <c r="B87" s="700" t="s">
        <v>660</v>
      </c>
      <c r="C87" s="701"/>
      <c r="D87" s="702">
        <f>SUM(D82:D86)</f>
        <v>485062.02600000001</v>
      </c>
      <c r="E87" s="324">
        <f>SUM(E82:E86)</f>
        <v>484629.74300000002</v>
      </c>
      <c r="F87" s="221"/>
      <c r="G87" s="1307" t="s">
        <v>871</v>
      </c>
      <c r="H87" s="1308"/>
      <c r="I87" s="696" t="s">
        <v>867</v>
      </c>
      <c r="J87" s="273">
        <v>293503.94699999999</v>
      </c>
      <c r="K87" s="135"/>
      <c r="L87" s="4"/>
      <c r="M87" s="695">
        <f t="shared" si="0"/>
        <v>-8.9119118139335818E-4</v>
      </c>
      <c r="N87" s="595">
        <f t="shared" si="1"/>
        <v>45772.857681217189</v>
      </c>
      <c r="O87" s="1181"/>
      <c r="Q87" s="1172"/>
      <c r="R87" s="1172"/>
    </row>
    <row r="88" spans="1:18">
      <c r="A88" s="11"/>
      <c r="B88" s="1"/>
      <c r="C88" s="1"/>
      <c r="D88" s="1"/>
      <c r="E88" s="1"/>
      <c r="F88" s="1157"/>
      <c r="G88" s="1394" t="s">
        <v>872</v>
      </c>
      <c r="H88" s="1303"/>
      <c r="I88" s="1363" t="s">
        <v>869</v>
      </c>
      <c r="J88" s="272">
        <v>205327.36199999999</v>
      </c>
      <c r="K88" s="135" t="str">
        <f>IF(AND(J87=0,J88=0),"",IF(J88="","rad 162: skriv belopp eller 0",IF(SUM(J88)&gt;J87,"Varav-rad 162 &gt; rad 161 ",IF(J88&gt;SUM(E82+E84),"varför är rad 162   " &amp;" "&amp;(ROUND(J88-SUM(E82+E84),0))&amp; "tkr större än summan av raderna 121 och 130 (offentligt ägda bolag)?",""))))</f>
        <v/>
      </c>
      <c r="L88" s="4"/>
      <c r="M88" s="4"/>
      <c r="N88" s="4"/>
      <c r="O88" s="1181"/>
      <c r="Q88" s="136"/>
      <c r="R88" s="136"/>
    </row>
    <row r="89" spans="1:18">
      <c r="A89" s="11"/>
      <c r="B89" s="1"/>
      <c r="C89" s="1"/>
      <c r="D89" s="1"/>
      <c r="E89" s="1"/>
      <c r="F89" s="1157"/>
      <c r="G89" s="1237"/>
      <c r="H89" s="1413"/>
      <c r="I89" s="1172"/>
      <c r="J89" s="1353"/>
      <c r="K89" s="135"/>
      <c r="L89" s="4"/>
      <c r="M89" s="4"/>
      <c r="N89" s="4"/>
      <c r="O89" s="1181"/>
      <c r="Q89" s="136"/>
      <c r="R89" s="136"/>
    </row>
    <row r="90" spans="1:18"/>
    <row r="91" spans="1:18" ht="15" customHeight="1">
      <c r="A91" s="34"/>
      <c r="B91" s="165"/>
      <c r="C91" s="165"/>
      <c r="D91" s="165"/>
      <c r="E91" s="165"/>
      <c r="F91" s="1157"/>
      <c r="G91" s="4"/>
      <c r="H91" s="4"/>
      <c r="I91" s="4"/>
      <c r="J91" s="135"/>
      <c r="K91" s="1567"/>
      <c r="L91" s="307"/>
      <c r="M91" s="4"/>
      <c r="N91" s="4"/>
    </row>
    <row r="92" spans="1:18">
      <c r="A92" s="1237"/>
      <c r="B92" s="140"/>
      <c r="C92" s="140"/>
      <c r="E92" s="1567"/>
      <c r="F92" s="221"/>
      <c r="G92" s="4"/>
      <c r="H92" s="4"/>
      <c r="I92" s="4"/>
      <c r="J92" s="4"/>
      <c r="K92" s="4"/>
      <c r="L92" s="4"/>
      <c r="M92" s="4"/>
      <c r="N92" s="4"/>
      <c r="Q92" s="1172"/>
      <c r="R92" s="1172"/>
    </row>
    <row r="93" spans="1:18">
      <c r="A93" s="2110"/>
      <c r="B93" s="2110"/>
      <c r="C93" s="2110"/>
      <c r="D93" s="2110"/>
      <c r="E93" s="2110"/>
      <c r="F93" s="192"/>
      <c r="G93" s="4"/>
      <c r="H93" s="4"/>
      <c r="I93" s="4"/>
      <c r="J93" s="4"/>
      <c r="K93" s="4"/>
      <c r="L93" s="4"/>
      <c r="M93" s="4"/>
      <c r="N93" s="4"/>
      <c r="Q93" s="163"/>
      <c r="R93" s="163"/>
    </row>
    <row r="94" spans="1:18">
      <c r="A94" s="2110"/>
      <c r="B94" s="2110"/>
      <c r="C94" s="2110"/>
      <c r="D94" s="2110"/>
      <c r="E94" s="2110"/>
      <c r="F94" s="192"/>
      <c r="G94" s="4"/>
      <c r="H94" s="4"/>
      <c r="I94" s="4"/>
      <c r="J94" s="4"/>
      <c r="K94" s="4"/>
      <c r="L94" s="4"/>
      <c r="M94" s="4"/>
      <c r="N94" s="4"/>
    </row>
    <row r="95" spans="1:18">
      <c r="A95" s="2110"/>
      <c r="B95" s="2110"/>
      <c r="C95" s="2110"/>
      <c r="D95" s="2110"/>
      <c r="E95" s="2110"/>
      <c r="F95" s="192"/>
      <c r="G95" s="4"/>
      <c r="H95" s="4"/>
      <c r="I95" s="4"/>
      <c r="J95" s="4"/>
      <c r="K95" s="4"/>
      <c r="L95" s="4"/>
      <c r="M95" s="4"/>
      <c r="N95" s="4"/>
      <c r="P95" s="165"/>
      <c r="Q95" s="163"/>
      <c r="R95" s="163"/>
    </row>
    <row r="96" spans="1:18">
      <c r="A96" s="2110"/>
      <c r="B96" s="2110"/>
      <c r="C96" s="2110"/>
      <c r="D96" s="2110"/>
      <c r="E96" s="2110"/>
      <c r="F96" s="192"/>
      <c r="G96" s="4"/>
      <c r="H96" s="4"/>
      <c r="I96" s="4"/>
      <c r="J96" s="4"/>
      <c r="K96" s="4"/>
      <c r="L96" s="4"/>
      <c r="M96" s="4"/>
      <c r="N96" s="4"/>
      <c r="P96" s="165"/>
      <c r="Q96" s="163"/>
      <c r="R96" s="163"/>
    </row>
    <row r="97" spans="1:18">
      <c r="A97" s="2110"/>
      <c r="B97" s="2110"/>
      <c r="C97" s="2110"/>
      <c r="D97" s="2110"/>
      <c r="E97" s="2110"/>
      <c r="K97" s="4"/>
      <c r="L97" s="4"/>
      <c r="P97" s="165"/>
      <c r="Q97" s="163"/>
      <c r="R97" s="163"/>
    </row>
    <row r="98" spans="1:18">
      <c r="L98" s="4"/>
      <c r="Q98" s="163"/>
      <c r="R98" s="163"/>
    </row>
    <row r="99" spans="1:18"/>
    <row r="102" spans="1:18"/>
    <row r="103" spans="1:18"/>
    <row r="113"/>
    <row r="114"/>
    <row r="115"/>
    <row r="116"/>
    <row r="117"/>
    <row r="118"/>
    <row r="120"/>
    <row r="121"/>
    <row r="122"/>
  </sheetData>
  <sheetProtection algorithmName="SHA-512" hashValue="Px2iZuuZ2k2oTVcKrNxEMFz2cRm42lWsgDG/IT4xmhX4oBNjiT8bEF6JGKYblA4IZqE4itX8czx7/bPAFNrbTA==" saltValue="BvLugrnl1dY/6QI4hBz6Xw==" spinCount="100000" sheet="1" objects="1" scenarios="1"/>
  <customSheetViews>
    <customSheetView guid="{97D6DB71-3F4C-4C5F-8C5B-51E3EBF78932}" showPageBreaks="1"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1"/>
      <headerFooter>
        <oddHeader>&amp;L&amp;8Statistiska Centralbyrån
Offentlig ekonomi&amp;R&amp;P</oddHeader>
      </headerFooter>
    </customSheetView>
    <customSheetView guid="{99FBDEB7-DD08-4F57-81F4-3C180403E153}" showGridLines="0" hiddenRows="1" hiddenColumns="1" topLeftCell="A37">
      <selection activeCell="F38" sqref="F38"/>
      <pageMargins left="0.11811023622047245" right="0.11811023622047245" top="0.74803149606299213" bottom="0.74803149606299213" header="0.31496062992125984" footer="0.31496062992125984"/>
      <pageSetup paperSize="9" scale="80" orientation="landscape" r:id="rId2"/>
      <headerFooter>
        <oddHeader>&amp;L&amp;8Statistiska Centralbyrån
Offentlig ekonomi&amp;R&amp;P</oddHeader>
      </headerFooter>
    </customSheetView>
    <customSheetView guid="{27C9E95B-0E2B-454F-B637-1CECC9579A10}" showGridLines="0" hiddenRows="1" showRuler="0">
      <selection activeCell="I75" sqref="I75"/>
      <pageMargins left="0.11811023622047245" right="0.11811023622047245" top="0.74803149606299213" bottom="0.74803149606299213" header="0.31496062992125984" footer="0.31496062992125984"/>
      <pageSetup paperSize="9" scale="80" orientation="landscape" r:id="rId3"/>
      <headerFooter alignWithMargins="0">
        <oddHeader>&amp;L&amp;8Statistiska Centralbyrån
Offentlig ekonomi&amp;R&amp;P</oddHeader>
      </headerFooter>
    </customSheetView>
  </customSheetViews>
  <mergeCells count="6">
    <mergeCell ref="Q78:S79"/>
    <mergeCell ref="B5:B6"/>
    <mergeCell ref="M4:N4"/>
    <mergeCell ref="M43:N43"/>
    <mergeCell ref="T5:T6"/>
    <mergeCell ref="S5:S6"/>
  </mergeCells>
  <phoneticPr fontId="89" type="noConversion"/>
  <conditionalFormatting sqref="D22:D25">
    <cfRule type="cellIs" dxfId="150" priority="23" stopIfTrue="1" operator="lessThan">
      <formula>-500</formula>
    </cfRule>
  </conditionalFormatting>
  <conditionalFormatting sqref="D51:D54">
    <cfRule type="cellIs" dxfId="149" priority="3" stopIfTrue="1" operator="lessThan">
      <formula>-500</formula>
    </cfRule>
  </conditionalFormatting>
  <conditionalFormatting sqref="D56:D62">
    <cfRule type="cellIs" dxfId="148" priority="4" stopIfTrue="1" operator="lessThan">
      <formula>-500</formula>
    </cfRule>
  </conditionalFormatting>
  <conditionalFormatting sqref="D19:E19 E92 E9 D9:D11 E12 J13:K13 D13:D15 J15:K15 E17 D21:E21 J22 J27:K27 D27:D30 E31:E32 D32 E56 D64:D73 J70 K71 E74 E82:E86">
    <cfRule type="cellIs" dxfId="147" priority="25" stopIfTrue="1" operator="lessThan">
      <formula>-500</formula>
    </cfRule>
  </conditionalFormatting>
  <conditionalFormatting sqref="D19:E19">
    <cfRule type="cellIs" dxfId="146" priority="20" stopIfTrue="1" operator="lessThan">
      <formula>0</formula>
    </cfRule>
  </conditionalFormatting>
  <conditionalFormatting sqref="E51">
    <cfRule type="cellIs" dxfId="145" priority="1" stopIfTrue="1" operator="lessThan">
      <formula>-500</formula>
    </cfRule>
  </conditionalFormatting>
  <conditionalFormatting sqref="E92">
    <cfRule type="cellIs" dxfId="144" priority="19" stopIfTrue="1" operator="lessThan">
      <formula>0</formula>
    </cfRule>
  </conditionalFormatting>
  <conditionalFormatting sqref="J24:J26">
    <cfRule type="cellIs" dxfId="143" priority="5" stopIfTrue="1" operator="lessThan">
      <formula>-500</formula>
    </cfRule>
  </conditionalFormatting>
  <conditionalFormatting sqref="J87:J89 K91">
    <cfRule type="cellIs" dxfId="142" priority="18" stopIfTrue="1" operator="lessThan">
      <formula>0</formula>
    </cfRule>
    <cfRule type="cellIs" dxfId="141" priority="22" stopIfTrue="1" operator="lessThan">
      <formula>-500</formula>
    </cfRule>
  </conditionalFormatting>
  <conditionalFormatting sqref="J20:K20">
    <cfRule type="cellIs" dxfId="140" priority="21" stopIfTrue="1" operator="lessThan">
      <formula>-500</formula>
    </cfRule>
  </conditionalFormatting>
  <conditionalFormatting sqref="J55:K56">
    <cfRule type="cellIs" dxfId="139" priority="17" stopIfTrue="1" operator="lessThan">
      <formula>-500</formula>
    </cfRule>
  </conditionalFormatting>
  <conditionalFormatting sqref="J60:K60">
    <cfRule type="cellIs" dxfId="138" priority="14" stopIfTrue="1" operator="lessThan">
      <formula>-500</formula>
    </cfRule>
  </conditionalFormatting>
  <conditionalFormatting sqref="J62:K68">
    <cfRule type="cellIs" dxfId="137" priority="12" stopIfTrue="1" operator="lessThan">
      <formula>-500</formula>
    </cfRule>
  </conditionalFormatting>
  <conditionalFormatting sqref="M24:N24">
    <cfRule type="cellIs" dxfId="136" priority="8" stopIfTrue="1" operator="lessThan">
      <formula>-500</formula>
    </cfRule>
  </conditionalFormatting>
  <dataValidations disablePrompts="1" count="5">
    <dataValidation type="decimal" operator="lessThan" allowBlank="1" showInputMessage="1" showErrorMessage="1" error="Beloppet ska vara i 1000 tal kronor" sqref="D9:E9 E82:E86 J55:K56 J13 J20 E74 J15 D56:D62 E56:E58 J22 D64:D73 D32 E31:E32 D21:E21 D19:E19 E17 D13:D16 E12 D10:D11 D22:D30 K62:K63 K68 K74:K75 J87:J89 E26 E60:E62 J62:J68 M24 J24 E91:E92 J70 K71 D42:E47 D49:D54 E49:E51" xr:uid="{00000000-0002-0000-0200-000000000000}">
      <formula1>999999999</formula1>
    </dataValidation>
    <dataValidation type="decimal" operator="lessThan" allowBlank="1" showInputMessage="1" showErrorMessage="1" error="Beloppet ska vara i 1000-tal kronor" sqref="J60:K60" xr:uid="{00000000-0002-0000-0200-000001000000}">
      <formula1>999999999</formula1>
    </dataValidation>
    <dataValidation type="decimal" operator="lessThan" allowBlank="1" showInputMessage="1" error="Beloppet ska vara i 1000 tal kronor" sqref="K13" xr:uid="{00000000-0002-0000-0200-000002000000}">
      <formula1>999999</formula1>
    </dataValidation>
    <dataValidation type="decimal" operator="lessThan" allowBlank="1" showInputMessage="1" error="Beloppet ska vara i 1000 tal kronor" sqref="K15" xr:uid="{00000000-0002-0000-0200-000003000000}">
      <formula1>999999999</formula1>
    </dataValidation>
    <dataValidation allowBlank="1" showInputMessage="1" sqref="K20:K21 N24 K23:K24 K26:K32" xr:uid="{00000000-0002-0000-0200-000004000000}"/>
  </dataValidations>
  <pageMargins left="0.11811023622047245" right="0.11811023622047245" top="0.74803149606299213" bottom="0.74803149606299213" header="0.31496062992125984" footer="0.31496062992125984"/>
  <pageSetup paperSize="9" scale="80" orientation="landscape" r:id="rId4"/>
  <headerFooter>
    <oddHeader>&amp;L&amp;8Statistiska Centralbyrån
Offentlig ekonomi&amp;R&amp;P</oddHeader>
  </headerFooter>
  <rowBreaks count="1" manualBreakCount="1">
    <brk id="56" max="16383" man="1"/>
  </rowBreaks>
  <ignoredErrors>
    <ignoredError sqref="B15:B16 A22:B23 A9:A21 B19 B25 B31 A31:A34 H13 G15:H15 G20:H20 G22 A50 A57:A66 B61:B62 B64:B65 A68:A75 B69 B71:B72 G55:H55 G60 H64:H65 G74:G75 H75 A82:A87 G62:G66 A24:A30 B27:B29" numberStoredAsText="1"/>
  </ignoredErrors>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93"/>
  <sheetViews>
    <sheetView showGridLines="0" zoomScaleNormal="100" workbookViewId="0">
      <pane ySplit="1" topLeftCell="A2" activePane="bottomLeft" state="frozen"/>
      <selection activeCell="F36" sqref="F36"/>
      <selection pane="bottomLeft" activeCell="A2" sqref="A2"/>
    </sheetView>
  </sheetViews>
  <sheetFormatPr defaultColWidth="0" defaultRowHeight="0" customHeight="1" zeroHeight="1"/>
  <cols>
    <col min="1" max="1" width="4" style="163" customWidth="1"/>
    <col min="2" max="2" width="14.42578125" style="163" customWidth="1"/>
    <col min="3" max="3" width="40.42578125" style="163" customWidth="1"/>
    <col min="4" max="4" width="11.5703125" style="163" customWidth="1"/>
    <col min="5" max="5" width="26.28515625" style="163" customWidth="1"/>
    <col min="6" max="6" width="4" style="163" customWidth="1"/>
    <col min="7" max="7" width="8.42578125" style="163" customWidth="1"/>
    <col min="8" max="8" width="30.5703125" style="163" customWidth="1"/>
    <col min="9" max="9" width="9.42578125" style="163" customWidth="1"/>
    <col min="10" max="10" width="29.42578125" style="163" customWidth="1"/>
    <col min="11" max="11" width="1.5703125" style="163" customWidth="1"/>
    <col min="12" max="12" width="4.42578125" style="163" customWidth="1"/>
    <col min="13" max="13" width="9.42578125" style="163" customWidth="1"/>
    <col min="14" max="14" width="9.140625" style="163" customWidth="1"/>
    <col min="15" max="15" width="15" style="163" customWidth="1"/>
    <col min="16" max="16" width="1.5703125" style="163" customWidth="1"/>
    <col min="17" max="17" width="3.5703125" style="163" customWidth="1"/>
    <col min="18" max="18" width="13.5703125" style="388" customWidth="1"/>
    <col min="19" max="19" width="4.42578125" style="388" customWidth="1"/>
    <col min="20" max="20" width="8.42578125" style="163" customWidth="1"/>
    <col min="21" max="21" width="8" style="163" customWidth="1"/>
    <col min="22" max="22" width="16" style="163" customWidth="1"/>
    <col min="23" max="25" width="9.42578125" style="163" customWidth="1"/>
    <col min="26" max="16384" width="0" style="163" hidden="1"/>
  </cols>
  <sheetData>
    <row r="1" spans="1:20" s="192" customFormat="1" ht="20.25">
      <c r="A1" s="89" t="str">
        <f>"Verksamhetens intäkter och kostnader "&amp;År&amp;", miljoner kr"</f>
        <v>Verksamhetens intäkter och kostnader 2024, miljoner kr</v>
      </c>
      <c r="B1" s="162"/>
      <c r="C1" s="162"/>
      <c r="D1" s="162"/>
      <c r="E1" s="162"/>
      <c r="F1" s="162"/>
      <c r="G1" s="162"/>
      <c r="H1" s="477"/>
      <c r="I1" s="473" t="s">
        <v>446</v>
      </c>
      <c r="J1" s="474" t="str">
        <f>Information!A2</f>
        <v>RIKSTOTAL</v>
      </c>
      <c r="K1" s="474"/>
      <c r="L1" s="474"/>
      <c r="M1" s="474"/>
      <c r="N1" s="474"/>
      <c r="O1" s="474"/>
      <c r="P1" s="1223"/>
      <c r="Q1" s="163"/>
      <c r="R1" s="163"/>
      <c r="S1" s="163"/>
      <c r="T1" s="163"/>
    </row>
    <row r="2" spans="1:20" s="192" customFormat="1" ht="12.75" customHeight="1">
      <c r="A2" s="2110"/>
      <c r="B2" s="2110"/>
      <c r="C2" s="2110"/>
      <c r="D2" s="2110"/>
      <c r="E2" s="2110"/>
      <c r="F2" s="2110"/>
      <c r="G2" s="2110"/>
      <c r="H2" s="2110"/>
      <c r="I2" s="2110"/>
      <c r="J2" s="2110"/>
      <c r="K2" s="2110"/>
      <c r="L2" s="2110"/>
      <c r="M2" s="2110"/>
      <c r="N2" s="2110"/>
      <c r="O2" s="2110"/>
      <c r="Q2" s="163"/>
      <c r="R2" s="163"/>
      <c r="S2" s="163"/>
      <c r="T2" s="163"/>
    </row>
    <row r="3" spans="1:20" s="192" customFormat="1" ht="12.75" customHeight="1">
      <c r="A3" s="2110"/>
      <c r="B3" s="2110"/>
      <c r="C3" s="2110"/>
      <c r="D3" s="2110"/>
      <c r="E3" s="2110"/>
      <c r="F3" s="2110"/>
      <c r="G3" s="2110"/>
      <c r="H3" s="2110"/>
      <c r="I3" s="2110"/>
      <c r="J3" s="2110"/>
      <c r="K3" s="2110"/>
      <c r="L3" s="2110"/>
      <c r="M3" s="2110"/>
      <c r="N3" s="2110"/>
      <c r="O3" s="2110"/>
      <c r="Q3" s="163"/>
      <c r="R3" s="163"/>
      <c r="S3" s="163"/>
      <c r="T3" s="163"/>
    </row>
    <row r="4" spans="1:20" s="192" customFormat="1" ht="16.5" customHeight="1" thickBot="1">
      <c r="A4" s="70" t="s">
        <v>353</v>
      </c>
      <c r="B4" s="4"/>
      <c r="C4" s="4"/>
      <c r="D4" s="4"/>
      <c r="E4" s="75"/>
      <c r="H4" s="4"/>
      <c r="I4" s="4"/>
      <c r="J4" s="4"/>
      <c r="K4" s="4"/>
      <c r="L4" s="1174" t="str">
        <f>"Kontroller av förändring mellan "&amp;År-1&amp;" och "&amp;År&amp;""</f>
        <v>Kontroller av förändring mellan 2023 och 2024</v>
      </c>
      <c r="O4" s="2110"/>
      <c r="Q4" s="163"/>
      <c r="R4" s="163"/>
      <c r="S4" s="163"/>
      <c r="T4" s="163"/>
    </row>
    <row r="5" spans="1:20" s="192" customFormat="1" ht="12.75" customHeight="1">
      <c r="A5" s="558" t="s">
        <v>603</v>
      </c>
      <c r="B5" s="2028" t="str">
        <f>"BAS "&amp;År-2000&amp;""</f>
        <v>BAS 24</v>
      </c>
      <c r="C5" s="557"/>
      <c r="D5" s="717"/>
      <c r="E5" s="4"/>
      <c r="H5" s="4"/>
      <c r="I5" s="4"/>
      <c r="J5" s="4"/>
      <c r="K5" s="4"/>
      <c r="L5" s="558" t="s">
        <v>603</v>
      </c>
      <c r="M5" s="2161" t="s">
        <v>1245</v>
      </c>
      <c r="N5" s="2170" t="s">
        <v>718</v>
      </c>
      <c r="O5" s="2110"/>
      <c r="P5" s="1224"/>
      <c r="Q5" s="85"/>
      <c r="R5" s="395"/>
      <c r="S5" s="85"/>
      <c r="T5" s="1173"/>
    </row>
    <row r="6" spans="1:20" s="192" customFormat="1" ht="15.75" customHeight="1">
      <c r="A6" s="703" t="s">
        <v>605</v>
      </c>
      <c r="B6" s="2531"/>
      <c r="C6" s="705"/>
      <c r="D6" s="718"/>
      <c r="E6" s="4"/>
      <c r="H6" s="63"/>
      <c r="I6" s="63"/>
      <c r="J6" s="4"/>
      <c r="K6" s="4"/>
      <c r="L6" s="703" t="s">
        <v>605</v>
      </c>
      <c r="M6" s="2162">
        <f>År-1</f>
        <v>2023</v>
      </c>
      <c r="N6" s="2171" t="str">
        <f>År-1&amp;-År</f>
        <v>2023-2024</v>
      </c>
      <c r="O6" s="2110"/>
      <c r="P6" s="1224"/>
      <c r="Q6" s="1409"/>
      <c r="R6" s="1227"/>
      <c r="S6" s="248"/>
      <c r="T6" s="1884"/>
    </row>
    <row r="7" spans="1:20" s="192" customFormat="1" ht="15" customHeight="1">
      <c r="A7" s="706"/>
      <c r="B7" s="2532"/>
      <c r="C7" s="707"/>
      <c r="D7" s="641"/>
      <c r="E7" s="4"/>
      <c r="H7" s="63"/>
      <c r="I7" s="63"/>
      <c r="J7" s="4"/>
      <c r="K7" s="4"/>
      <c r="L7" s="706"/>
      <c r="M7" s="2163"/>
      <c r="N7" s="2172" t="s">
        <v>719</v>
      </c>
      <c r="O7" s="2110"/>
      <c r="P7" s="1224"/>
      <c r="Q7" s="83"/>
      <c r="R7" s="1410"/>
      <c r="S7" s="1201"/>
      <c r="T7" s="1411"/>
    </row>
    <row r="8" spans="1:20" s="192" customFormat="1" ht="12.75" customHeight="1" thickBot="1">
      <c r="A8" s="508">
        <v>130</v>
      </c>
      <c r="B8" s="2025" t="s">
        <v>727</v>
      </c>
      <c r="C8" s="2024" t="s">
        <v>1142</v>
      </c>
      <c r="D8" s="211">
        <v>12026.343000000001</v>
      </c>
      <c r="E8" s="172"/>
      <c r="F8" s="4"/>
      <c r="G8" s="4"/>
      <c r="H8" s="63"/>
      <c r="I8" s="63"/>
      <c r="J8" s="4"/>
      <c r="K8" s="4"/>
      <c r="L8" s="508">
        <v>130</v>
      </c>
      <c r="M8" s="2164">
        <v>11414.755999999999</v>
      </c>
      <c r="N8" s="2173">
        <f>IF(ISERROR((D8-M8)/M8),0,((D8-M8)/M8))</f>
        <v>5.3578631028118461E-2</v>
      </c>
      <c r="O8" s="2110"/>
      <c r="P8" s="1225"/>
      <c r="Q8" s="1227"/>
      <c r="R8" s="1227"/>
      <c r="S8" s="1227"/>
      <c r="T8" s="163"/>
    </row>
    <row r="9" spans="1:20" s="192" customFormat="1" ht="12.75" customHeight="1">
      <c r="A9" s="709">
        <v>200</v>
      </c>
      <c r="B9" s="710">
        <v>311</v>
      </c>
      <c r="C9" s="711" t="s">
        <v>661</v>
      </c>
      <c r="D9" s="170">
        <v>3739.0450000000001</v>
      </c>
      <c r="E9" s="172"/>
      <c r="F9" s="4"/>
      <c r="G9" s="4"/>
      <c r="H9" s="63"/>
      <c r="I9" s="63"/>
      <c r="J9" s="4"/>
      <c r="K9" s="4"/>
      <c r="L9" s="1137"/>
      <c r="M9" s="2165"/>
      <c r="N9" s="2154"/>
      <c r="O9" s="2110"/>
      <c r="P9" s="1225"/>
      <c r="Q9" s="1187"/>
      <c r="R9" s="1187"/>
      <c r="S9" s="1187"/>
      <c r="T9" s="163"/>
    </row>
    <row r="10" spans="1:20" s="192" customFormat="1" ht="12.75" customHeight="1">
      <c r="A10" s="712">
        <v>210</v>
      </c>
      <c r="B10" s="621">
        <v>312</v>
      </c>
      <c r="C10" s="715" t="s">
        <v>1050</v>
      </c>
      <c r="D10" s="170">
        <v>1119.768</v>
      </c>
      <c r="E10" s="172"/>
      <c r="F10" s="4"/>
      <c r="G10" s="4"/>
      <c r="H10" s="63"/>
      <c r="I10" s="63"/>
      <c r="J10" s="4"/>
      <c r="K10" s="4"/>
      <c r="L10" s="1138"/>
      <c r="M10" s="2166"/>
      <c r="N10" s="2155"/>
      <c r="O10" s="2110"/>
      <c r="P10" s="1225"/>
      <c r="Q10" s="1187"/>
      <c r="R10" s="1187"/>
      <c r="S10" s="1187"/>
      <c r="T10" s="163"/>
    </row>
    <row r="11" spans="1:20" s="192" customFormat="1" ht="12.75" customHeight="1">
      <c r="A11" s="712">
        <v>280</v>
      </c>
      <c r="B11" s="2176">
        <v>313</v>
      </c>
      <c r="C11" s="711" t="s">
        <v>662</v>
      </c>
      <c r="D11" s="170">
        <v>42891.512000000002</v>
      </c>
      <c r="E11" s="172"/>
      <c r="F11" s="4"/>
      <c r="G11" s="4"/>
      <c r="H11" s="63"/>
      <c r="I11" s="63"/>
      <c r="J11" s="4"/>
      <c r="K11" s="4"/>
      <c r="L11" s="709"/>
      <c r="M11" s="2167"/>
      <c r="N11" s="2156"/>
      <c r="O11" s="2110"/>
      <c r="P11" s="1225"/>
      <c r="Q11" s="1187"/>
      <c r="R11" s="1412"/>
      <c r="S11" s="1412"/>
      <c r="T11" s="163"/>
    </row>
    <row r="12" spans="1:20" s="192" customFormat="1" ht="12.75" customHeight="1" thickBot="1">
      <c r="A12" s="713">
        <v>290</v>
      </c>
      <c r="B12" s="2026"/>
      <c r="C12" s="714" t="s">
        <v>663</v>
      </c>
      <c r="D12" s="326">
        <f>SUM(D9:D11)</f>
        <v>47750.325000000004</v>
      </c>
      <c r="E12" s="172"/>
      <c r="F12" s="164"/>
      <c r="G12" s="4"/>
      <c r="H12" s="63"/>
      <c r="I12" s="63"/>
      <c r="J12" s="4"/>
      <c r="K12" s="4"/>
      <c r="L12" s="713">
        <v>290</v>
      </c>
      <c r="M12" s="2168">
        <v>44651.11</v>
      </c>
      <c r="N12" s="2157">
        <f>IF(ISERROR((D12-M12)/M12),0,((D12-M12)/M12))</f>
        <v>6.9409584666540292E-2</v>
      </c>
      <c r="O12" s="2110"/>
      <c r="P12" s="1225"/>
      <c r="Q12" s="1187"/>
      <c r="R12" s="1187"/>
      <c r="S12" s="1187"/>
      <c r="T12" s="163"/>
    </row>
    <row r="13" spans="1:20" s="192" customFormat="1" ht="12.75" customHeight="1">
      <c r="A13" s="512">
        <v>400</v>
      </c>
      <c r="B13" s="507">
        <v>341</v>
      </c>
      <c r="C13" s="715" t="s">
        <v>664</v>
      </c>
      <c r="D13" s="170">
        <v>15589.137000000001</v>
      </c>
      <c r="E13" s="172"/>
      <c r="F13" s="4"/>
      <c r="G13" s="4"/>
      <c r="H13" s="63"/>
      <c r="I13" s="63"/>
      <c r="J13" s="4"/>
      <c r="K13" s="4"/>
      <c r="L13" s="512">
        <v>400</v>
      </c>
      <c r="M13" s="2167">
        <v>14923.293</v>
      </c>
      <c r="N13" s="2156">
        <f>IF(ISERROR((D13-M13)/M13),0,((D13-M13)/M13))</f>
        <v>4.4617766333476194E-2</v>
      </c>
      <c r="O13" s="2110"/>
      <c r="P13" s="1225"/>
      <c r="Q13" s="1227"/>
      <c r="R13" s="1227"/>
      <c r="S13" s="1227"/>
      <c r="T13" s="163"/>
    </row>
    <row r="14" spans="1:20" s="192" customFormat="1" ht="12.75" customHeight="1">
      <c r="A14" s="510">
        <v>420</v>
      </c>
      <c r="B14" s="621">
        <v>342</v>
      </c>
      <c r="C14" s="715" t="s">
        <v>665</v>
      </c>
      <c r="D14" s="170">
        <v>6827.5169999999998</v>
      </c>
      <c r="E14" s="172"/>
      <c r="F14" s="4"/>
      <c r="G14" s="4"/>
      <c r="H14" s="63"/>
      <c r="I14" s="63"/>
      <c r="J14" s="4"/>
      <c r="K14" s="4"/>
      <c r="L14" s="514"/>
      <c r="M14" s="1127"/>
      <c r="N14" s="2159"/>
      <c r="O14" s="2110"/>
      <c r="P14" s="1225"/>
      <c r="Q14" s="1227"/>
      <c r="R14" s="1227"/>
      <c r="S14" s="1227"/>
      <c r="T14" s="163"/>
    </row>
    <row r="15" spans="1:20" s="192" customFormat="1" ht="12.75" customHeight="1">
      <c r="A15" s="510">
        <v>480</v>
      </c>
      <c r="B15" s="621" t="s">
        <v>666</v>
      </c>
      <c r="C15" s="715" t="s">
        <v>728</v>
      </c>
      <c r="D15" s="170">
        <v>2216.777</v>
      </c>
      <c r="E15" s="172"/>
      <c r="G15" s="165"/>
      <c r="H15" s="207"/>
      <c r="I15" s="207"/>
      <c r="J15" s="4"/>
      <c r="K15" s="4"/>
      <c r="L15" s="726"/>
      <c r="M15" s="2166"/>
      <c r="N15" s="2155"/>
      <c r="O15" s="2110"/>
      <c r="P15" s="1225"/>
      <c r="Q15" s="1227"/>
      <c r="R15" s="1227"/>
      <c r="S15" s="1227"/>
      <c r="T15" s="163"/>
    </row>
    <row r="16" spans="1:20" s="192" customFormat="1" ht="12.75" customHeight="1" thickBot="1">
      <c r="A16" s="521">
        <v>490</v>
      </c>
      <c r="B16" s="708"/>
      <c r="C16" s="716" t="s">
        <v>667</v>
      </c>
      <c r="D16" s="326">
        <f>SUM(D13:D15)</f>
        <v>24633.431000000004</v>
      </c>
      <c r="E16" s="172"/>
      <c r="F16" s="71" t="s">
        <v>729</v>
      </c>
      <c r="G16" s="43"/>
      <c r="H16" s="283"/>
      <c r="I16" s="207"/>
      <c r="J16" s="4"/>
      <c r="K16" s="4"/>
      <c r="L16" s="508">
        <v>490</v>
      </c>
      <c r="M16" s="1129">
        <v>23584.455000000002</v>
      </c>
      <c r="N16" s="2160">
        <f>IF(ISERROR((D16-M16)/M16),0,((D16-M16)/M16))</f>
        <v>4.4477432274776005E-2</v>
      </c>
      <c r="O16" s="2110"/>
      <c r="P16" s="1225"/>
      <c r="Q16" s="1227"/>
      <c r="R16" s="1227"/>
      <c r="S16" s="1227"/>
      <c r="T16" s="163"/>
    </row>
    <row r="17" spans="1:22" s="192" customFormat="1" ht="12.75" customHeight="1">
      <c r="A17" s="709">
        <v>500</v>
      </c>
      <c r="B17" s="710">
        <v>351</v>
      </c>
      <c r="C17" s="715" t="s">
        <v>1064</v>
      </c>
      <c r="D17" s="170">
        <v>40379.296999999999</v>
      </c>
      <c r="E17" s="220"/>
      <c r="F17" s="1237"/>
      <c r="G17" s="1237"/>
      <c r="H17" s="1238"/>
      <c r="I17" s="68"/>
      <c r="J17" s="265"/>
      <c r="K17" s="4"/>
      <c r="L17" s="1137"/>
      <c r="M17" s="2165"/>
      <c r="N17" s="2154"/>
      <c r="O17" s="2110"/>
      <c r="P17" s="1225"/>
      <c r="Q17" s="1187"/>
      <c r="R17" s="1187"/>
      <c r="S17" s="1187"/>
      <c r="T17" s="163"/>
    </row>
    <row r="18" spans="1:22" s="192" customFormat="1" ht="12.75" customHeight="1">
      <c r="A18" s="712">
        <v>510</v>
      </c>
      <c r="B18" s="503">
        <v>351</v>
      </c>
      <c r="C18" s="715" t="s">
        <v>1062</v>
      </c>
      <c r="D18" s="170">
        <v>3763.547</v>
      </c>
      <c r="E18" s="172"/>
      <c r="G18" s="1235"/>
      <c r="H18" s="85"/>
      <c r="I18" s="141"/>
      <c r="J18" s="4"/>
      <c r="K18" s="4"/>
      <c r="L18" s="1138"/>
      <c r="M18" s="2166"/>
      <c r="N18" s="2155"/>
      <c r="O18" s="2110"/>
      <c r="P18" s="1225"/>
      <c r="Q18" s="1187"/>
      <c r="R18" s="1187"/>
      <c r="S18" s="1187"/>
      <c r="T18" s="163"/>
    </row>
    <row r="19" spans="1:22" s="192" customFormat="1" ht="12.75" customHeight="1">
      <c r="A19" s="712">
        <v>520</v>
      </c>
      <c r="B19" s="503">
        <v>351</v>
      </c>
      <c r="C19" s="715" t="s">
        <v>1063</v>
      </c>
      <c r="D19" s="170">
        <v>2111.8429999999998</v>
      </c>
      <c r="E19" s="172" t="str">
        <f>IF((D19-I19)&gt;10000, "Vad ingår på rad 520? Kommentera beloppet", "")</f>
        <v/>
      </c>
      <c r="F19" s="1304" t="s">
        <v>1040</v>
      </c>
      <c r="G19" s="1305" t="s">
        <v>370</v>
      </c>
      <c r="H19" s="1186" t="s">
        <v>1153</v>
      </c>
      <c r="I19" s="271">
        <v>1018.457</v>
      </c>
      <c r="J19" s="1158"/>
      <c r="K19" s="4"/>
      <c r="L19" s="1138"/>
      <c r="M19" s="2166"/>
      <c r="N19" s="2155"/>
      <c r="O19" s="2110"/>
      <c r="P19" s="1225"/>
      <c r="Q19" s="1187"/>
      <c r="R19" s="1187"/>
      <c r="S19" s="1187"/>
      <c r="T19" s="163"/>
    </row>
    <row r="20" spans="1:22" s="192" customFormat="1" ht="12.75" customHeight="1">
      <c r="A20" s="2174">
        <v>521</v>
      </c>
      <c r="B20" s="2177">
        <v>351</v>
      </c>
      <c r="C20" s="2181" t="s">
        <v>1109</v>
      </c>
      <c r="D20" s="170">
        <v>390.726</v>
      </c>
      <c r="E20" s="172"/>
      <c r="F20" s="1237"/>
      <c r="G20" s="1237"/>
      <c r="H20" s="1172"/>
      <c r="I20" s="1353"/>
      <c r="J20" s="1158"/>
      <c r="K20" s="4"/>
      <c r="L20" s="1138"/>
      <c r="M20" s="2166"/>
      <c r="N20" s="2155"/>
      <c r="O20" s="2110"/>
      <c r="P20" s="1225"/>
      <c r="Q20" s="1187"/>
      <c r="R20" s="1187"/>
      <c r="S20" s="1187"/>
      <c r="T20" s="163"/>
    </row>
    <row r="21" spans="1:22" s="192" customFormat="1" ht="12.75" customHeight="1">
      <c r="A21" s="712">
        <v>525</v>
      </c>
      <c r="B21" s="503">
        <v>354</v>
      </c>
      <c r="C21" s="715" t="s">
        <v>1089</v>
      </c>
      <c r="D21" s="325">
        <v>4995.0879999999997</v>
      </c>
      <c r="E21" s="172"/>
      <c r="F21" s="1227"/>
      <c r="G21" s="1235"/>
      <c r="H21" s="1236"/>
      <c r="I21" s="141"/>
      <c r="J21" s="4"/>
      <c r="K21" s="4"/>
      <c r="L21" s="709"/>
      <c r="M21" s="2167"/>
      <c r="N21" s="2156"/>
      <c r="O21" s="2110"/>
      <c r="P21" s="1225"/>
      <c r="Q21" s="1187"/>
      <c r="R21" s="1187"/>
      <c r="S21" s="1187"/>
      <c r="T21" s="163"/>
      <c r="V21" s="163"/>
    </row>
    <row r="22" spans="1:22" s="192" customFormat="1" ht="12.75" customHeight="1">
      <c r="A22" s="712">
        <v>527</v>
      </c>
      <c r="B22" s="503">
        <v>356</v>
      </c>
      <c r="C22" s="715" t="s">
        <v>1143</v>
      </c>
      <c r="D22" s="212">
        <v>8532.81</v>
      </c>
      <c r="E22" s="172" t="str">
        <f>IF(D22="","Ange belopp eller 0","")</f>
        <v/>
      </c>
      <c r="F22" s="4"/>
      <c r="G22" s="63"/>
      <c r="H22" s="63"/>
      <c r="I22" s="63"/>
      <c r="J22" s="4"/>
      <c r="K22" s="4"/>
      <c r="L22" s="712">
        <v>527</v>
      </c>
      <c r="M22" s="2169">
        <v>8091.49</v>
      </c>
      <c r="N22" s="2158">
        <f>IF(ISERROR((D22-M22)/M22),0,((D22-M22)/M22))</f>
        <v>5.4541252599953745E-2</v>
      </c>
      <c r="O22" s="2110"/>
      <c r="P22" s="1225"/>
      <c r="Q22" s="1187"/>
      <c r="R22" s="1187"/>
      <c r="S22" s="1187"/>
      <c r="T22" s="163"/>
      <c r="V22" s="163"/>
    </row>
    <row r="23" spans="1:22" s="192" customFormat="1" ht="12.75" customHeight="1">
      <c r="A23" s="712">
        <v>550</v>
      </c>
      <c r="B23" s="503">
        <v>358</v>
      </c>
      <c r="C23" s="715" t="s">
        <v>187</v>
      </c>
      <c r="D23" s="212">
        <v>709.74199999999996</v>
      </c>
      <c r="E23" s="221"/>
      <c r="F23" s="4"/>
      <c r="G23" s="4"/>
      <c r="H23" s="63"/>
      <c r="I23" s="63"/>
      <c r="J23" s="4"/>
      <c r="K23" s="4"/>
      <c r="L23" s="1139"/>
      <c r="M23" s="1127"/>
      <c r="N23" s="2159"/>
      <c r="O23" s="2110"/>
      <c r="P23" s="1225"/>
      <c r="Q23" s="1187"/>
      <c r="R23" s="1187"/>
      <c r="S23" s="1187"/>
      <c r="T23" s="163"/>
      <c r="V23" s="163"/>
    </row>
    <row r="24" spans="1:22" s="192" customFormat="1" ht="12.75" customHeight="1">
      <c r="A24" s="712">
        <v>560</v>
      </c>
      <c r="B24" s="2177">
        <v>357</v>
      </c>
      <c r="C24" s="2182" t="s">
        <v>1051</v>
      </c>
      <c r="D24" s="212">
        <v>662.06</v>
      </c>
      <c r="E24" s="221"/>
      <c r="F24" s="1237"/>
      <c r="G24" s="2187"/>
      <c r="H24" s="2191"/>
      <c r="I24" s="141"/>
      <c r="J24" s="1175"/>
      <c r="K24" s="4"/>
      <c r="L24" s="709"/>
      <c r="M24" s="2167"/>
      <c r="N24" s="2156"/>
      <c r="O24" s="2110"/>
      <c r="P24" s="1225"/>
      <c r="Q24" s="1187"/>
      <c r="R24" s="1413"/>
      <c r="S24" s="1414"/>
      <c r="T24" s="1415"/>
      <c r="V24" s="1227"/>
    </row>
    <row r="25" spans="1:22" s="192" customFormat="1" ht="12.75" customHeight="1">
      <c r="A25" s="1139">
        <v>570</v>
      </c>
      <c r="B25" s="621" t="s">
        <v>1073</v>
      </c>
      <c r="C25" s="1992" t="s">
        <v>1138</v>
      </c>
      <c r="D25" s="97">
        <v>1655.953</v>
      </c>
      <c r="E25" s="1951"/>
      <c r="F25" s="1304" t="s">
        <v>1045</v>
      </c>
      <c r="G25" s="1305" t="s">
        <v>1072</v>
      </c>
      <c r="H25" s="1186" t="s">
        <v>1084</v>
      </c>
      <c r="I25" s="1986">
        <v>850.42600000000004</v>
      </c>
      <c r="J25" s="1158" t="str">
        <f>IF(SUM(I25)&gt;D25,"Däravrad 577 &gt; rad 570",IF(D25=0,"",IF(I25="","Skriv belopp eller 0","")))</f>
        <v/>
      </c>
      <c r="K25" s="4"/>
      <c r="L25" s="1138"/>
      <c r="M25" s="2166"/>
      <c r="N25" s="2155"/>
      <c r="O25" s="2110"/>
      <c r="P25" s="1225"/>
      <c r="Q25" s="1187"/>
      <c r="R25" s="1413"/>
      <c r="S25" s="1414"/>
      <c r="T25" s="1415"/>
      <c r="V25" s="1227"/>
    </row>
    <row r="26" spans="1:22" s="192" customFormat="1" ht="12.75" customHeight="1" thickBot="1">
      <c r="A26" s="713">
        <v>590</v>
      </c>
      <c r="B26" s="509"/>
      <c r="C26" s="2014" t="s">
        <v>668</v>
      </c>
      <c r="D26" s="326">
        <f>SUM(D17:D25)</f>
        <v>63201.065999999999</v>
      </c>
      <c r="E26" s="1951" t="str">
        <f>IF(D25=0,"",IF(OR(SUM(D25-I25)&gt;2000,SUM(D25-I25)/D26&gt;2%),"OBS! Kostn.ers./bidrag från stat. myndigheter, t.ex. Migrationsverket eller Skolverket redovisas på rad 500!",""))</f>
        <v/>
      </c>
      <c r="F26" s="4"/>
      <c r="G26" s="43"/>
      <c r="H26" s="63"/>
      <c r="I26" s="63"/>
      <c r="J26" s="4"/>
      <c r="K26" s="4"/>
      <c r="L26" s="713">
        <v>590</v>
      </c>
      <c r="M26" s="2168">
        <v>63347.851999999999</v>
      </c>
      <c r="N26" s="2157">
        <f>IF(ISERROR((D26-M26)/M26),0,((D26-M26)/M26))</f>
        <v>-2.3171424975861857E-3</v>
      </c>
      <c r="O26" s="2110"/>
      <c r="P26" s="1225"/>
      <c r="Q26" s="1187"/>
      <c r="R26" s="1187"/>
      <c r="S26" s="1187"/>
      <c r="T26" s="163"/>
      <c r="V26" s="1227"/>
    </row>
    <row r="27" spans="1:22" s="192" customFormat="1" ht="12.75" customHeight="1">
      <c r="A27" s="512">
        <v>310</v>
      </c>
      <c r="B27" s="507" t="s">
        <v>772</v>
      </c>
      <c r="C27" s="715" t="s">
        <v>1013</v>
      </c>
      <c r="D27" s="212">
        <v>15744.257</v>
      </c>
      <c r="E27" s="221"/>
      <c r="F27" s="1307" t="s">
        <v>778</v>
      </c>
      <c r="G27" s="1308" t="s">
        <v>773</v>
      </c>
      <c r="H27" s="696" t="s">
        <v>730</v>
      </c>
      <c r="I27" s="273">
        <v>15391.014999999999</v>
      </c>
      <c r="J27" s="1158"/>
      <c r="K27" s="4"/>
      <c r="L27" s="1140"/>
      <c r="M27" s="2165"/>
      <c r="N27" s="2154"/>
      <c r="O27" s="2110"/>
      <c r="P27" s="1225"/>
      <c r="Q27" s="1227"/>
      <c r="R27" s="1227"/>
      <c r="S27" s="1227"/>
      <c r="T27" s="1235"/>
      <c r="V27" s="1227"/>
    </row>
    <row r="28" spans="1:22" s="192" customFormat="1" ht="12.75" customHeight="1">
      <c r="A28" s="512">
        <v>320</v>
      </c>
      <c r="B28" s="670" t="s">
        <v>772</v>
      </c>
      <c r="C28" s="715" t="s">
        <v>1042</v>
      </c>
      <c r="D28" s="212">
        <v>503.82900000000001</v>
      </c>
      <c r="E28" s="221"/>
      <c r="F28" s="1893" t="s">
        <v>779</v>
      </c>
      <c r="G28" s="517">
        <v>361</v>
      </c>
      <c r="H28" s="1894" t="s">
        <v>1015</v>
      </c>
      <c r="I28" s="1863">
        <v>452.06400000000002</v>
      </c>
      <c r="J28" s="1158"/>
      <c r="K28" s="4"/>
      <c r="L28" s="726"/>
      <c r="M28" s="2166"/>
      <c r="N28" s="2155"/>
      <c r="O28" s="2110"/>
      <c r="P28" s="1225"/>
      <c r="Q28" s="1227"/>
      <c r="R28" s="1227"/>
      <c r="S28" s="1227"/>
      <c r="T28" s="1235"/>
      <c r="V28" s="1227"/>
    </row>
    <row r="29" spans="1:22" s="192" customFormat="1" ht="12.75" customHeight="1">
      <c r="A29" s="512">
        <v>321</v>
      </c>
      <c r="B29" s="670" t="s">
        <v>772</v>
      </c>
      <c r="C29" s="715" t="s">
        <v>1014</v>
      </c>
      <c r="D29" s="212">
        <v>511.22</v>
      </c>
      <c r="E29" s="221"/>
      <c r="F29" s="2185" t="s">
        <v>1041</v>
      </c>
      <c r="G29" s="2188">
        <v>361</v>
      </c>
      <c r="H29" s="2192" t="s">
        <v>1141</v>
      </c>
      <c r="I29" s="1980">
        <v>367.37599999999998</v>
      </c>
      <c r="J29" s="1158" t="str">
        <f>IF(SUM(I29)&gt;D29,"Däravrad 328 &gt; rad 321",IF(D29=0,"",IF(I29="","Skriv belopp eller 0","")))</f>
        <v/>
      </c>
      <c r="K29" s="4"/>
      <c r="L29" s="726"/>
      <c r="M29" s="2166"/>
      <c r="N29" s="2155"/>
      <c r="O29" s="2110"/>
      <c r="P29" s="1225"/>
      <c r="Q29" s="1227"/>
      <c r="R29" s="1227"/>
      <c r="S29" s="1227"/>
      <c r="T29" s="1235"/>
      <c r="V29" s="163"/>
    </row>
    <row r="30" spans="1:22" s="192" customFormat="1" ht="12.75" customHeight="1">
      <c r="A30" s="510">
        <v>380</v>
      </c>
      <c r="B30" s="1306" t="s">
        <v>763</v>
      </c>
      <c r="C30" s="715" t="s">
        <v>1144</v>
      </c>
      <c r="D30" s="212">
        <v>5432.857</v>
      </c>
      <c r="E30" s="221"/>
      <c r="F30" s="1395" t="s">
        <v>1081</v>
      </c>
      <c r="G30" s="1993">
        <v>365</v>
      </c>
      <c r="H30" s="1994" t="s">
        <v>1074</v>
      </c>
      <c r="I30" s="1981">
        <v>203.46600000000001</v>
      </c>
      <c r="J30" s="1175" t="str">
        <f>IF(SUM(I30)&gt;D30,"Däravrad 329 &gt; rad 380",IF(D30=0,"",IF(I30="","Skriv belopp eller 0","")))</f>
        <v/>
      </c>
      <c r="K30" s="4"/>
      <c r="L30" s="512"/>
      <c r="M30" s="2167"/>
      <c r="N30" s="2156"/>
      <c r="O30" s="2110"/>
      <c r="P30" s="1225"/>
      <c r="Q30" s="1227"/>
      <c r="R30" s="1227"/>
      <c r="S30" s="1227"/>
      <c r="T30" s="163"/>
    </row>
    <row r="31" spans="1:22" s="192" customFormat="1" ht="12.75" customHeight="1" thickBot="1">
      <c r="A31" s="514">
        <v>390</v>
      </c>
      <c r="B31" s="504"/>
      <c r="C31" s="2183" t="s">
        <v>732</v>
      </c>
      <c r="D31" s="327">
        <f>SUM(D27:D30)</f>
        <v>22192.163</v>
      </c>
      <c r="E31" s="221"/>
      <c r="F31" s="2186"/>
      <c r="G31" s="2189"/>
      <c r="H31" s="2193"/>
      <c r="I31" s="1979"/>
      <c r="J31" s="4"/>
      <c r="K31" s="4"/>
      <c r="L31" s="521">
        <v>390</v>
      </c>
      <c r="M31" s="2168">
        <v>21176.502</v>
      </c>
      <c r="N31" s="2157">
        <f>IF(ISERROR((D31-M31)/M31),0,((D31-M31)/M31))</f>
        <v>4.7961698301258633E-2</v>
      </c>
      <c r="O31" s="2110"/>
      <c r="P31" s="1225"/>
      <c r="Q31" s="1227"/>
      <c r="R31" s="1227"/>
      <c r="S31" s="1227"/>
      <c r="T31" s="163"/>
    </row>
    <row r="32" spans="1:22" s="192" customFormat="1" ht="12.75" customHeight="1" thickBot="1">
      <c r="A32" s="501">
        <v>891</v>
      </c>
      <c r="B32" s="2178">
        <v>37</v>
      </c>
      <c r="C32" s="1996" t="s">
        <v>1075</v>
      </c>
      <c r="D32" s="213">
        <v>7770.2039999999997</v>
      </c>
      <c r="E32" s="221"/>
      <c r="F32" s="1304" t="s">
        <v>225</v>
      </c>
      <c r="G32" s="1995">
        <v>373</v>
      </c>
      <c r="H32" s="886" t="s">
        <v>1078</v>
      </c>
      <c r="I32" s="1947">
        <v>1996.7090000000001</v>
      </c>
      <c r="J32" s="1175" t="str">
        <f>IF(SUM(I32)&gt;D32,"Däravrad 330 &gt; rad 891",IF(D32=0,"",IF(I32="","Skriv belopp eller 0","")))</f>
        <v/>
      </c>
      <c r="K32" s="4"/>
      <c r="L32" s="1140"/>
      <c r="M32" s="2165"/>
      <c r="N32" s="2154"/>
      <c r="O32" s="2110"/>
      <c r="P32" s="1225"/>
      <c r="Q32" s="1413"/>
      <c r="R32" s="1416"/>
      <c r="S32" s="1416"/>
      <c r="T32" s="163"/>
    </row>
    <row r="33" spans="1:25" s="192" customFormat="1" ht="12.75" customHeight="1">
      <c r="A33" s="502">
        <v>892</v>
      </c>
      <c r="B33" s="2005">
        <v>38</v>
      </c>
      <c r="C33" s="715" t="s">
        <v>862</v>
      </c>
      <c r="D33" s="213">
        <v>1682.672</v>
      </c>
      <c r="E33" s="221"/>
      <c r="F33" s="1978"/>
      <c r="G33" s="1978"/>
      <c r="H33" s="1977"/>
      <c r="I33" s="63"/>
      <c r="J33" s="4"/>
      <c r="K33" s="4"/>
      <c r="L33" s="726"/>
      <c r="M33" s="2166"/>
      <c r="N33" s="2155"/>
      <c r="O33" s="2110"/>
      <c r="P33" s="1225"/>
      <c r="Q33" s="1413"/>
      <c r="R33" s="1417"/>
      <c r="S33" s="1417"/>
      <c r="T33" s="163"/>
    </row>
    <row r="34" spans="1:25" s="192" customFormat="1" ht="12.75" customHeight="1" thickBot="1">
      <c r="A34" s="500">
        <v>894</v>
      </c>
      <c r="B34" s="509"/>
      <c r="C34" s="505" t="s">
        <v>442</v>
      </c>
      <c r="D34" s="285">
        <v>6.05</v>
      </c>
      <c r="E34" s="221" t="str">
        <f>IF(D34&lt;50,"","Vad avser övr.periodiseringar?")</f>
        <v/>
      </c>
      <c r="F34" s="2110"/>
      <c r="G34" s="2110"/>
      <c r="H34" s="2110"/>
      <c r="I34" s="2110"/>
      <c r="J34" s="2110"/>
      <c r="K34" s="4"/>
      <c r="L34" s="726"/>
      <c r="M34" s="2166"/>
      <c r="N34" s="2155"/>
      <c r="O34" s="2110"/>
      <c r="P34" s="1225"/>
      <c r="Q34" s="1413"/>
      <c r="R34" s="1227"/>
      <c r="S34" s="1227"/>
      <c r="T34" s="163"/>
    </row>
    <row r="35" spans="1:25" s="192" customFormat="1" ht="16.5" customHeight="1" thickBot="1">
      <c r="A35" s="506">
        <v>886</v>
      </c>
      <c r="B35" s="507"/>
      <c r="C35" s="2027" t="s">
        <v>1139</v>
      </c>
      <c r="D35" s="328">
        <f>SUM(D8+D12+D16+D26+D31+D32+D33+D34)</f>
        <v>179262.25399999999</v>
      </c>
      <c r="E35" s="1862"/>
      <c r="F35" s="2110"/>
      <c r="G35" s="2110"/>
      <c r="H35" s="2110"/>
      <c r="I35" s="2110"/>
      <c r="J35" s="2110"/>
      <c r="K35" s="4"/>
      <c r="L35" s="508"/>
      <c r="M35" s="1129"/>
      <c r="N35" s="2160"/>
      <c r="O35" s="2110"/>
      <c r="P35" s="1225"/>
      <c r="Q35" s="1227"/>
      <c r="R35" s="1227"/>
      <c r="S35" s="1227"/>
      <c r="T35" s="163"/>
    </row>
    <row r="36" spans="1:25" s="192" customFormat="1" ht="13.5" thickBot="1">
      <c r="A36" s="508">
        <v>896</v>
      </c>
      <c r="B36" s="509"/>
      <c r="C36" s="564" t="s">
        <v>89</v>
      </c>
      <c r="D36" s="286">
        <f>RR!C7</f>
        <v>179262.255</v>
      </c>
      <c r="F36" s="2110"/>
      <c r="G36" s="2110"/>
      <c r="H36" s="2110"/>
      <c r="I36" s="2110"/>
      <c r="J36" s="2110"/>
      <c r="K36" s="4"/>
      <c r="M36" s="17"/>
      <c r="N36" s="163"/>
      <c r="O36" s="2110"/>
      <c r="Q36" s="1227"/>
      <c r="R36" s="1187"/>
      <c r="S36" s="1187"/>
      <c r="T36" s="163"/>
    </row>
    <row r="37" spans="1:25" s="192" customFormat="1" ht="45" customHeight="1" thickBot="1">
      <c r="A37" s="1864" t="s">
        <v>354</v>
      </c>
      <c r="B37" s="4"/>
      <c r="C37" s="4"/>
      <c r="D37" s="1899" t="str">
        <f>IF(ABS(D35-D36)&lt;50,"",IF(OR(D35=0,D36=0),"",IF((SUM(D35)/(D36))&lt;&gt;1,(ROUND(D35-D36,0))&amp;" Mnkr diff. mellan verks. intäkter i RR och verks.intäkter här - måste rättas!","")))</f>
        <v/>
      </c>
      <c r="E37" s="221"/>
      <c r="F37" s="164"/>
      <c r="G37" s="165"/>
      <c r="H37" s="207"/>
      <c r="I37" s="63"/>
      <c r="J37" s="4"/>
      <c r="K37" s="4"/>
      <c r="L37" s="1174" t="str">
        <f>"Kontroller av förändring mellan "&amp;År-1&amp;" och "&amp;År&amp;""</f>
        <v>Kontroller av förändring mellan 2023 och 2024</v>
      </c>
      <c r="N37" s="2129"/>
      <c r="O37" s="2110"/>
      <c r="Q37" s="163"/>
      <c r="R37" s="163"/>
      <c r="S37" s="163"/>
      <c r="T37" s="163"/>
    </row>
    <row r="38" spans="1:25" s="192" customFormat="1" ht="45" customHeight="1" thickBot="1">
      <c r="A38" s="2031" t="s">
        <v>941</v>
      </c>
      <c r="B38" s="2028" t="str">
        <f>"BAS "&amp;År-2000&amp;""</f>
        <v>BAS 24</v>
      </c>
      <c r="C38" s="2029"/>
      <c r="D38" s="717"/>
      <c r="E38" s="221"/>
      <c r="F38" s="71" t="s">
        <v>717</v>
      </c>
      <c r="G38" s="198"/>
      <c r="H38" s="199"/>
      <c r="I38" s="209"/>
      <c r="J38" s="174"/>
      <c r="K38" s="174"/>
      <c r="L38" s="2044" t="s">
        <v>941</v>
      </c>
      <c r="M38" s="2043" t="str">
        <f>"Värde Mnkr "&amp;År-1&amp;""</f>
        <v>Värde Mnkr 2023</v>
      </c>
      <c r="N38" s="2152" t="str">
        <f>"Förändring "&amp;År-1&amp;" - "&amp;År&amp;" procent"</f>
        <v>Förändring 2023 - 2024 procent</v>
      </c>
      <c r="O38" s="2110"/>
      <c r="P38" s="1224"/>
      <c r="Q38" s="85"/>
      <c r="R38" s="1228"/>
      <c r="S38" s="85"/>
      <c r="T38" s="1173"/>
      <c r="U38" s="191"/>
      <c r="V38" s="191"/>
      <c r="W38" s="191"/>
      <c r="X38" s="191"/>
      <c r="Y38" s="191"/>
    </row>
    <row r="39" spans="1:25" s="191" customFormat="1" ht="13.5" hidden="1" thickBot="1">
      <c r="A39" s="722" t="s">
        <v>605</v>
      </c>
      <c r="B39" s="2003"/>
      <c r="C39" s="724"/>
      <c r="D39" s="718"/>
      <c r="E39" s="221"/>
      <c r="F39" s="200"/>
      <c r="G39" s="6"/>
      <c r="H39" s="1870"/>
      <c r="I39" s="207"/>
      <c r="J39" s="174"/>
      <c r="K39" s="174"/>
      <c r="L39" s="727" t="s">
        <v>605</v>
      </c>
      <c r="M39" s="728">
        <f>År-1</f>
        <v>2023</v>
      </c>
      <c r="N39" s="2153" t="str">
        <f>År-1&amp;-År</f>
        <v>2023-2024</v>
      </c>
      <c r="O39" s="2110"/>
      <c r="P39" s="1224"/>
      <c r="Q39" s="248"/>
      <c r="R39" s="1236"/>
      <c r="S39" s="1201"/>
      <c r="T39" s="1411"/>
    </row>
    <row r="40" spans="1:25" s="192" customFormat="1" ht="12.75" customHeight="1">
      <c r="A40" s="726">
        <v>600</v>
      </c>
      <c r="B40" s="2030">
        <v>451</v>
      </c>
      <c r="C40" s="1876" t="s">
        <v>669</v>
      </c>
      <c r="D40" s="1354">
        <v>12324.656999999999</v>
      </c>
      <c r="E40" s="221"/>
      <c r="F40" s="657">
        <v>602</v>
      </c>
      <c r="G40" s="658">
        <v>4513</v>
      </c>
      <c r="H40" s="659" t="s">
        <v>150</v>
      </c>
      <c r="I40" s="2486">
        <v>102.548</v>
      </c>
      <c r="J40" s="135"/>
      <c r="K40" s="135"/>
      <c r="L40" s="1140"/>
      <c r="M40" s="1136"/>
      <c r="N40" s="2154"/>
      <c r="O40" s="2110"/>
      <c r="P40" s="1222"/>
      <c r="Q40" s="1227"/>
      <c r="R40" s="1235"/>
      <c r="S40" s="1235"/>
      <c r="T40" s="1227"/>
    </row>
    <row r="41" spans="1:25" s="192" customFormat="1" ht="12.75">
      <c r="A41" s="519">
        <v>610</v>
      </c>
      <c r="B41" s="520">
        <v>452</v>
      </c>
      <c r="C41" s="513" t="s">
        <v>670</v>
      </c>
      <c r="D41" s="95">
        <v>1074.17</v>
      </c>
      <c r="E41" s="221"/>
      <c r="F41" s="1944">
        <v>630</v>
      </c>
      <c r="G41" s="622">
        <v>4538</v>
      </c>
      <c r="H41" s="2149" t="s">
        <v>1091</v>
      </c>
      <c r="I41" s="2485">
        <v>4595.835</v>
      </c>
      <c r="J41" s="277"/>
      <c r="K41" s="277"/>
      <c r="L41" s="726"/>
      <c r="M41" s="704"/>
      <c r="N41" s="2155"/>
      <c r="O41" s="2110"/>
      <c r="P41" s="1222"/>
      <c r="Q41" s="1227"/>
      <c r="R41" s="1235"/>
      <c r="S41" s="1235"/>
      <c r="T41" s="1227"/>
    </row>
    <row r="42" spans="1:25" s="192" customFormat="1" ht="18" customHeight="1">
      <c r="A42" s="519">
        <v>620</v>
      </c>
      <c r="B42" s="517">
        <v>453</v>
      </c>
      <c r="C42" s="2142" t="s">
        <v>1090</v>
      </c>
      <c r="D42" s="171">
        <v>15157.406000000001</v>
      </c>
      <c r="E42" s="221"/>
      <c r="F42" s="1990">
        <v>631</v>
      </c>
      <c r="G42" s="2489" t="s">
        <v>966</v>
      </c>
      <c r="H42" s="2490" t="s">
        <v>970</v>
      </c>
      <c r="I42" s="2491">
        <v>2037.43</v>
      </c>
      <c r="J42" s="135"/>
      <c r="K42" s="135"/>
      <c r="L42" s="512"/>
      <c r="M42" s="719"/>
      <c r="N42" s="2156"/>
      <c r="O42" s="2110"/>
      <c r="P42" s="1222"/>
      <c r="Q42" s="1227"/>
      <c r="R42" s="1235"/>
      <c r="S42" s="1235"/>
      <c r="T42" s="1227"/>
    </row>
    <row r="43" spans="1:25" s="192" customFormat="1" ht="12.75" customHeight="1">
      <c r="A43" s="621">
        <v>650</v>
      </c>
      <c r="B43" s="517">
        <v>454</v>
      </c>
      <c r="C43" s="518" t="s">
        <v>889</v>
      </c>
      <c r="D43" s="171">
        <v>1627.883</v>
      </c>
      <c r="E43" s="221"/>
      <c r="F43" s="2487" t="s">
        <v>777</v>
      </c>
      <c r="G43" s="620" t="s">
        <v>731</v>
      </c>
      <c r="H43" s="698" t="s">
        <v>890</v>
      </c>
      <c r="I43" s="2488">
        <v>1308.1579999999999</v>
      </c>
      <c r="J43" s="2050"/>
      <c r="K43" s="135"/>
      <c r="L43" s="726"/>
      <c r="M43" s="704"/>
      <c r="N43" s="2155"/>
      <c r="O43" s="2110"/>
      <c r="P43" s="1222"/>
      <c r="Q43" s="1227"/>
      <c r="R43" s="1235"/>
      <c r="S43" s="1235"/>
      <c r="T43" s="1227"/>
    </row>
    <row r="44" spans="1:25" s="192" customFormat="1" ht="13.5" thickBot="1">
      <c r="A44" s="508">
        <v>690</v>
      </c>
      <c r="B44" s="522"/>
      <c r="C44" s="499" t="s">
        <v>733</v>
      </c>
      <c r="D44" s="329">
        <f>SUM(D40,D41,D42,D43)</f>
        <v>30184.116000000002</v>
      </c>
      <c r="E44" s="221"/>
      <c r="F44" s="1990">
        <v>652</v>
      </c>
      <c r="G44" s="517">
        <v>4542</v>
      </c>
      <c r="H44" s="2492" t="s">
        <v>891</v>
      </c>
      <c r="I44" s="2497">
        <v>312.721</v>
      </c>
      <c r="J44" s="2050"/>
      <c r="L44" s="521">
        <v>690</v>
      </c>
      <c r="M44" s="1131">
        <v>28997.053</v>
      </c>
      <c r="N44" s="2157">
        <f>IF(ISERROR((D44-M44)/M44),0,((D44-M44)/M44))</f>
        <v>4.0937366980016966E-2</v>
      </c>
      <c r="O44" s="2110"/>
      <c r="P44" s="1226"/>
      <c r="Q44" s="1227"/>
      <c r="R44" s="1228"/>
      <c r="S44" s="1235"/>
      <c r="T44" s="1227"/>
      <c r="V44" s="1221"/>
    </row>
    <row r="45" spans="1:25" s="192" customFormat="1" ht="23.25" customHeight="1">
      <c r="A45" s="523">
        <v>100</v>
      </c>
      <c r="B45" s="1310" t="s">
        <v>1052</v>
      </c>
      <c r="C45" s="525" t="s">
        <v>671</v>
      </c>
      <c r="D45" s="95">
        <v>333508.01</v>
      </c>
      <c r="E45" s="221"/>
      <c r="F45" s="660">
        <v>102</v>
      </c>
      <c r="G45" s="736">
        <v>512</v>
      </c>
      <c r="H45" s="2496" t="s">
        <v>151</v>
      </c>
      <c r="I45" s="22">
        <v>7158.308</v>
      </c>
      <c r="J45" s="135"/>
      <c r="K45" s="135"/>
      <c r="L45" s="709">
        <v>100</v>
      </c>
      <c r="M45" s="1130">
        <v>323333.21000000002</v>
      </c>
      <c r="N45" s="2156">
        <f>IF(ISERROR((D45-M45)/M45),0,((D45-M45)/M45))</f>
        <v>3.1468465611682719E-2</v>
      </c>
      <c r="O45" s="2110"/>
      <c r="P45" s="1222"/>
      <c r="Q45" s="1187"/>
      <c r="R45" s="1885"/>
      <c r="S45" s="1418"/>
      <c r="T45" s="1227"/>
    </row>
    <row r="46" spans="1:25" s="192" customFormat="1" ht="21" customHeight="1">
      <c r="A46" s="510">
        <v>110</v>
      </c>
      <c r="B46" s="1901" t="s">
        <v>1053</v>
      </c>
      <c r="C46" s="511" t="str">
        <f>"Sociala avg. enl. lag o. avtal (inkl. lönesk för "&amp;År&amp;"), exkl särskild löneskatt på avsättning för pensioner"</f>
        <v>Sociala avg. enl. lag o. avtal (inkl. lönesk för 2024), exkl särskild löneskatt på avsättning för pensioner</v>
      </c>
      <c r="D46" s="292">
        <v>114287.564</v>
      </c>
      <c r="E46" s="221"/>
      <c r="F46" s="2493">
        <v>111</v>
      </c>
      <c r="G46" s="2494" t="s">
        <v>724</v>
      </c>
      <c r="H46" s="537" t="s">
        <v>1163</v>
      </c>
      <c r="I46" s="2495">
        <v>10345.156000000001</v>
      </c>
      <c r="J46" s="135"/>
      <c r="K46" s="135"/>
      <c r="L46" s="1138"/>
      <c r="M46" s="985"/>
      <c r="N46" s="2155"/>
      <c r="O46" s="2110"/>
      <c r="P46" s="1222"/>
      <c r="Q46" s="1187"/>
      <c r="R46" s="1904"/>
      <c r="S46" s="1418"/>
      <c r="T46" s="1227"/>
    </row>
    <row r="47" spans="1:25" s="192" customFormat="1" ht="13.5" customHeight="1">
      <c r="A47" s="1961">
        <v>103</v>
      </c>
      <c r="B47" s="1905">
        <v>591</v>
      </c>
      <c r="C47" s="513" t="s">
        <v>1145</v>
      </c>
      <c r="D47" s="95">
        <v>-1733.011</v>
      </c>
      <c r="E47" s="221"/>
      <c r="F47" s="1907"/>
      <c r="G47" s="1908"/>
      <c r="H47" s="1909"/>
      <c r="I47" s="1939"/>
      <c r="J47" s="135"/>
      <c r="K47" s="135"/>
      <c r="L47" s="1138"/>
      <c r="M47" s="985"/>
      <c r="N47" s="2155"/>
      <c r="O47" s="2110"/>
      <c r="P47" s="1222"/>
      <c r="Q47" s="1187"/>
      <c r="R47" s="1904"/>
      <c r="S47" s="1418"/>
      <c r="T47" s="1227"/>
    </row>
    <row r="48" spans="1:25" s="192" customFormat="1" ht="13.5" customHeight="1">
      <c r="A48" s="2111">
        <v>104</v>
      </c>
      <c r="B48" s="2179" t="s">
        <v>1203</v>
      </c>
      <c r="C48" s="2184" t="s">
        <v>1204</v>
      </c>
      <c r="D48" s="95">
        <v>-106.923</v>
      </c>
      <c r="E48" s="221"/>
      <c r="F48" s="1227"/>
      <c r="G48" s="2051"/>
      <c r="H48" s="1236"/>
      <c r="I48" s="29"/>
      <c r="J48" s="135"/>
      <c r="K48" s="135"/>
      <c r="L48" s="1138"/>
      <c r="M48" s="985"/>
      <c r="N48" s="2155"/>
      <c r="O48" s="2110"/>
      <c r="P48" s="1222"/>
      <c r="Q48" s="1187"/>
      <c r="R48" s="2051"/>
      <c r="S48" s="1418"/>
      <c r="T48" s="1227"/>
    </row>
    <row r="49" spans="1:20" s="192" customFormat="1" ht="12.75" customHeight="1">
      <c r="A49" s="512">
        <v>115</v>
      </c>
      <c r="B49" s="1902" t="s">
        <v>1054</v>
      </c>
      <c r="C49" s="513" t="s">
        <v>1146</v>
      </c>
      <c r="D49" s="95">
        <v>14681.837</v>
      </c>
      <c r="E49" s="221" t="str">
        <f>IF(ABS(D49-Drift!P119)&gt;50,"beloppet avviker med" &amp;" "&amp;(ROUND(D49-Drift!P119,0))&amp;" tkr från beloppet på rad 980 i driften - rätta eller kommentera","")</f>
        <v/>
      </c>
      <c r="F49" s="1910"/>
      <c r="G49" s="1911"/>
      <c r="H49" s="1912"/>
      <c r="I49" s="1906"/>
      <c r="J49" s="135"/>
      <c r="L49" s="512">
        <v>115</v>
      </c>
      <c r="M49" s="1130">
        <v>8279.9220000000005</v>
      </c>
      <c r="N49" s="2156">
        <f>IF(ISERROR((D49-M49)/M49),0,((D49-M49)/M49))</f>
        <v>0.77318542372742138</v>
      </c>
      <c r="O49" s="2110"/>
      <c r="P49" s="1222"/>
      <c r="Q49" s="1227"/>
      <c r="R49" s="1227"/>
      <c r="S49" s="1227"/>
      <c r="T49" s="1227"/>
    </row>
    <row r="50" spans="1:20" s="192" customFormat="1" ht="13.5" customHeight="1">
      <c r="A50" s="514">
        <v>120</v>
      </c>
      <c r="B50" s="515">
        <v>573</v>
      </c>
      <c r="C50" s="513" t="s">
        <v>884</v>
      </c>
      <c r="D50" s="215">
        <v>12766.88</v>
      </c>
      <c r="E50" s="221"/>
      <c r="F50" s="657">
        <v>121</v>
      </c>
      <c r="G50" s="658" t="s">
        <v>535</v>
      </c>
      <c r="H50" s="696" t="s">
        <v>766</v>
      </c>
      <c r="I50" s="273">
        <v>1996.7940000000001</v>
      </c>
      <c r="J50" s="1158"/>
      <c r="L50" s="510">
        <v>120</v>
      </c>
      <c r="M50" s="1124">
        <v>11543.96</v>
      </c>
      <c r="N50" s="2158">
        <f>IF(ISERROR((D50-M50)/M50),0,((D50-M50)/M50))</f>
        <v>0.10593591800387391</v>
      </c>
      <c r="O50" s="2110"/>
      <c r="P50" s="1225"/>
      <c r="Q50" s="1227"/>
      <c r="R50" s="1235"/>
      <c r="S50" s="1235"/>
      <c r="T50" s="1227"/>
    </row>
    <row r="51" spans="1:20" s="192" customFormat="1" ht="12.75">
      <c r="A51" s="514">
        <v>180</v>
      </c>
      <c r="B51" s="517">
        <v>571</v>
      </c>
      <c r="C51" s="513" t="s">
        <v>734</v>
      </c>
      <c r="D51" s="171">
        <v>7758.7759999999998</v>
      </c>
      <c r="E51" s="221"/>
      <c r="F51" s="660">
        <v>122</v>
      </c>
      <c r="G51" s="622" t="s">
        <v>536</v>
      </c>
      <c r="H51" s="698" t="s">
        <v>1154</v>
      </c>
      <c r="I51" s="274">
        <v>10556.44</v>
      </c>
      <c r="J51" s="1847"/>
      <c r="K51" s="4"/>
      <c r="L51" s="514"/>
      <c r="M51" s="994"/>
      <c r="N51" s="2159"/>
      <c r="O51" s="2110"/>
      <c r="P51" s="1222"/>
      <c r="Q51" s="1227"/>
      <c r="R51" s="1235"/>
      <c r="S51" s="1235"/>
      <c r="T51" s="1227"/>
    </row>
    <row r="52" spans="1:20" s="192" customFormat="1" ht="12.75">
      <c r="A52" s="519">
        <v>186</v>
      </c>
      <c r="B52" s="520">
        <v>574</v>
      </c>
      <c r="C52" s="513" t="s">
        <v>3</v>
      </c>
      <c r="D52" s="95">
        <v>108.535</v>
      </c>
      <c r="E52" s="221"/>
      <c r="F52" s="662">
        <v>123</v>
      </c>
      <c r="G52" s="731">
        <v>5733</v>
      </c>
      <c r="H52" s="537" t="s">
        <v>1155</v>
      </c>
      <c r="I52" s="275">
        <v>213.63800000000001</v>
      </c>
      <c r="J52" s="1847" t="str">
        <f>IF(I52="","Ange belopp eller 0",IF((SUM(I50:I52)-D50)&gt;1,"Däravraderna 121+122+123 &gt; rad 120",""))</f>
        <v/>
      </c>
      <c r="K52" s="150"/>
      <c r="L52" s="726"/>
      <c r="M52" s="985"/>
      <c r="N52" s="2155"/>
      <c r="O52" s="2110"/>
      <c r="P52" s="1222"/>
      <c r="Q52" s="1227"/>
      <c r="R52" s="1235"/>
      <c r="S52" s="1235"/>
      <c r="T52" s="1227"/>
    </row>
    <row r="53" spans="1:20" s="192" customFormat="1" ht="12.75">
      <c r="A53" s="519">
        <v>185</v>
      </c>
      <c r="B53" s="517">
        <v>575</v>
      </c>
      <c r="C53" s="518" t="str">
        <f>"Pensionskostnad, avgiftsbestämd ålderspension"</f>
        <v>Pensionskostnad, avgiftsbestämd ålderspension</v>
      </c>
      <c r="D53" s="171">
        <v>22901.707999999999</v>
      </c>
      <c r="E53" s="1826"/>
      <c r="F53" s="4"/>
      <c r="G53" s="4"/>
      <c r="H53" s="63"/>
      <c r="K53" s="4"/>
      <c r="L53" s="726"/>
      <c r="M53" s="985"/>
      <c r="N53" s="2155"/>
      <c r="O53" s="2110"/>
      <c r="P53" s="1222"/>
      <c r="Q53" s="1227"/>
      <c r="R53" s="1235"/>
      <c r="S53" s="1235"/>
      <c r="T53" s="163"/>
    </row>
    <row r="54" spans="1:20" s="192" customFormat="1" ht="13.5" thickBot="1">
      <c r="A54" s="521">
        <v>189</v>
      </c>
      <c r="B54" s="522"/>
      <c r="C54" s="499" t="s">
        <v>672</v>
      </c>
      <c r="D54" s="329">
        <f>SUM(D45:D53)</f>
        <v>504173.37599999999</v>
      </c>
      <c r="E54" s="221"/>
      <c r="F54" s="4"/>
      <c r="G54" s="4"/>
      <c r="H54" s="63"/>
      <c r="I54" s="63"/>
      <c r="L54" s="521"/>
      <c r="M54" s="1131"/>
      <c r="N54" s="2157"/>
      <c r="O54" s="2110"/>
      <c r="P54" s="1226"/>
      <c r="Q54" s="1227"/>
      <c r="R54" s="1228"/>
      <c r="S54" s="1228"/>
      <c r="T54" s="163"/>
    </row>
    <row r="55" spans="1:20" s="192" customFormat="1" ht="12.75">
      <c r="A55" s="523">
        <v>300</v>
      </c>
      <c r="B55" s="520" t="s">
        <v>762</v>
      </c>
      <c r="C55" s="513" t="s">
        <v>1147</v>
      </c>
      <c r="D55" s="95">
        <v>12297.746999999999</v>
      </c>
      <c r="E55" s="221"/>
      <c r="F55" s="654">
        <v>318</v>
      </c>
      <c r="G55" s="729">
        <v>628</v>
      </c>
      <c r="H55" s="730" t="s">
        <v>152</v>
      </c>
      <c r="I55" s="219">
        <v>799.89800000000002</v>
      </c>
      <c r="J55" s="135" t="str">
        <f>IF(SUM(I55)&gt;D55,"Däravrad 318 &gt; rad 300",IF(I55="","Belopp saknas",""))</f>
        <v/>
      </c>
      <c r="K55" s="135"/>
      <c r="L55" s="1140"/>
      <c r="M55" s="1161"/>
      <c r="N55" s="2154"/>
      <c r="O55" s="2110"/>
      <c r="P55" s="1222"/>
      <c r="Q55" s="1187"/>
      <c r="R55" s="1250"/>
      <c r="S55" s="1235"/>
      <c r="T55" s="1227"/>
    </row>
    <row r="56" spans="1:20" s="192" customFormat="1" ht="12.75">
      <c r="A56" s="519">
        <v>325</v>
      </c>
      <c r="B56" s="520">
        <v>644</v>
      </c>
      <c r="C56" s="513" t="s">
        <v>673</v>
      </c>
      <c r="D56" s="95">
        <v>9594.8970000000008</v>
      </c>
      <c r="E56" s="221"/>
      <c r="F56" s="4"/>
      <c r="G56" s="4"/>
      <c r="H56" s="63"/>
      <c r="K56" s="4"/>
      <c r="L56" s="726"/>
      <c r="M56" s="985"/>
      <c r="N56" s="2155"/>
      <c r="O56" s="2110"/>
      <c r="P56" s="1222"/>
      <c r="Q56" s="1227"/>
      <c r="R56" s="1235"/>
      <c r="S56" s="1235"/>
      <c r="T56" s="163"/>
    </row>
    <row r="57" spans="1:20" s="192" customFormat="1" ht="12.75">
      <c r="A57" s="519">
        <v>330</v>
      </c>
      <c r="B57" s="520">
        <v>651</v>
      </c>
      <c r="C57" s="513" t="s">
        <v>674</v>
      </c>
      <c r="D57" s="95">
        <v>379.08199999999999</v>
      </c>
      <c r="E57" s="221"/>
      <c r="F57" s="4"/>
      <c r="G57" s="4"/>
      <c r="H57" s="63"/>
      <c r="I57" s="63"/>
      <c r="L57" s="726"/>
      <c r="M57" s="985"/>
      <c r="N57" s="2155"/>
      <c r="O57" s="2110"/>
      <c r="P57" s="1222"/>
      <c r="Q57" s="1227"/>
      <c r="R57" s="1235"/>
      <c r="S57" s="1235"/>
      <c r="T57" s="163"/>
    </row>
    <row r="58" spans="1:20" s="192" customFormat="1" ht="12.75">
      <c r="A58" s="519">
        <v>340</v>
      </c>
      <c r="B58" s="524" t="s">
        <v>650</v>
      </c>
      <c r="C58" s="525" t="s">
        <v>675</v>
      </c>
      <c r="D58" s="95">
        <v>19684.699000000001</v>
      </c>
      <c r="E58" s="221"/>
      <c r="F58" s="1307" t="s">
        <v>776</v>
      </c>
      <c r="G58" s="2190">
        <v>641</v>
      </c>
      <c r="H58" s="2194" t="s">
        <v>741</v>
      </c>
      <c r="I58" s="1552">
        <v>4027.0410000000002</v>
      </c>
      <c r="J58" s="135"/>
      <c r="K58" s="4"/>
      <c r="L58" s="512"/>
      <c r="M58" s="1130"/>
      <c r="N58" s="2156"/>
      <c r="O58" s="2110"/>
      <c r="P58" s="1222"/>
      <c r="Q58" s="1227"/>
      <c r="R58" s="1250"/>
      <c r="S58" s="1235"/>
      <c r="T58" s="1250"/>
    </row>
    <row r="59" spans="1:20" s="192" customFormat="1" ht="13.5" thickBot="1">
      <c r="A59" s="521">
        <v>360</v>
      </c>
      <c r="B59" s="526"/>
      <c r="C59" s="527" t="s">
        <v>676</v>
      </c>
      <c r="D59" s="329">
        <f>SUM(D55,D56,D57,D58)</f>
        <v>41956.425000000003</v>
      </c>
      <c r="E59" s="221"/>
      <c r="F59" s="1309" t="s">
        <v>919</v>
      </c>
      <c r="G59" s="1997">
        <v>418</v>
      </c>
      <c r="H59" s="2006" t="s">
        <v>1092</v>
      </c>
      <c r="I59" s="1210">
        <v>1083.74</v>
      </c>
      <c r="J59" s="135" t="str">
        <f>IF(I59="","Ange belopp eller 0","")</f>
        <v/>
      </c>
      <c r="K59" s="4"/>
      <c r="L59" s="521">
        <v>360</v>
      </c>
      <c r="M59" s="1131">
        <v>42109</v>
      </c>
      <c r="N59" s="2157">
        <f>IF(ISERROR((D59-M59)/M59),0,((D59-M59)/M59))</f>
        <v>-3.6233346790471655E-3</v>
      </c>
      <c r="O59" s="2110"/>
      <c r="P59" s="1226"/>
      <c r="Q59" s="1227"/>
      <c r="R59" s="15"/>
      <c r="S59" s="1235"/>
      <c r="T59" s="1250"/>
    </row>
    <row r="60" spans="1:20" s="192" customFormat="1" ht="12.75" customHeight="1">
      <c r="A60" s="519">
        <v>345</v>
      </c>
      <c r="B60" s="520" t="s">
        <v>770</v>
      </c>
      <c r="C60" s="513" t="s">
        <v>1148</v>
      </c>
      <c r="D60" s="95">
        <v>9771.8340000000007</v>
      </c>
      <c r="E60" s="221"/>
      <c r="F60" s="4"/>
      <c r="G60" s="4"/>
      <c r="H60" s="63"/>
      <c r="I60" s="63"/>
      <c r="K60" s="4"/>
      <c r="L60" s="1140"/>
      <c r="M60" s="1161"/>
      <c r="N60" s="2154"/>
      <c r="O60" s="2110"/>
      <c r="P60" s="1222"/>
      <c r="Q60" s="1227"/>
      <c r="R60" s="1235"/>
      <c r="S60" s="1235"/>
      <c r="T60" s="163"/>
    </row>
    <row r="61" spans="1:20" s="192" customFormat="1" ht="12.75">
      <c r="A61" s="519">
        <v>401</v>
      </c>
      <c r="B61" s="520">
        <v>46</v>
      </c>
      <c r="C61" s="513" t="s">
        <v>735</v>
      </c>
      <c r="D61" s="95">
        <v>167618.11600000001</v>
      </c>
      <c r="E61" s="221"/>
      <c r="F61" s="4"/>
      <c r="G61" s="4"/>
      <c r="H61" s="63"/>
      <c r="I61" s="63"/>
      <c r="K61" s="4"/>
      <c r="L61" s="510">
        <v>401</v>
      </c>
      <c r="M61" s="1124">
        <v>159615.02100000001</v>
      </c>
      <c r="N61" s="2158">
        <f>IF(ISERROR((D61-M61)/M61),0,((D61-M61)/M61))</f>
        <v>5.0139986511670481E-2</v>
      </c>
      <c r="O61" s="2110"/>
      <c r="P61" s="1222"/>
      <c r="Q61" s="1227"/>
      <c r="R61" s="1235"/>
      <c r="S61" s="1235"/>
      <c r="T61" s="163"/>
    </row>
    <row r="62" spans="1:20" s="192" customFormat="1" ht="12.75">
      <c r="A62" s="519">
        <v>410</v>
      </c>
      <c r="B62" s="520">
        <v>74</v>
      </c>
      <c r="C62" s="513" t="s">
        <v>764</v>
      </c>
      <c r="D62" s="95">
        <v>29033.157999999999</v>
      </c>
      <c r="E62" s="221"/>
      <c r="F62" s="4"/>
      <c r="G62" s="4"/>
      <c r="H62" s="63"/>
      <c r="I62" s="63"/>
      <c r="K62" s="4"/>
      <c r="L62" s="726"/>
      <c r="M62" s="985"/>
      <c r="N62" s="2155"/>
      <c r="O62" s="2110"/>
      <c r="P62" s="1222"/>
      <c r="Q62" s="1227"/>
      <c r="R62" s="1411"/>
      <c r="S62" s="1235"/>
      <c r="T62" s="163"/>
    </row>
    <row r="63" spans="1:20" s="192" customFormat="1" ht="17.25" customHeight="1">
      <c r="A63" s="519">
        <v>411</v>
      </c>
      <c r="B63" s="520">
        <v>75</v>
      </c>
      <c r="C63" s="513" t="s">
        <v>1020</v>
      </c>
      <c r="D63" s="95">
        <v>2960.1239999999998</v>
      </c>
      <c r="E63" s="221"/>
      <c r="F63" s="4"/>
      <c r="G63" s="4"/>
      <c r="H63" s="63"/>
      <c r="I63" s="63"/>
      <c r="K63" s="4"/>
      <c r="L63" s="726"/>
      <c r="M63" s="985"/>
      <c r="N63" s="2155"/>
      <c r="O63" s="2110"/>
      <c r="P63" s="1222"/>
      <c r="Q63" s="1227"/>
      <c r="R63" s="1235"/>
      <c r="S63" s="1235"/>
      <c r="T63" s="163"/>
    </row>
    <row r="64" spans="1:20" s="192" customFormat="1" ht="12.75">
      <c r="A64" s="519">
        <v>415</v>
      </c>
      <c r="B64" s="520" t="s">
        <v>771</v>
      </c>
      <c r="C64" s="513" t="s">
        <v>1149</v>
      </c>
      <c r="D64" s="95">
        <v>5110.3770000000004</v>
      </c>
      <c r="E64" s="221"/>
      <c r="F64" s="4"/>
      <c r="G64" s="4"/>
      <c r="H64" s="63"/>
      <c r="I64" s="63"/>
      <c r="K64" s="4"/>
      <c r="L64" s="726"/>
      <c r="M64" s="985"/>
      <c r="N64" s="2155"/>
      <c r="O64" s="2110"/>
      <c r="P64" s="1222"/>
      <c r="Q64" s="1227"/>
      <c r="R64" s="1250"/>
      <c r="S64" s="1235"/>
      <c r="T64" s="163"/>
    </row>
    <row r="65" spans="1:25" s="192" customFormat="1" ht="12.75">
      <c r="A65" s="519">
        <v>416</v>
      </c>
      <c r="B65" s="524">
        <v>68</v>
      </c>
      <c r="C65" s="513" t="s">
        <v>1150</v>
      </c>
      <c r="D65" s="95">
        <v>2058.576</v>
      </c>
      <c r="E65" s="221"/>
      <c r="F65" s="4"/>
      <c r="G65" s="4"/>
      <c r="H65" s="63"/>
      <c r="I65" s="63"/>
      <c r="K65" s="4"/>
      <c r="L65" s="726"/>
      <c r="M65" s="985"/>
      <c r="N65" s="2155"/>
      <c r="O65" s="2110"/>
      <c r="P65" s="1222"/>
      <c r="Q65" s="1227"/>
      <c r="R65" s="1250"/>
      <c r="S65" s="1250"/>
      <c r="T65" s="163"/>
    </row>
    <row r="66" spans="1:25" s="192" customFormat="1" ht="12.75">
      <c r="A66" s="519">
        <v>430</v>
      </c>
      <c r="B66" s="524">
        <v>66</v>
      </c>
      <c r="C66" s="513" t="s">
        <v>736</v>
      </c>
      <c r="D66" s="95">
        <v>2402.4090000000001</v>
      </c>
      <c r="E66" s="221"/>
      <c r="F66" s="4"/>
      <c r="G66" s="4"/>
      <c r="H66" s="63"/>
      <c r="I66" s="63"/>
      <c r="K66" s="4"/>
      <c r="L66" s="726"/>
      <c r="M66" s="985"/>
      <c r="N66" s="2155"/>
      <c r="O66" s="2110"/>
      <c r="P66" s="1222"/>
      <c r="Q66" s="1227"/>
      <c r="R66" s="1250"/>
      <c r="S66" s="1250"/>
      <c r="T66" s="163"/>
    </row>
    <row r="67" spans="1:25" s="192" customFormat="1" ht="12.75">
      <c r="A67" s="519">
        <v>440</v>
      </c>
      <c r="B67" s="524">
        <v>701</v>
      </c>
      <c r="C67" s="513" t="s">
        <v>1018</v>
      </c>
      <c r="D67" s="95">
        <v>8935.4619999999995</v>
      </c>
      <c r="E67" s="221"/>
      <c r="F67" s="4"/>
      <c r="G67" s="4"/>
      <c r="H67" s="63"/>
      <c r="I67" s="63"/>
      <c r="K67" s="4"/>
      <c r="L67" s="512"/>
      <c r="M67" s="1130"/>
      <c r="N67" s="2156"/>
      <c r="O67" s="2110"/>
      <c r="P67" s="1222"/>
      <c r="Q67" s="1227"/>
      <c r="R67" s="1235"/>
      <c r="S67" s="1250"/>
      <c r="T67" s="163"/>
    </row>
    <row r="68" spans="1:25" s="192" customFormat="1" ht="18.75">
      <c r="A68" s="519">
        <v>450</v>
      </c>
      <c r="B68" s="524">
        <v>601</v>
      </c>
      <c r="C68" s="513" t="s">
        <v>1019</v>
      </c>
      <c r="D68" s="95">
        <v>39107.402999999998</v>
      </c>
      <c r="E68" s="221"/>
      <c r="F68" s="1588">
        <v>469</v>
      </c>
      <c r="G68" s="1589" t="s">
        <v>893</v>
      </c>
      <c r="H68" s="1422" t="s">
        <v>1156</v>
      </c>
      <c r="I68" s="1420">
        <v>3664.373</v>
      </c>
      <c r="K68" s="4"/>
      <c r="L68" s="510">
        <v>450</v>
      </c>
      <c r="M68" s="1124">
        <v>38153.366999999998</v>
      </c>
      <c r="N68" s="2158">
        <f>IF(ISERROR((D68-M68)/M68),0,((D68-M68)/M68))</f>
        <v>2.5005289834577379E-2</v>
      </c>
      <c r="O68" s="2110"/>
      <c r="P68" s="1222"/>
      <c r="Q68" s="1227"/>
      <c r="R68" s="1250"/>
      <c r="S68" s="1250"/>
      <c r="T68" s="163"/>
    </row>
    <row r="69" spans="1:25" s="192" customFormat="1" ht="12.75">
      <c r="A69" s="519">
        <v>460</v>
      </c>
      <c r="B69" s="524">
        <v>602</v>
      </c>
      <c r="C69" s="525" t="s">
        <v>677</v>
      </c>
      <c r="D69" s="95">
        <v>90.888000000000005</v>
      </c>
      <c r="E69" s="221"/>
      <c r="F69" s="660">
        <v>472</v>
      </c>
      <c r="G69" s="661">
        <v>731</v>
      </c>
      <c r="H69" s="1888" t="s">
        <v>1021</v>
      </c>
      <c r="I69" s="1421">
        <v>1506.0029999999999</v>
      </c>
      <c r="K69" s="4"/>
      <c r="L69" s="514"/>
      <c r="M69" s="994"/>
      <c r="N69" s="2159"/>
      <c r="O69" s="2110"/>
      <c r="P69" s="1222"/>
      <c r="Q69" s="1227"/>
      <c r="R69" s="1250"/>
      <c r="S69" s="1250"/>
      <c r="T69" s="1227"/>
    </row>
    <row r="70" spans="1:25" s="192" customFormat="1" ht="20.25" customHeight="1">
      <c r="A70" s="519">
        <v>470</v>
      </c>
      <c r="B70" s="1310" t="s">
        <v>1022</v>
      </c>
      <c r="C70" s="549" t="s">
        <v>1151</v>
      </c>
      <c r="D70" s="216">
        <v>9767.509</v>
      </c>
      <c r="E70" s="221"/>
      <c r="F70" s="660">
        <v>474</v>
      </c>
      <c r="G70" s="622">
        <v>732</v>
      </c>
      <c r="H70" s="698" t="s">
        <v>993</v>
      </c>
      <c r="I70" s="274">
        <v>94.683999999999997</v>
      </c>
      <c r="K70" s="4"/>
      <c r="L70" s="726"/>
      <c r="M70" s="985"/>
      <c r="N70" s="2155"/>
      <c r="O70" s="2110"/>
      <c r="P70" s="1222"/>
      <c r="Q70" s="1227"/>
      <c r="R70" s="1235"/>
      <c r="S70" s="1235"/>
      <c r="T70" s="1227"/>
    </row>
    <row r="71" spans="1:25" s="192" customFormat="1" ht="18.75" customHeight="1">
      <c r="A71" s="519">
        <v>471</v>
      </c>
      <c r="B71" s="520" t="s">
        <v>651</v>
      </c>
      <c r="C71" s="513" t="s">
        <v>678</v>
      </c>
      <c r="D71" s="96">
        <v>13822.397000000001</v>
      </c>
      <c r="E71" s="221"/>
      <c r="F71" s="1834">
        <v>476</v>
      </c>
      <c r="G71" s="1838" t="s">
        <v>1003</v>
      </c>
      <c r="H71" s="1799" t="s">
        <v>1157</v>
      </c>
      <c r="I71" s="274">
        <v>1195.5239999999999</v>
      </c>
      <c r="K71" s="4"/>
      <c r="L71" s="512"/>
      <c r="M71" s="1130"/>
      <c r="N71" s="2156"/>
      <c r="O71" s="2110"/>
      <c r="P71" s="1222"/>
      <c r="Q71" s="1227"/>
      <c r="R71" s="1235"/>
      <c r="S71" s="1235"/>
      <c r="T71" s="1227"/>
    </row>
    <row r="72" spans="1:25" s="192" customFormat="1" ht="13.5" thickBot="1">
      <c r="A72" s="528">
        <v>479</v>
      </c>
      <c r="B72" s="529"/>
      <c r="C72" s="530" t="s">
        <v>679</v>
      </c>
      <c r="D72" s="330">
        <f>SUM(D60:D71)</f>
        <v>290678.25300000003</v>
      </c>
      <c r="E72" s="221"/>
      <c r="F72" s="660">
        <v>477</v>
      </c>
      <c r="G72" s="622">
        <v>737</v>
      </c>
      <c r="H72" s="698" t="s">
        <v>994</v>
      </c>
      <c r="I72" s="274">
        <v>0.499</v>
      </c>
      <c r="K72" s="4"/>
      <c r="L72" s="521">
        <v>479</v>
      </c>
      <c r="M72" s="1131">
        <v>279040.58500000002</v>
      </c>
      <c r="N72" s="2157">
        <f>IF(ISERROR((D72-M72)/M72),0,((D72-M72)/M72))</f>
        <v>4.170600488097459E-2</v>
      </c>
      <c r="O72" s="2110"/>
      <c r="P72" s="1226"/>
      <c r="Q72" s="1227"/>
      <c r="R72" s="1228"/>
      <c r="S72" s="1235"/>
      <c r="T72" s="1227"/>
    </row>
    <row r="73" spans="1:25" s="192" customFormat="1" ht="12.75" customHeight="1">
      <c r="A73" s="531">
        <v>897</v>
      </c>
      <c r="B73" s="1310" t="s">
        <v>765</v>
      </c>
      <c r="C73" s="513" t="s">
        <v>1152</v>
      </c>
      <c r="D73" s="217">
        <v>964.14200000000005</v>
      </c>
      <c r="E73" s="1827"/>
      <c r="F73" s="2095">
        <v>475</v>
      </c>
      <c r="G73" s="622"/>
      <c r="H73" s="2094" t="s">
        <v>1211</v>
      </c>
      <c r="I73" s="274">
        <v>10.17</v>
      </c>
      <c r="K73" s="4"/>
      <c r="L73" s="1140"/>
      <c r="M73" s="1161"/>
      <c r="N73" s="2154"/>
      <c r="O73" s="2110"/>
      <c r="P73" s="1222"/>
      <c r="Q73" s="1227"/>
      <c r="R73" s="1419"/>
      <c r="S73" s="1235"/>
      <c r="T73" s="1227"/>
    </row>
    <row r="74" spans="1:25" s="192" customFormat="1" ht="12.75" customHeight="1" thickBot="1">
      <c r="A74" s="528">
        <v>900</v>
      </c>
      <c r="B74" s="532">
        <v>789</v>
      </c>
      <c r="C74" s="533" t="s">
        <v>442</v>
      </c>
      <c r="D74" s="218">
        <v>19.475000000000001</v>
      </c>
      <c r="E74" s="290"/>
      <c r="F74" s="732">
        <v>478</v>
      </c>
      <c r="G74" s="622" t="s">
        <v>739</v>
      </c>
      <c r="H74" s="698" t="s">
        <v>995</v>
      </c>
      <c r="I74" s="274">
        <v>2346.6570000000002</v>
      </c>
      <c r="K74" s="135"/>
      <c r="L74" s="726"/>
      <c r="M74" s="985"/>
      <c r="N74" s="2155"/>
      <c r="O74" s="2110"/>
      <c r="P74" s="1222"/>
      <c r="Q74" s="1227"/>
      <c r="R74" s="1227"/>
      <c r="S74" s="1227"/>
      <c r="T74" s="1227"/>
    </row>
    <row r="75" spans="1:25" s="192" customFormat="1" ht="16.5" customHeight="1" thickBot="1">
      <c r="A75" s="523">
        <v>887</v>
      </c>
      <c r="B75" s="2180"/>
      <c r="C75" s="534" t="s">
        <v>1140</v>
      </c>
      <c r="D75" s="331">
        <f>SUM(D44+D54+D59+D72+D73+D74)</f>
        <v>867975.78700000001</v>
      </c>
      <c r="F75" s="536">
        <v>473</v>
      </c>
      <c r="G75" s="1312" t="s">
        <v>783</v>
      </c>
      <c r="H75" s="1244" t="s">
        <v>1158</v>
      </c>
      <c r="I75" s="2056">
        <v>550.5</v>
      </c>
      <c r="J75" s="135"/>
      <c r="K75" s="4"/>
      <c r="L75" s="508"/>
      <c r="M75" s="1162"/>
      <c r="N75" s="2160"/>
      <c r="O75" s="2110"/>
      <c r="P75" s="1226"/>
      <c r="Q75" s="1187"/>
      <c r="R75" s="1250"/>
      <c r="S75" s="1250"/>
      <c r="T75" s="1227"/>
    </row>
    <row r="76" spans="1:25" s="192" customFormat="1" ht="18" customHeight="1" thickBot="1">
      <c r="A76" s="535" t="s">
        <v>443</v>
      </c>
      <c r="B76" s="522"/>
      <c r="C76" s="499" t="s">
        <v>90</v>
      </c>
      <c r="D76" s="286">
        <f>RR!C8</f>
        <v>867975.78500000003</v>
      </c>
      <c r="E76" s="221"/>
      <c r="F76" s="2110"/>
      <c r="G76" s="2110"/>
      <c r="H76" s="2110"/>
      <c r="I76" s="2110"/>
      <c r="J76" s="2110"/>
      <c r="L76" s="1141"/>
      <c r="M76" s="1142"/>
      <c r="N76" s="2151"/>
      <c r="O76" s="2110"/>
      <c r="P76" s="1222"/>
      <c r="Q76" s="163"/>
      <c r="R76" s="1228"/>
      <c r="S76" s="1228"/>
      <c r="T76" s="163"/>
    </row>
    <row r="77" spans="1:25" s="192" customFormat="1" ht="15.75" customHeight="1">
      <c r="A77" s="2175" t="s">
        <v>1185</v>
      </c>
      <c r="B77" s="1311"/>
      <c r="C77" s="1311"/>
      <c r="D77" s="1561"/>
      <c r="F77" s="2110"/>
      <c r="G77" s="2110"/>
      <c r="H77" s="2110"/>
      <c r="I77" s="2110"/>
      <c r="J77" s="2110"/>
      <c r="K77" s="4"/>
      <c r="O77" s="2110"/>
      <c r="Q77" s="163"/>
      <c r="R77" s="1233"/>
      <c r="S77" s="1233"/>
      <c r="T77" s="163"/>
    </row>
    <row r="78" spans="1:25" s="192" customFormat="1" ht="21" customHeight="1">
      <c r="A78" s="139" t="s">
        <v>1186</v>
      </c>
      <c r="B78" s="75"/>
      <c r="C78" s="75"/>
      <c r="D78" s="4"/>
      <c r="F78" s="2110"/>
      <c r="G78" s="2110"/>
      <c r="H78" s="2110"/>
      <c r="I78" s="2110"/>
      <c r="J78" s="2110"/>
      <c r="K78" s="4"/>
      <c r="Q78" s="163"/>
      <c r="R78" s="2533"/>
      <c r="S78" s="2533"/>
      <c r="T78" s="2533"/>
    </row>
    <row r="79" spans="1:25" s="192" customFormat="1" ht="12.75" customHeight="1">
      <c r="A79" s="163"/>
      <c r="B79" s="163"/>
      <c r="C79" s="163"/>
      <c r="D79" s="163"/>
      <c r="F79" s="2110"/>
      <c r="G79" s="2110"/>
      <c r="H79" s="2110"/>
      <c r="I79" s="2110"/>
      <c r="J79" s="2110"/>
      <c r="K79" s="4"/>
      <c r="L79" s="163"/>
      <c r="M79" s="163"/>
      <c r="N79" s="163"/>
      <c r="O79" s="163"/>
      <c r="P79" s="163"/>
      <c r="Q79" s="163"/>
      <c r="R79" s="2533"/>
      <c r="S79" s="2533"/>
      <c r="T79" s="2533"/>
      <c r="U79" s="163"/>
      <c r="V79" s="163"/>
    </row>
    <row r="80" spans="1:25" s="192" customFormat="1" ht="12.75">
      <c r="A80" s="163"/>
      <c r="B80" s="163"/>
      <c r="C80" s="163"/>
      <c r="D80" s="163"/>
      <c r="E80" s="163"/>
      <c r="F80" s="4"/>
      <c r="G80" s="4"/>
      <c r="H80" s="4"/>
      <c r="I80" s="4"/>
      <c r="J80" s="4"/>
      <c r="K80" s="163"/>
      <c r="L80" s="163"/>
      <c r="M80" s="163"/>
      <c r="N80" s="163"/>
      <c r="O80" s="163"/>
      <c r="P80" s="163"/>
      <c r="Q80" s="163"/>
      <c r="R80" s="388"/>
      <c r="S80" s="388"/>
      <c r="T80" s="163"/>
      <c r="U80" s="163"/>
      <c r="V80" s="163"/>
      <c r="W80" s="163"/>
      <c r="X80" s="163"/>
      <c r="Y80" s="163"/>
    </row>
    <row r="81" ht="12.75"/>
    <row r="82" ht="12.75"/>
    <row r="83" ht="12.75"/>
    <row r="84" ht="12.75"/>
    <row r="85" ht="12.75" hidden="1"/>
    <row r="86" ht="12.75" hidden="1"/>
    <row r="87" ht="12.75" hidden="1"/>
    <row r="88" ht="12.75" hidden="1"/>
    <row r="89" ht="12.75" hidden="1"/>
    <row r="90" ht="12.75" hidden="1"/>
    <row r="91" ht="12.75" hidden="1"/>
    <row r="92" ht="12.75"/>
    <row r="93" ht="12.75" hidden="1"/>
  </sheetData>
  <sheetProtection algorithmName="SHA-512" hashValue="q029CuG/ViN92GcI8v6cggLS7vj5WeEJmZRJXe2CHuvXiBVex/rjKqNRLowcPngazXK0prLHNbxuSI09L6BAcg==" saltValue="+PczHqmus+Y0/3BBIHD9Hg==" spinCount="100000" sheet="1" objects="1" scenarios="1"/>
  <mergeCells count="2">
    <mergeCell ref="B6:B7"/>
    <mergeCell ref="R78:T79"/>
  </mergeCells>
  <conditionalFormatting sqref="D8:D11 D13:D15 D17:D25 D27:D30 D32:D34 D40:D43 D50:D53 I55 D55:D58 D60:D71 D73:D74">
    <cfRule type="cellIs" dxfId="135" priority="17" stopIfTrue="1" operator="lessThan">
      <formula>-500</formula>
    </cfRule>
  </conditionalFormatting>
  <conditionalFormatting sqref="D43 I43:I44">
    <cfRule type="cellIs" dxfId="134" priority="20" stopIfTrue="1" operator="lessThan">
      <formula>0</formula>
    </cfRule>
  </conditionalFormatting>
  <conditionalFormatting sqref="D45:D46">
    <cfRule type="cellIs" dxfId="133" priority="9" stopIfTrue="1" operator="lessThan">
      <formula>-500</formula>
    </cfRule>
  </conditionalFormatting>
  <conditionalFormatting sqref="I17:I21">
    <cfRule type="cellIs" dxfId="132" priority="14" stopIfTrue="1" operator="lessThan">
      <formula>-500</formula>
    </cfRule>
  </conditionalFormatting>
  <conditionalFormatting sqref="I19:I20">
    <cfRule type="cellIs" dxfId="131" priority="13" stopIfTrue="1" operator="lessThan">
      <formula>-500</formula>
    </cfRule>
  </conditionalFormatting>
  <conditionalFormatting sqref="I24:I25">
    <cfRule type="cellIs" dxfId="130" priority="11" stopIfTrue="1" operator="lessThan">
      <formula>-500</formula>
    </cfRule>
    <cfRule type="cellIs" dxfId="129" priority="12" stopIfTrue="1" operator="lessThan">
      <formula>-500</formula>
    </cfRule>
  </conditionalFormatting>
  <conditionalFormatting sqref="I27:I30">
    <cfRule type="cellIs" dxfId="128" priority="6" stopIfTrue="1" operator="lessThan">
      <formula>-500</formula>
    </cfRule>
    <cfRule type="cellIs" dxfId="127" priority="7" stopIfTrue="1" operator="lessThan">
      <formula>-500</formula>
    </cfRule>
  </conditionalFormatting>
  <conditionalFormatting sqref="I32">
    <cfRule type="cellIs" dxfId="126" priority="4" stopIfTrue="1" operator="lessThan">
      <formula>-500</formula>
    </cfRule>
    <cfRule type="cellIs" dxfId="125" priority="5" stopIfTrue="1" operator="lessThan">
      <formula>-500</formula>
    </cfRule>
  </conditionalFormatting>
  <conditionalFormatting sqref="I40:I52">
    <cfRule type="cellIs" dxfId="124" priority="8" stopIfTrue="1" operator="lessThan">
      <formula>-500</formula>
    </cfRule>
  </conditionalFormatting>
  <conditionalFormatting sqref="I58:I59">
    <cfRule type="cellIs" dxfId="123" priority="15" stopIfTrue="1" operator="lessThan">
      <formula>-500</formula>
    </cfRule>
    <cfRule type="cellIs" dxfId="122" priority="16" stopIfTrue="1" operator="lessThan">
      <formula>-500</formula>
    </cfRule>
  </conditionalFormatting>
  <conditionalFormatting sqref="I68">
    <cfRule type="cellIs" dxfId="121" priority="3" stopIfTrue="1" operator="lessThan">
      <formula>-500</formula>
    </cfRule>
  </conditionalFormatting>
  <conditionalFormatting sqref="I68:I75">
    <cfRule type="cellIs" dxfId="120" priority="1" stopIfTrue="1" operator="lessThan">
      <formula>-500</formula>
    </cfRule>
  </conditionalFormatting>
  <dataValidations disablePrompts="1" count="4">
    <dataValidation type="decimal" operator="lessThan" allowBlank="1" showInputMessage="1" showErrorMessage="1" error="beloppet ska vara 1000tal kr" sqref="I68" xr:uid="{5E3C84FA-3272-499F-8AE4-C2919C259F0D}">
      <formula1>99999999</formula1>
    </dataValidation>
    <dataValidation operator="lessThan" allowBlank="1" showInputMessage="1" showErrorMessage="1" sqref="D75 D35" xr:uid="{00000000-0002-0000-0300-000001000000}"/>
    <dataValidation type="decimal" operator="lessThan" allowBlank="1" showInputMessage="1" showErrorMessage="1" error="Beloppet ska vara i 1000 tal kronor" sqref="I17:I21 D55:D58 D40:D43 D17:D25 D27:D30 D13:D15 D8:D11 I55 I58:I59 D32:D34 D60:D71 D49:D53 I24:I25 D45:D46 I27:I30 I32 I40:I52 D73:D74 I69:I75" xr:uid="{00000000-0002-0000-0300-000002000000}">
      <formula1>99999999</formula1>
    </dataValidation>
    <dataValidation type="decimal" operator="lessThanOrEqual" allowBlank="1" showInputMessage="1" showErrorMessage="1" error="Beloppet ska redovisas med minustecken" sqref="D47:D48" xr:uid="{00000000-0002-0000-0300-000003000000}">
      <formula1>0</formula1>
    </dataValidation>
  </dataValidations>
  <pageMargins left="0.7" right="0.7" top="0.75" bottom="0.75" header="0.3" footer="0.3"/>
  <pageSetup paperSize="9" scale="70" orientation="portrait" r:id="rId1"/>
  <headerFooter>
    <oddHeader>&amp;L&amp;8Statistiska Centralbyrån
Offentlig ekonomi&amp;R&amp;P</oddHeader>
  </headerFooter>
  <ignoredErrors>
    <ignoredError sqref="F19:G19 F25 F27:G27 F28:F29 F43:G43 G50:G51 A76 G74 F58:F59"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XFC63"/>
  <sheetViews>
    <sheetView showGridLines="0" zoomScaleNormal="100" workbookViewId="0">
      <pane ySplit="1" topLeftCell="A2" activePane="bottomLeft" state="frozen"/>
      <selection activeCell="F36" sqref="F36"/>
      <selection pane="bottomLeft" activeCell="A2" sqref="A2"/>
    </sheetView>
  </sheetViews>
  <sheetFormatPr defaultColWidth="9.42578125" defaultRowHeight="0" customHeight="1" zeroHeight="1"/>
  <cols>
    <col min="1" max="1" width="4" style="163" customWidth="1"/>
    <col min="2" max="2" width="9.42578125" style="163" customWidth="1"/>
    <col min="3" max="3" width="30.5703125" style="163" customWidth="1"/>
    <col min="4" max="4" width="10.5703125" style="163" customWidth="1"/>
    <col min="5" max="5" width="22" style="163" customWidth="1"/>
    <col min="6" max="6" width="5" style="163" customWidth="1"/>
    <col min="7" max="7" width="27.5703125" style="163" customWidth="1"/>
    <col min="8" max="8" width="4" style="163" customWidth="1"/>
    <col min="9" max="9" width="8.42578125" style="163" customWidth="1"/>
    <col min="10" max="10" width="31.42578125" style="163" customWidth="1"/>
    <col min="11" max="12" width="10.5703125" style="163" customWidth="1"/>
    <col min="13" max="13" width="13.42578125" style="163" customWidth="1"/>
    <col min="14" max="14" width="4.42578125" style="163" customWidth="1"/>
    <col min="15" max="15" width="3.5703125" style="163" customWidth="1"/>
    <col min="16" max="16" width="19.5703125" style="163" customWidth="1"/>
    <col min="17" max="17" width="7" style="163" customWidth="1"/>
    <col min="18" max="18" width="3.5703125" style="163" customWidth="1"/>
    <col min="19" max="19" width="1.5703125" style="163" customWidth="1"/>
    <col min="20" max="20" width="21.5703125" style="163" customWidth="1"/>
    <col min="21" max="16383" width="0" style="163" hidden="1" customWidth="1"/>
    <col min="16384" max="16384" width="4.42578125" style="163" hidden="1" customWidth="1"/>
  </cols>
  <sheetData>
    <row r="1" spans="1:20" ht="18">
      <c r="A1" s="1377" t="str">
        <f>"Skatteintäkter, utjämningssystem o. generella statliga bidrag samt finansiella poster "&amp;År&amp;", miljoner kr"</f>
        <v>Skatteintäkter, utjämningssystem o. generella statliga bidrag samt finansiella poster 2024, miljoner kr</v>
      </c>
      <c r="B1" s="478"/>
      <c r="C1" s="478"/>
      <c r="D1" s="478"/>
      <c r="E1" s="478"/>
      <c r="F1" s="478"/>
      <c r="G1" s="478"/>
      <c r="H1" s="478"/>
      <c r="I1" s="478"/>
      <c r="J1" s="478"/>
      <c r="K1" s="478"/>
      <c r="L1" s="478"/>
      <c r="M1" s="478"/>
      <c r="N1" s="480" t="s">
        <v>446</v>
      </c>
      <c r="O1" s="480"/>
      <c r="P1" s="480"/>
      <c r="Q1" s="480"/>
      <c r="R1" s="480"/>
      <c r="S1" s="480"/>
      <c r="T1" s="481" t="str">
        <f>Information!A2</f>
        <v>RIKSTOTAL</v>
      </c>
    </row>
    <row r="2" spans="1:20" ht="12.75" customHeight="1">
      <c r="A2" s="2110"/>
      <c r="B2" s="2110"/>
      <c r="C2" s="2110"/>
      <c r="D2" s="2110"/>
      <c r="E2" s="2110"/>
      <c r="F2" s="2110"/>
      <c r="G2" s="2110"/>
      <c r="H2" s="2110"/>
      <c r="I2" s="2110"/>
      <c r="J2" s="2110"/>
      <c r="K2" s="2110"/>
      <c r="L2" s="2110"/>
      <c r="M2" s="2110"/>
      <c r="N2" s="2110"/>
      <c r="O2" s="2110"/>
      <c r="P2" s="2110"/>
      <c r="Q2" s="2110"/>
      <c r="R2" s="2110"/>
      <c r="S2" s="2110"/>
      <c r="T2" s="2110"/>
    </row>
    <row r="3" spans="1:20" ht="12.75" customHeight="1">
      <c r="A3" s="2110"/>
      <c r="B3" s="2110"/>
      <c r="C3" s="2110"/>
      <c r="D3" s="2110"/>
      <c r="E3" s="2110"/>
      <c r="F3" s="2110"/>
      <c r="G3" s="2110"/>
      <c r="H3" s="2110"/>
      <c r="I3" s="2110"/>
      <c r="J3" s="2110"/>
      <c r="K3" s="2110"/>
      <c r="L3" s="2110"/>
      <c r="M3" s="2110"/>
      <c r="N3" s="2110"/>
      <c r="O3" s="2110"/>
      <c r="P3" s="2110"/>
      <c r="Q3" s="2110"/>
      <c r="R3" s="2110"/>
      <c r="S3" s="2110"/>
      <c r="T3" s="2110"/>
    </row>
    <row r="4" spans="1:20" ht="17.25" customHeight="1" thickBot="1">
      <c r="A4" s="70" t="s">
        <v>607</v>
      </c>
      <c r="B4" s="4"/>
      <c r="C4" s="4"/>
      <c r="D4" s="33"/>
      <c r="G4" s="4"/>
      <c r="H4" s="70" t="s">
        <v>608</v>
      </c>
      <c r="I4" s="164"/>
      <c r="J4" s="164"/>
      <c r="K4" s="164"/>
      <c r="L4" s="164"/>
      <c r="M4" s="4"/>
      <c r="N4" s="4"/>
      <c r="O4" s="4"/>
      <c r="P4" s="4"/>
      <c r="Q4" s="4"/>
      <c r="R4" s="4"/>
      <c r="S4" s="165"/>
      <c r="T4" s="4"/>
    </row>
    <row r="5" spans="1:20" s="175" customFormat="1" ht="12.75">
      <c r="A5" s="558" t="s">
        <v>603</v>
      </c>
      <c r="B5" s="2021" t="str">
        <f>"BAS "&amp;År-2000&amp;""</f>
        <v>BAS 24</v>
      </c>
      <c r="C5" s="733"/>
      <c r="D5" s="739"/>
      <c r="E5" s="174"/>
      <c r="F5" s="174"/>
      <c r="G5" s="174"/>
      <c r="H5" s="558" t="s">
        <v>603</v>
      </c>
      <c r="I5" s="2021" t="str">
        <f>"BAS "&amp;År-2000&amp;""</f>
        <v>BAS 24</v>
      </c>
      <c r="J5" s="733"/>
      <c r="K5" s="569" t="s">
        <v>604</v>
      </c>
      <c r="L5" s="1785" t="s">
        <v>705</v>
      </c>
      <c r="M5" s="1252"/>
      <c r="N5" s="209" t="s">
        <v>892</v>
      </c>
      <c r="O5" s="174"/>
      <c r="P5" s="174"/>
      <c r="Q5" s="174"/>
      <c r="S5" s="395"/>
      <c r="T5" s="174"/>
    </row>
    <row r="6" spans="1:20" s="175" customFormat="1" ht="12.75">
      <c r="A6" s="560" t="s">
        <v>605</v>
      </c>
      <c r="B6" s="723"/>
      <c r="C6" s="734"/>
      <c r="D6" s="738"/>
      <c r="E6" s="174"/>
      <c r="F6" s="174"/>
      <c r="G6" s="174"/>
      <c r="H6" s="560" t="s">
        <v>605</v>
      </c>
      <c r="I6" s="571"/>
      <c r="J6" s="734"/>
      <c r="K6" s="571" t="s">
        <v>1245</v>
      </c>
      <c r="L6" s="959" t="s">
        <v>1245</v>
      </c>
      <c r="M6" s="1253"/>
      <c r="N6" s="174"/>
      <c r="O6" s="174"/>
      <c r="P6" s="174"/>
      <c r="Q6" s="174"/>
      <c r="S6" s="85"/>
      <c r="T6" s="174"/>
    </row>
    <row r="7" spans="1:20" ht="15">
      <c r="A7" s="2032"/>
      <c r="B7" s="2033"/>
      <c r="C7" s="735"/>
      <c r="D7" s="740"/>
      <c r="E7" s="4"/>
      <c r="F7" s="4"/>
      <c r="G7" s="4"/>
      <c r="H7" s="741"/>
      <c r="I7" s="553"/>
      <c r="J7" s="553"/>
      <c r="K7" s="553"/>
      <c r="L7" s="742"/>
      <c r="M7" s="1254"/>
      <c r="N7" s="4"/>
      <c r="O7" s="4"/>
      <c r="P7" s="4"/>
      <c r="Q7" s="4"/>
      <c r="S7" s="16"/>
      <c r="T7" s="4"/>
    </row>
    <row r="8" spans="1:20" ht="12.75">
      <c r="A8" s="712">
        <v>600</v>
      </c>
      <c r="B8" s="524">
        <v>801</v>
      </c>
      <c r="C8" s="525" t="s">
        <v>680</v>
      </c>
      <c r="D8" s="332">
        <v>591682</v>
      </c>
      <c r="E8" s="4"/>
      <c r="F8" s="4"/>
      <c r="G8" s="4"/>
      <c r="H8" s="709">
        <v>800</v>
      </c>
      <c r="I8" s="524">
        <v>841</v>
      </c>
      <c r="J8" s="525" t="s">
        <v>693</v>
      </c>
      <c r="K8" s="1579">
        <v>6528.1080000000002</v>
      </c>
      <c r="L8" s="1580">
        <v>737.84900000000005</v>
      </c>
      <c r="M8" s="1829"/>
      <c r="N8" s="538">
        <v>801</v>
      </c>
      <c r="O8" s="1581">
        <v>8411</v>
      </c>
      <c r="P8" s="1474" t="s">
        <v>1166</v>
      </c>
      <c r="Q8" s="1475">
        <v>5578.0879999999997</v>
      </c>
      <c r="R8" s="1553" t="str">
        <f>IF(Q8&gt;K8,"däravrad 801&gt;rad 800",IF(AND(K8&gt;1,Q8=""),"skriv belopp eller 0",""))</f>
        <v/>
      </c>
      <c r="S8" s="1250"/>
      <c r="T8" s="4"/>
    </row>
    <row r="9" spans="1:20" ht="12.75">
      <c r="A9" s="712">
        <v>620</v>
      </c>
      <c r="B9" s="621">
        <v>8052</v>
      </c>
      <c r="C9" s="518" t="str">
        <f>"Slutavräkning, prognos för "&amp;År&amp;""</f>
        <v>Slutavräkning, prognos för 2024</v>
      </c>
      <c r="D9" s="332">
        <v>1976</v>
      </c>
      <c r="E9" s="4"/>
      <c r="F9" s="4"/>
      <c r="G9" s="4"/>
      <c r="H9" s="712">
        <v>810</v>
      </c>
      <c r="I9" s="736">
        <v>844</v>
      </c>
      <c r="J9" s="737" t="s">
        <v>694</v>
      </c>
      <c r="K9" s="21">
        <v>15124.718000000001</v>
      </c>
      <c r="L9" s="97">
        <v>6079.643</v>
      </c>
      <c r="M9" s="1829"/>
      <c r="N9" s="4"/>
      <c r="O9" s="4"/>
      <c r="P9" s="4"/>
      <c r="Q9" s="4"/>
      <c r="S9" s="1250"/>
      <c r="T9" s="4"/>
    </row>
    <row r="10" spans="1:20" ht="12.75">
      <c r="A10" s="712">
        <v>625</v>
      </c>
      <c r="B10" s="621">
        <v>8051</v>
      </c>
      <c r="C10" s="518" t="str">
        <f>"Justering slutavräkning "&amp;År-1&amp;""</f>
        <v>Justering slutavräkning 2023</v>
      </c>
      <c r="D10" s="332">
        <v>-2686</v>
      </c>
      <c r="E10" s="4"/>
      <c r="F10" s="4"/>
      <c r="G10" s="4"/>
      <c r="H10" s="712">
        <v>880</v>
      </c>
      <c r="I10" s="524">
        <v>845</v>
      </c>
      <c r="J10" s="525" t="s">
        <v>695</v>
      </c>
      <c r="K10" s="21">
        <v>132.589</v>
      </c>
      <c r="L10" s="851"/>
      <c r="M10" s="1829"/>
      <c r="N10" s="4"/>
      <c r="O10" s="4"/>
      <c r="P10" s="4"/>
      <c r="Q10" s="4"/>
      <c r="S10" s="1250"/>
      <c r="T10" s="4"/>
    </row>
    <row r="11" spans="1:20" ht="12.75">
      <c r="A11" s="712">
        <v>630</v>
      </c>
      <c r="B11" s="621"/>
      <c r="C11" s="518" t="str">
        <f>"Justeringspost slutavräkning "&amp;År&amp;""</f>
        <v>Justeringspost slutavräkning 2024</v>
      </c>
      <c r="D11" s="217">
        <v>5.306</v>
      </c>
      <c r="E11" s="172"/>
      <c r="F11" s="4"/>
      <c r="G11" s="4"/>
      <c r="H11" s="712">
        <v>885</v>
      </c>
      <c r="I11" s="524">
        <v>8481</v>
      </c>
      <c r="J11" s="525" t="s">
        <v>468</v>
      </c>
      <c r="K11" s="21">
        <v>1.96</v>
      </c>
      <c r="L11" s="851"/>
      <c r="M11" s="1829"/>
      <c r="N11" s="4"/>
      <c r="O11" s="4"/>
      <c r="P11" s="4"/>
      <c r="Q11" s="4"/>
      <c r="S11" s="1250"/>
      <c r="T11" s="4"/>
    </row>
    <row r="12" spans="1:20" ht="12.75">
      <c r="A12" s="712">
        <v>640</v>
      </c>
      <c r="B12" s="520" t="s">
        <v>907</v>
      </c>
      <c r="C12" s="513" t="s">
        <v>1167</v>
      </c>
      <c r="D12" s="217">
        <v>17.640999999999998</v>
      </c>
      <c r="E12" s="1275"/>
      <c r="F12" s="4"/>
      <c r="G12" s="4"/>
      <c r="H12" s="712">
        <v>886</v>
      </c>
      <c r="I12" s="524">
        <v>8482</v>
      </c>
      <c r="J12" s="525" t="s">
        <v>706</v>
      </c>
      <c r="K12" s="21">
        <v>86.691999999999993</v>
      </c>
      <c r="L12" s="851"/>
      <c r="M12" s="1829"/>
      <c r="N12" s="1227"/>
      <c r="O12" s="1227"/>
      <c r="P12" s="140"/>
      <c r="Q12" s="1566"/>
      <c r="S12" s="1250"/>
      <c r="T12" s="4"/>
    </row>
    <row r="13" spans="1:20" ht="13.5" thickBot="1">
      <c r="A13" s="713">
        <v>680</v>
      </c>
      <c r="B13" s="1248"/>
      <c r="C13" s="1249" t="s">
        <v>898</v>
      </c>
      <c r="D13" s="329">
        <v>241</v>
      </c>
      <c r="E13" s="33"/>
      <c r="F13" s="4"/>
      <c r="G13" s="4"/>
      <c r="H13" s="712">
        <v>884</v>
      </c>
      <c r="I13" s="520">
        <v>843</v>
      </c>
      <c r="J13" s="513" t="s">
        <v>1087</v>
      </c>
      <c r="K13" s="21">
        <v>384.39100000000002</v>
      </c>
      <c r="L13" s="97">
        <v>1722.2950000000001</v>
      </c>
      <c r="M13" s="1829"/>
      <c r="N13" s="1227"/>
      <c r="O13" s="1227"/>
      <c r="P13" s="140"/>
      <c r="Q13" s="1566"/>
      <c r="S13" s="1250"/>
      <c r="T13" s="4"/>
    </row>
    <row r="14" spans="1:20" ht="21.75" customHeight="1" thickBot="1">
      <c r="A14" s="521">
        <v>690</v>
      </c>
      <c r="B14" s="526"/>
      <c r="C14" s="527" t="s">
        <v>607</v>
      </c>
      <c r="D14" s="329">
        <f>SUM(D8:D13)</f>
        <v>591235.94699999993</v>
      </c>
      <c r="E14" s="4"/>
      <c r="F14" s="4"/>
      <c r="G14" s="4"/>
      <c r="H14" s="510">
        <v>882</v>
      </c>
      <c r="I14" s="1310">
        <v>846</v>
      </c>
      <c r="J14" s="513" t="s">
        <v>1086</v>
      </c>
      <c r="K14" s="21">
        <v>6297.174</v>
      </c>
      <c r="L14" s="851"/>
      <c r="M14" s="1829"/>
      <c r="N14" s="1227"/>
      <c r="O14" s="1227"/>
      <c r="P14" s="140"/>
      <c r="Q14" s="1566"/>
      <c r="R14" s="1275"/>
      <c r="S14" s="1235"/>
      <c r="T14" s="4"/>
    </row>
    <row r="15" spans="1:20" ht="13.5" thickBot="1">
      <c r="A15" s="4"/>
      <c r="B15" s="4"/>
      <c r="C15" s="178"/>
      <c r="D15" s="4"/>
      <c r="E15" s="4"/>
      <c r="F15" s="4"/>
      <c r="G15" s="4"/>
      <c r="H15" s="521">
        <v>888</v>
      </c>
      <c r="I15" s="1903">
        <v>849</v>
      </c>
      <c r="J15" s="533" t="s">
        <v>1036</v>
      </c>
      <c r="K15" s="104">
        <v>2554.3910000000001</v>
      </c>
      <c r="L15" s="1892"/>
      <c r="M15" s="1829"/>
      <c r="N15" s="1396">
        <v>889</v>
      </c>
      <c r="O15" s="1396">
        <v>8491</v>
      </c>
      <c r="P15" s="1876" t="s">
        <v>1010</v>
      </c>
      <c r="Q15" s="1374">
        <v>1419.4760000000001</v>
      </c>
      <c r="R15" s="1275" t="str">
        <f>IF(SUM(Q15+Q16)&gt;K15,"däravrader 889+891&gt;rad888",IF(AND(K15&gt;1,Q15=""),"skriv belopp eller 0",""))</f>
        <v/>
      </c>
      <c r="S15" s="1227"/>
      <c r="T15" s="4"/>
    </row>
    <row r="16" spans="1:20" ht="16.5" thickBot="1">
      <c r="A16" s="70" t="s">
        <v>711</v>
      </c>
      <c r="B16" s="4"/>
      <c r="C16" s="4"/>
      <c r="D16" s="4"/>
      <c r="E16" s="4"/>
      <c r="F16" s="4"/>
      <c r="G16" s="4"/>
      <c r="H16" s="508">
        <v>890</v>
      </c>
      <c r="I16" s="522"/>
      <c r="J16" s="499" t="s">
        <v>7</v>
      </c>
      <c r="K16" s="1578">
        <f>RR!C14</f>
        <v>31110.023000000001</v>
      </c>
      <c r="L16" s="1582"/>
      <c r="M16" s="1548"/>
      <c r="N16" s="1397">
        <v>891</v>
      </c>
      <c r="O16" s="1397"/>
      <c r="P16" s="1244" t="s">
        <v>870</v>
      </c>
      <c r="Q16" s="1375">
        <v>1.7290000000000001</v>
      </c>
      <c r="R16" s="1275" t="str">
        <f>IF(AND(K15&gt;1,Q16=""),"skriv belopp eller 0","")</f>
        <v/>
      </c>
      <c r="T16" s="4"/>
    </row>
    <row r="17" spans="1:20" ht="16.5" thickBot="1">
      <c r="A17" s="70" t="s">
        <v>712</v>
      </c>
      <c r="B17" s="4"/>
      <c r="C17" s="4"/>
      <c r="D17" s="33"/>
      <c r="E17" s="4"/>
      <c r="F17" s="4"/>
      <c r="G17" s="4"/>
      <c r="H17" s="7"/>
      <c r="I17" s="1255" t="s">
        <v>992</v>
      </c>
      <c r="J17" s="120"/>
      <c r="K17" s="1255">
        <f>(K16-SUM(K8:K15))*-1</f>
        <v>-3.637978807091713E-12</v>
      </c>
      <c r="L17" s="1583"/>
      <c r="M17" s="1158"/>
      <c r="N17" s="4"/>
      <c r="O17" s="4"/>
      <c r="P17" s="4"/>
      <c r="Q17" s="4"/>
      <c r="R17" s="4"/>
      <c r="T17" s="4"/>
    </row>
    <row r="18" spans="1:20" ht="16.5" thickBot="1">
      <c r="A18" s="558" t="s">
        <v>603</v>
      </c>
      <c r="B18" s="2021" t="str">
        <f>"BAS "&amp;År-2000&amp;""</f>
        <v>BAS 24</v>
      </c>
      <c r="C18" s="733"/>
      <c r="D18" s="739"/>
      <c r="E18" s="4"/>
      <c r="F18" s="4"/>
      <c r="G18" s="4"/>
      <c r="H18" s="70" t="s">
        <v>609</v>
      </c>
      <c r="I18" s="165"/>
      <c r="J18" s="165"/>
      <c r="K18" s="165"/>
      <c r="L18" s="165"/>
      <c r="N18" s="2534"/>
      <c r="O18" s="2534"/>
      <c r="P18" s="2534"/>
      <c r="Q18" s="2535"/>
      <c r="R18" s="4"/>
      <c r="T18" s="4"/>
    </row>
    <row r="19" spans="1:20" ht="12.75">
      <c r="A19" s="560" t="s">
        <v>605</v>
      </c>
      <c r="B19" s="723"/>
      <c r="C19" s="568"/>
      <c r="D19" s="743"/>
      <c r="E19" s="4"/>
      <c r="F19" s="4"/>
      <c r="G19" s="4"/>
      <c r="H19" s="558" t="s">
        <v>603</v>
      </c>
      <c r="I19" s="2021" t="str">
        <f>"BAS "&amp;År-2000&amp;""</f>
        <v>BAS 24</v>
      </c>
      <c r="J19" s="733"/>
      <c r="K19" s="1586" t="s">
        <v>604</v>
      </c>
      <c r="L19" s="1783" t="s">
        <v>705</v>
      </c>
      <c r="M19" s="1227"/>
      <c r="N19" s="2536"/>
      <c r="O19" s="2536"/>
      <c r="P19" s="2536"/>
      <c r="Q19" s="2535"/>
      <c r="S19" s="395"/>
      <c r="T19" s="4"/>
    </row>
    <row r="20" spans="1:20" s="175" customFormat="1" ht="15">
      <c r="A20" s="763"/>
      <c r="B20" s="725"/>
      <c r="C20" s="553"/>
      <c r="D20" s="744"/>
      <c r="E20" s="174"/>
      <c r="F20" s="174"/>
      <c r="G20" s="174"/>
      <c r="H20" s="560" t="s">
        <v>605</v>
      </c>
      <c r="I20" s="745"/>
      <c r="J20" s="734"/>
      <c r="K20" s="1587" t="s">
        <v>1245</v>
      </c>
      <c r="L20" s="1784" t="s">
        <v>1245</v>
      </c>
      <c r="M20" s="85"/>
      <c r="Q20" s="198"/>
      <c r="S20" s="85"/>
      <c r="T20" s="174"/>
    </row>
    <row r="21" spans="1:20" s="175" customFormat="1" ht="14.25" customHeight="1">
      <c r="A21" s="510">
        <v>711</v>
      </c>
      <c r="B21" s="621">
        <v>821</v>
      </c>
      <c r="C21" s="518" t="s">
        <v>686</v>
      </c>
      <c r="D21" s="332">
        <v>99537</v>
      </c>
      <c r="E21" s="174"/>
      <c r="F21" s="1840"/>
      <c r="G21" s="1841"/>
      <c r="H21" s="746"/>
      <c r="I21" s="747"/>
      <c r="J21" s="735"/>
      <c r="K21" s="1584"/>
      <c r="L21" s="748"/>
      <c r="M21" s="16"/>
      <c r="N21" s="178"/>
      <c r="O21" s="178"/>
      <c r="P21" s="178"/>
      <c r="Q21" s="165"/>
      <c r="S21" s="16"/>
      <c r="T21" s="174"/>
    </row>
    <row r="22" spans="1:20" ht="14.25" customHeight="1">
      <c r="A22" s="510">
        <v>713</v>
      </c>
      <c r="B22" s="621">
        <v>822</v>
      </c>
      <c r="C22" s="518" t="s">
        <v>687</v>
      </c>
      <c r="D22" s="332">
        <v>1130</v>
      </c>
      <c r="E22" s="4"/>
      <c r="F22" s="1842"/>
      <c r="G22" s="1841"/>
      <c r="H22" s="510">
        <v>900</v>
      </c>
      <c r="I22" s="524">
        <v>852</v>
      </c>
      <c r="J22" s="513" t="s">
        <v>742</v>
      </c>
      <c r="K22" s="416">
        <v>17154.769</v>
      </c>
      <c r="L22" s="96">
        <v>21840.231</v>
      </c>
      <c r="M22" s="1829"/>
      <c r="N22" s="1227"/>
      <c r="O22" s="140"/>
      <c r="P22" s="247"/>
      <c r="Q22" s="120"/>
      <c r="S22" s="1250"/>
      <c r="T22" s="4"/>
    </row>
    <row r="23" spans="1:20" ht="14.25" customHeight="1">
      <c r="A23" s="510">
        <v>715</v>
      </c>
      <c r="B23" s="621">
        <v>823</v>
      </c>
      <c r="C23" s="518" t="s">
        <v>688</v>
      </c>
      <c r="D23" s="332">
        <v>0</v>
      </c>
      <c r="E23" s="192"/>
      <c r="F23" s="1842"/>
      <c r="G23" s="1841"/>
      <c r="H23" s="510">
        <v>910</v>
      </c>
      <c r="I23" s="520">
        <v>853</v>
      </c>
      <c r="J23" s="513" t="s">
        <v>1164</v>
      </c>
      <c r="K23" s="416">
        <v>6122.5290000000005</v>
      </c>
      <c r="L23" s="97">
        <v>6073.4409999999998</v>
      </c>
      <c r="M23" s="1829"/>
      <c r="N23" s="4"/>
      <c r="O23" s="4"/>
      <c r="P23" s="4"/>
      <c r="Q23" s="165"/>
      <c r="S23" s="1235"/>
      <c r="T23" s="4"/>
    </row>
    <row r="24" spans="1:20" ht="14.25" customHeight="1">
      <c r="A24" s="510">
        <v>717</v>
      </c>
      <c r="B24" s="621">
        <v>824</v>
      </c>
      <c r="C24" s="518" t="s">
        <v>689</v>
      </c>
      <c r="D24" s="332">
        <v>32302</v>
      </c>
      <c r="E24" s="192"/>
      <c r="F24" s="1842"/>
      <c r="G24" s="1841"/>
      <c r="H24" s="510">
        <v>920</v>
      </c>
      <c r="I24" s="2195">
        <v>855</v>
      </c>
      <c r="J24" s="2138" t="s">
        <v>1187</v>
      </c>
      <c r="K24" s="416">
        <v>87.238</v>
      </c>
      <c r="L24" s="851"/>
      <c r="M24" s="1829"/>
      <c r="N24" s="4"/>
      <c r="O24" s="4"/>
      <c r="P24" s="4"/>
      <c r="Q24" s="165"/>
      <c r="S24" s="1250"/>
      <c r="T24" s="4"/>
    </row>
    <row r="25" spans="1:20" ht="21" customHeight="1">
      <c r="A25" s="510">
        <v>719</v>
      </c>
      <c r="B25" s="621">
        <v>825</v>
      </c>
      <c r="C25" s="518" t="s">
        <v>690</v>
      </c>
      <c r="D25" s="332">
        <v>11257</v>
      </c>
      <c r="E25" s="192"/>
      <c r="F25" s="2537" t="s">
        <v>1085</v>
      </c>
      <c r="G25" s="2538"/>
      <c r="H25" s="510">
        <v>985</v>
      </c>
      <c r="I25" s="520">
        <v>8581</v>
      </c>
      <c r="J25" s="513" t="s">
        <v>713</v>
      </c>
      <c r="K25" s="416">
        <v>1.853</v>
      </c>
      <c r="L25" s="851"/>
      <c r="M25" s="1829"/>
      <c r="N25" s="1227"/>
      <c r="O25" s="1227"/>
      <c r="P25" s="140"/>
      <c r="Q25" s="242"/>
      <c r="S25" s="1235"/>
      <c r="T25" s="4"/>
    </row>
    <row r="26" spans="1:20" ht="22.5" customHeight="1">
      <c r="A26" s="510">
        <v>785</v>
      </c>
      <c r="B26" s="621">
        <v>826</v>
      </c>
      <c r="C26" s="518" t="s">
        <v>691</v>
      </c>
      <c r="D26" s="332">
        <v>5827</v>
      </c>
      <c r="E26" s="1835"/>
      <c r="F26" s="2539"/>
      <c r="G26" s="2538"/>
      <c r="H26" s="510">
        <v>996</v>
      </c>
      <c r="I26" s="520">
        <v>8582</v>
      </c>
      <c r="J26" s="513" t="s">
        <v>714</v>
      </c>
      <c r="K26" s="416">
        <v>7.9029999999999996</v>
      </c>
      <c r="L26" s="851"/>
      <c r="M26" s="1829"/>
      <c r="N26" s="1227"/>
      <c r="O26" s="1227"/>
      <c r="P26" s="140"/>
      <c r="Q26" s="242"/>
      <c r="S26" s="1235"/>
      <c r="T26" s="165"/>
    </row>
    <row r="27" spans="1:20" ht="15.75" customHeight="1">
      <c r="A27" s="510">
        <v>740</v>
      </c>
      <c r="B27" s="520">
        <v>829</v>
      </c>
      <c r="C27" s="2142" t="s">
        <v>1209</v>
      </c>
      <c r="D27" s="217">
        <v>4414.0420000000004</v>
      </c>
      <c r="E27" s="1848"/>
      <c r="F27" s="2540"/>
      <c r="G27" s="2538"/>
      <c r="H27" s="510">
        <v>984</v>
      </c>
      <c r="I27" s="520">
        <v>851</v>
      </c>
      <c r="J27" s="513" t="s">
        <v>1165</v>
      </c>
      <c r="K27" s="416">
        <v>400.86500000000001</v>
      </c>
      <c r="L27" s="97">
        <v>441.10500000000002</v>
      </c>
      <c r="M27" s="1829"/>
      <c r="N27" s="1227"/>
      <c r="O27" s="1227"/>
      <c r="P27" s="140"/>
      <c r="Q27" s="242"/>
      <c r="S27" s="1235"/>
      <c r="T27" s="165"/>
    </row>
    <row r="28" spans="1:20" ht="20.25" customHeight="1" thickBot="1">
      <c r="A28" s="521">
        <v>750</v>
      </c>
      <c r="B28" s="522">
        <v>82</v>
      </c>
      <c r="C28" s="1245" t="s">
        <v>692</v>
      </c>
      <c r="D28" s="329">
        <f>SUM(D21:D27)</f>
        <v>154467.04199999999</v>
      </c>
      <c r="E28" s="1828"/>
      <c r="F28" s="1966"/>
      <c r="G28" s="1967"/>
      <c r="H28" s="1990">
        <v>992</v>
      </c>
      <c r="I28" s="1859">
        <v>856</v>
      </c>
      <c r="J28" s="513" t="s">
        <v>1038</v>
      </c>
      <c r="K28" s="416">
        <v>1435.221</v>
      </c>
      <c r="L28" s="851"/>
      <c r="M28" s="1829"/>
      <c r="N28" s="1227"/>
      <c r="O28" s="1227"/>
      <c r="P28" s="140"/>
      <c r="Q28" s="242"/>
      <c r="S28" s="1251"/>
      <c r="T28" s="165"/>
    </row>
    <row r="29" spans="1:20" ht="18" customHeight="1" thickBot="1">
      <c r="A29" s="4"/>
      <c r="B29" s="4"/>
      <c r="C29" s="4"/>
      <c r="D29" s="4"/>
      <c r="E29" s="1849"/>
      <c r="F29" s="1966"/>
      <c r="G29" s="1967"/>
      <c r="H29" s="1314">
        <v>998</v>
      </c>
      <c r="I29" s="1248">
        <v>859</v>
      </c>
      <c r="J29" s="1249" t="s">
        <v>1037</v>
      </c>
      <c r="K29" s="1585">
        <v>1071.0609999999999</v>
      </c>
      <c r="L29" s="1940"/>
      <c r="M29" s="1829"/>
      <c r="N29" s="165"/>
      <c r="O29" s="165"/>
      <c r="P29" s="165"/>
      <c r="Q29" s="165"/>
      <c r="S29" s="1227"/>
      <c r="T29" s="165"/>
    </row>
    <row r="30" spans="1:20" ht="19.5" customHeight="1" thickBot="1">
      <c r="A30" s="4"/>
      <c r="B30" s="4"/>
      <c r="C30" s="4"/>
      <c r="D30" s="4"/>
      <c r="E30" s="1850"/>
      <c r="F30" s="2110"/>
      <c r="G30" s="2110"/>
      <c r="H30" s="521">
        <v>990</v>
      </c>
      <c r="I30" s="526"/>
      <c r="J30" s="527" t="s">
        <v>8</v>
      </c>
      <c r="K30" s="1364">
        <f>RR!C15</f>
        <v>26281.438999999998</v>
      </c>
      <c r="L30" s="17"/>
      <c r="N30" s="4"/>
      <c r="O30" s="4"/>
      <c r="P30" s="4"/>
      <c r="Q30" s="4"/>
      <c r="R30" s="165"/>
      <c r="T30" s="165"/>
    </row>
    <row r="31" spans="1:20" ht="16.5" customHeight="1" thickBot="1">
      <c r="A31" s="70" t="s">
        <v>886</v>
      </c>
      <c r="B31" s="4"/>
      <c r="C31" s="4"/>
      <c r="D31" s="33"/>
      <c r="E31" s="192"/>
      <c r="F31" s="2110"/>
      <c r="G31" s="2110"/>
      <c r="H31" s="4"/>
      <c r="I31" s="1256" t="s">
        <v>784</v>
      </c>
      <c r="J31" s="172"/>
      <c r="K31" s="1562">
        <f>(K30-SUM(K22:K29))*-1</f>
        <v>7.2759576141834259E-12</v>
      </c>
      <c r="L31" s="1175"/>
      <c r="M31" s="1175"/>
      <c r="N31" s="4"/>
      <c r="O31" s="4"/>
      <c r="P31" s="4"/>
      <c r="Q31" s="4"/>
      <c r="R31" s="4"/>
      <c r="T31" s="4"/>
    </row>
    <row r="32" spans="1:20" ht="12.75">
      <c r="A32" s="558" t="s">
        <v>603</v>
      </c>
      <c r="B32" s="2021" t="str">
        <f>"BAS "&amp;År-2000&amp;""</f>
        <v>BAS 24</v>
      </c>
      <c r="C32" s="733"/>
      <c r="D32" s="739"/>
      <c r="E32" s="192"/>
      <c r="F32" s="2110"/>
      <c r="G32" s="2110"/>
      <c r="H32" s="4"/>
      <c r="I32" s="4"/>
      <c r="J32" s="4"/>
      <c r="K32" s="4"/>
      <c r="L32" s="4"/>
      <c r="M32" s="4"/>
      <c r="N32" s="4"/>
      <c r="O32" s="4"/>
      <c r="P32" s="4"/>
      <c r="Q32" s="4"/>
      <c r="R32" s="4"/>
      <c r="S32" s="4"/>
      <c r="T32" s="4"/>
    </row>
    <row r="33" spans="1:20" ht="12.75">
      <c r="A33" s="560" t="s">
        <v>605</v>
      </c>
      <c r="B33" s="723"/>
      <c r="C33" s="568"/>
      <c r="D33" s="743"/>
      <c r="E33" s="4"/>
      <c r="F33" s="2110"/>
      <c r="G33" s="2110"/>
      <c r="H33" s="4"/>
      <c r="I33" s="4"/>
      <c r="J33" s="4"/>
      <c r="K33" s="4"/>
      <c r="L33" s="4"/>
      <c r="M33" s="4"/>
      <c r="N33" s="4"/>
      <c r="O33" s="4"/>
      <c r="P33" s="4"/>
      <c r="Q33" s="4"/>
      <c r="R33" s="4"/>
      <c r="S33" s="4"/>
      <c r="T33" s="4"/>
    </row>
    <row r="34" spans="1:20" ht="15">
      <c r="A34" s="763"/>
      <c r="B34" s="725"/>
      <c r="C34" s="553"/>
      <c r="D34" s="744"/>
      <c r="E34" s="4"/>
      <c r="F34" s="2110"/>
      <c r="G34" s="2110"/>
      <c r="H34" s="2110"/>
      <c r="I34" s="2110"/>
      <c r="J34" s="2110"/>
      <c r="K34" s="2110"/>
      <c r="L34" s="4"/>
      <c r="M34" s="4"/>
      <c r="R34" s="4"/>
      <c r="S34" s="4"/>
      <c r="T34" s="4"/>
    </row>
    <row r="35" spans="1:20" ht="12.75">
      <c r="A35" s="712">
        <v>760</v>
      </c>
      <c r="B35" s="524">
        <v>831</v>
      </c>
      <c r="C35" s="525" t="s">
        <v>681</v>
      </c>
      <c r="D35" s="332">
        <v>13118</v>
      </c>
      <c r="E35" s="4"/>
      <c r="F35" s="4"/>
      <c r="G35" s="4"/>
      <c r="H35" s="2110"/>
      <c r="I35" s="2110"/>
      <c r="J35" s="2110"/>
      <c r="K35" s="2110"/>
      <c r="L35" s="1891"/>
    </row>
    <row r="36" spans="1:20" ht="12.75">
      <c r="A36" s="712">
        <v>770</v>
      </c>
      <c r="B36" s="524">
        <v>834</v>
      </c>
      <c r="C36" s="525" t="s">
        <v>682</v>
      </c>
      <c r="D36" s="332">
        <v>0</v>
      </c>
      <c r="E36" s="4"/>
      <c r="F36" s="4"/>
      <c r="G36" s="4"/>
      <c r="H36" s="2110"/>
      <c r="I36" s="2110"/>
      <c r="J36" s="2110"/>
      <c r="K36" s="2110"/>
      <c r="L36" s="1891"/>
      <c r="N36" s="4"/>
      <c r="O36" s="4"/>
      <c r="P36" s="4"/>
      <c r="Q36" s="4"/>
    </row>
    <row r="37" spans="1:20" ht="12.75">
      <c r="A37" s="712">
        <v>780</v>
      </c>
      <c r="B37" s="524">
        <v>835</v>
      </c>
      <c r="C37" s="525" t="s">
        <v>683</v>
      </c>
      <c r="D37" s="333">
        <v>11175</v>
      </c>
      <c r="E37" s="4"/>
      <c r="F37" s="4"/>
      <c r="G37" s="4"/>
      <c r="H37" s="2110"/>
      <c r="I37" s="2110"/>
      <c r="J37" s="2110"/>
      <c r="K37" s="2110"/>
      <c r="L37" s="1891"/>
      <c r="M37" s="4"/>
      <c r="N37" s="4"/>
      <c r="O37" s="4"/>
      <c r="P37" s="4"/>
      <c r="Q37" s="4"/>
      <c r="R37" s="4"/>
      <c r="S37" s="4"/>
      <c r="T37" s="4"/>
    </row>
    <row r="38" spans="1:20" ht="12.75">
      <c r="A38" s="712">
        <v>786</v>
      </c>
      <c r="B38" s="524">
        <v>836</v>
      </c>
      <c r="C38" s="525" t="s">
        <v>684</v>
      </c>
      <c r="D38" s="333">
        <v>5827</v>
      </c>
      <c r="E38" s="4"/>
      <c r="F38" s="4"/>
      <c r="G38" s="4"/>
      <c r="H38" s="2110"/>
      <c r="I38" s="2110"/>
      <c r="J38" s="2110"/>
      <c r="K38" s="2110"/>
      <c r="L38" s="1891"/>
      <c r="M38" s="4"/>
      <c r="N38" s="4"/>
      <c r="O38" s="4"/>
      <c r="P38" s="4"/>
      <c r="Q38" s="4"/>
      <c r="R38" s="4"/>
      <c r="S38" s="4"/>
      <c r="T38" s="4"/>
    </row>
    <row r="39" spans="1:20" ht="13.5" thickBot="1">
      <c r="A39" s="713">
        <v>790</v>
      </c>
      <c r="B39" s="749"/>
      <c r="C39" s="1246" t="s">
        <v>685</v>
      </c>
      <c r="D39" s="330">
        <f>SUM(D35:D38)</f>
        <v>30120</v>
      </c>
      <c r="E39" s="33"/>
      <c r="F39" s="4"/>
      <c r="G39" s="4"/>
      <c r="H39" s="4"/>
      <c r="I39" s="4"/>
      <c r="J39" s="4"/>
      <c r="K39" s="4"/>
      <c r="L39" s="4"/>
      <c r="M39" s="4"/>
      <c r="N39" s="4"/>
      <c r="O39" s="4"/>
      <c r="P39" s="4"/>
      <c r="Q39" s="4"/>
      <c r="R39" s="4"/>
      <c r="S39" s="4"/>
      <c r="T39" s="4"/>
    </row>
    <row r="40" spans="1:20" ht="13.5" thickBot="1">
      <c r="A40" s="222"/>
      <c r="B40" s="15"/>
      <c r="C40" s="16"/>
      <c r="D40" s="17"/>
      <c r="E40" s="33"/>
      <c r="F40" s="4"/>
      <c r="G40" s="4"/>
      <c r="H40" s="4"/>
      <c r="I40" s="4"/>
      <c r="J40" s="4"/>
      <c r="K40" s="4"/>
      <c r="L40" s="4"/>
      <c r="M40" s="4"/>
      <c r="N40" s="4"/>
      <c r="O40" s="4"/>
      <c r="P40" s="4"/>
      <c r="Q40" s="4"/>
      <c r="R40" s="4"/>
      <c r="S40" s="4"/>
      <c r="T40" s="4"/>
    </row>
    <row r="41" spans="1:20" ht="13.5" thickBot="1">
      <c r="A41" s="720">
        <v>765</v>
      </c>
      <c r="B41" s="750">
        <v>828</v>
      </c>
      <c r="C41" s="1247" t="s">
        <v>740</v>
      </c>
      <c r="D41" s="223">
        <v>24051.401000000002</v>
      </c>
      <c r="E41" s="2001" t="str">
        <f>IF(OR(D41="",D41=0),"Kontrollera Kommunal fastighetsavgift","")</f>
        <v/>
      </c>
      <c r="F41" s="4"/>
      <c r="G41" s="4"/>
      <c r="H41" s="4"/>
      <c r="I41" s="4"/>
      <c r="J41" s="4"/>
      <c r="K41" s="4"/>
      <c r="L41" s="4"/>
      <c r="M41" s="4"/>
      <c r="N41" s="4"/>
      <c r="O41" s="4"/>
      <c r="P41" s="4"/>
      <c r="Q41" s="4"/>
      <c r="R41" s="4"/>
      <c r="S41" s="4"/>
      <c r="T41" s="4"/>
    </row>
    <row r="42" spans="1:20" ht="12.75">
      <c r="A42" s="4"/>
      <c r="B42" s="4"/>
      <c r="C42" s="4"/>
      <c r="D42" s="4"/>
      <c r="E42" s="4"/>
      <c r="F42" s="4"/>
      <c r="G42" s="4"/>
      <c r="H42" s="4"/>
      <c r="I42" s="4"/>
      <c r="J42" s="4"/>
      <c r="K42" s="4"/>
      <c r="L42" s="4"/>
      <c r="M42" s="4"/>
      <c r="N42" s="4"/>
      <c r="O42" s="4"/>
      <c r="P42" s="4"/>
      <c r="Q42" s="4"/>
      <c r="R42" s="4"/>
      <c r="S42" s="4"/>
      <c r="T42" s="4"/>
    </row>
    <row r="43" spans="1:20" ht="12.75">
      <c r="A43" s="4"/>
      <c r="B43" s="4"/>
      <c r="C43" s="4"/>
      <c r="D43" s="4"/>
      <c r="E43" s="4"/>
      <c r="F43" s="4"/>
      <c r="G43" s="4"/>
      <c r="H43" s="4"/>
      <c r="I43" s="4"/>
      <c r="J43" s="4"/>
      <c r="K43" s="4"/>
      <c r="L43" s="4"/>
      <c r="M43" s="4"/>
      <c r="N43" s="4"/>
      <c r="O43" s="4"/>
      <c r="P43" s="4"/>
      <c r="Q43" s="4"/>
      <c r="R43" s="4"/>
      <c r="S43" s="4"/>
      <c r="T43" s="4"/>
    </row>
    <row r="44" spans="1:20" ht="12.75" hidden="1">
      <c r="A44" s="4"/>
      <c r="B44" s="4"/>
      <c r="C44" s="4"/>
      <c r="D44" s="4"/>
      <c r="E44" s="4"/>
      <c r="H44" s="4"/>
      <c r="I44" s="4"/>
      <c r="J44" s="4"/>
      <c r="K44" s="4"/>
      <c r="L44" s="4"/>
      <c r="M44" s="4"/>
      <c r="R44" s="4"/>
      <c r="S44" s="4"/>
      <c r="T44" s="4"/>
    </row>
    <row r="45" spans="1:20" ht="12.75" hidden="1" customHeight="1"/>
    <row r="49" s="163" customFormat="1" ht="0" hidden="1" customHeight="1"/>
    <row r="50" s="163" customFormat="1" ht="0" hidden="1" customHeight="1"/>
    <row r="51" s="163" customFormat="1" ht="0" hidden="1" customHeight="1"/>
    <row r="52" s="163" customFormat="1" ht="0" hidden="1" customHeight="1"/>
    <row r="53" s="163" customFormat="1" ht="0" hidden="1" customHeight="1"/>
    <row r="54" s="163" customFormat="1" ht="0" hidden="1" customHeight="1"/>
    <row r="55" s="163" customFormat="1" ht="0" hidden="1" customHeight="1"/>
    <row r="56" s="163" customFormat="1" ht="0" hidden="1" customHeight="1"/>
    <row r="57" s="163" customFormat="1" ht="0" hidden="1" customHeight="1"/>
    <row r="58" s="163" customFormat="1" ht="0" hidden="1" customHeight="1"/>
    <row r="59" s="163" customFormat="1" ht="0" hidden="1" customHeight="1"/>
    <row r="60" s="163" customFormat="1" ht="0" hidden="1" customHeight="1"/>
    <row r="61" s="163" customFormat="1" ht="0" hidden="1" customHeight="1"/>
    <row r="62" s="163" customFormat="1" ht="0" hidden="1" customHeight="1"/>
    <row r="63" s="163" customFormat="1" ht="0" hidden="1" customHeight="1"/>
  </sheetData>
  <sheetProtection algorithmName="SHA-512" hashValue="y/ho/SLCLKQOiaWPFpu4leKHj/1Q5Dsvz8bmlRfydDiVEQHors2fuNo5EyMaGg6IfnEPzZ/Ty8znI2JvMT+1fQ==" saltValue="mmcNJu8BE5NuYm/986fV4A==" spinCount="100000" sheet="1" objects="1" scenarios="1"/>
  <mergeCells count="2">
    <mergeCell ref="N18:Q19"/>
    <mergeCell ref="F25:G27"/>
  </mergeCells>
  <conditionalFormatting sqref="F21">
    <cfRule type="expression" dxfId="119" priority="20">
      <formula>G27&gt;0</formula>
    </cfRule>
  </conditionalFormatting>
  <conditionalFormatting sqref="F25:G27">
    <cfRule type="expression" dxfId="118" priority="10" stopIfTrue="1">
      <formula>(D27)&lt;1000</formula>
    </cfRule>
  </conditionalFormatting>
  <conditionalFormatting sqref="G28:G29">
    <cfRule type="cellIs" dxfId="117" priority="1" stopIfTrue="1" operator="lessThan">
      <formula>0</formula>
    </cfRule>
  </conditionalFormatting>
  <conditionalFormatting sqref="I17">
    <cfRule type="expression" dxfId="116" priority="16" stopIfTrue="1">
      <formula>ABS(K17)&gt;100</formula>
    </cfRule>
  </conditionalFormatting>
  <conditionalFormatting sqref="I31">
    <cfRule type="expression" dxfId="115" priority="14" stopIfTrue="1">
      <formula>ABS(K31)&gt;100</formula>
    </cfRule>
  </conditionalFormatting>
  <conditionalFormatting sqref="K8:L15 D27 D41">
    <cfRule type="cellIs" dxfId="114" priority="19" stopIfTrue="1" operator="lessThan">
      <formula>-500</formula>
    </cfRule>
  </conditionalFormatting>
  <conditionalFormatting sqref="K17:L17">
    <cfRule type="expression" dxfId="113" priority="15" stopIfTrue="1">
      <formula>ABS(K17)&gt;100</formula>
    </cfRule>
  </conditionalFormatting>
  <conditionalFormatting sqref="K22:L29">
    <cfRule type="cellIs" dxfId="112" priority="17" stopIfTrue="1" operator="lessThan">
      <formula>-500</formula>
    </cfRule>
  </conditionalFormatting>
  <conditionalFormatting sqref="K31:L31">
    <cfRule type="expression" dxfId="111" priority="13" stopIfTrue="1">
      <formula>ABS(K31)&gt;100</formula>
    </cfRule>
  </conditionalFormatting>
  <conditionalFormatting sqref="Q8">
    <cfRule type="cellIs" dxfId="110" priority="12" stopIfTrue="1" operator="lessThan">
      <formula>-500</formula>
    </cfRule>
  </conditionalFormatting>
  <conditionalFormatting sqref="Q12:Q16">
    <cfRule type="cellIs" dxfId="109" priority="3" stopIfTrue="1" operator="lessThan">
      <formula>-500</formula>
    </cfRule>
  </conditionalFormatting>
  <conditionalFormatting sqref="Q25:Q28">
    <cfRule type="cellIs" dxfId="108" priority="2" stopIfTrue="1" operator="lessThan">
      <formula>-500</formula>
    </cfRule>
  </conditionalFormatting>
  <dataValidations count="1">
    <dataValidation type="decimal" operator="lessThan" allowBlank="1" showInputMessage="1" showErrorMessage="1" error="Beloppet ska vara i 1000 tal kronor" sqref="K22:L29 D27 D11:D12 D41 G28:G29 Q8 K8:L15 Q25:Q28 Q12:Q16" xr:uid="{00000000-0002-0000-0400-000000000000}">
      <formula1>99999999</formula1>
    </dataValidation>
  </dataValidations>
  <pageMargins left="0.70866141732283472" right="0.70866141732283472" top="0.74803149606299213" bottom="0.15748031496062992" header="0.31496062992125984" footer="0.31496062992125984"/>
  <pageSetup paperSize="9" scale="80" orientation="landscape" r:id="rId1"/>
  <headerFooter>
    <oddHeader>&amp;L&amp;8Statistiska Centralbyrån
Offentlig ekonomi&amp;R&amp;P</oddHead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rgb="FFFFFF00"/>
    <pageSetUpPr fitToPage="1"/>
  </sheetPr>
  <dimension ref="A1:M119"/>
  <sheetViews>
    <sheetView showGridLines="0" zoomScaleNormal="100" workbookViewId="0">
      <pane ySplit="1" topLeftCell="A2" activePane="bottomLeft" state="frozen"/>
      <selection activeCell="F36" sqref="F36"/>
      <selection pane="bottomLeft" activeCell="A2" sqref="A2"/>
    </sheetView>
  </sheetViews>
  <sheetFormatPr defaultColWidth="0" defaultRowHeight="12.75" zeroHeight="1"/>
  <cols>
    <col min="1" max="1" width="4" style="137" customWidth="1"/>
    <col min="2" max="2" width="33.5703125" style="137" customWidth="1"/>
    <col min="3" max="8" width="11.42578125" style="137" customWidth="1"/>
    <col min="9" max="9" width="34" style="140" customWidth="1"/>
    <col min="10" max="10" width="39.5703125" style="137" customWidth="1"/>
    <col min="11" max="11" width="19.85546875" style="137" customWidth="1"/>
    <col min="12" max="12" width="4.42578125" style="163" customWidth="1"/>
    <col min="13" max="13" width="3" style="163" customWidth="1"/>
    <col min="14" max="16384" width="9.42578125" style="163" hidden="1"/>
  </cols>
  <sheetData>
    <row r="1" spans="1:13" s="224" customFormat="1" ht="20.25">
      <c r="A1" s="73" t="str">
        <f>"Investeringsredovisning "&amp;År&amp;", miljoner kr"</f>
        <v>Investeringsredovisning 2024, miljoner kr</v>
      </c>
      <c r="B1" s="90"/>
      <c r="C1" s="90"/>
      <c r="D1" s="90"/>
      <c r="E1" s="91"/>
      <c r="F1" s="91"/>
      <c r="G1" s="475" t="s">
        <v>446</v>
      </c>
      <c r="H1" s="476" t="str">
        <f>Information!A2</f>
        <v>RIKSTOTAL</v>
      </c>
      <c r="I1" s="152"/>
      <c r="J1" s="92">
        <v>1</v>
      </c>
      <c r="K1" s="92"/>
      <c r="L1" s="92"/>
      <c r="M1" s="92"/>
    </row>
    <row r="2" spans="1:13" s="224" customFormat="1" ht="12.75" customHeight="1">
      <c r="A2" s="2110"/>
      <c r="B2" s="2110"/>
      <c r="C2" s="2110"/>
      <c r="D2" s="2110"/>
      <c r="E2" s="2110"/>
      <c r="F2" s="2110"/>
      <c r="G2" s="2110"/>
      <c r="H2" s="2110"/>
      <c r="I2" s="2110"/>
      <c r="J2" s="2110"/>
      <c r="K2" s="2110"/>
      <c r="L2" s="2110"/>
      <c r="M2" s="2110"/>
    </row>
    <row r="3" spans="1:13" s="224" customFormat="1" ht="12.75" customHeight="1" thickBot="1">
      <c r="A3" s="2110"/>
      <c r="B3" s="2110"/>
      <c r="C3" s="2110"/>
      <c r="D3" s="2110"/>
      <c r="E3" s="2110"/>
      <c r="F3" s="2110"/>
      <c r="G3" s="2110"/>
      <c r="H3" s="2110"/>
      <c r="I3" s="2110"/>
      <c r="J3" s="2110"/>
      <c r="K3" s="2110"/>
      <c r="L3" s="2110"/>
      <c r="M3" s="2110"/>
    </row>
    <row r="4" spans="1:13" s="224" customFormat="1" ht="43.5" customHeight="1">
      <c r="A4" s="751" t="s">
        <v>464</v>
      </c>
      <c r="B4" s="752"/>
      <c r="C4" s="2541" t="s">
        <v>1168</v>
      </c>
      <c r="D4" s="2541" t="s">
        <v>938</v>
      </c>
      <c r="E4" s="2541" t="s">
        <v>1169</v>
      </c>
      <c r="F4" s="1592" t="s">
        <v>939</v>
      </c>
      <c r="G4" s="1786" t="s">
        <v>940</v>
      </c>
      <c r="H4" s="1787" t="s">
        <v>1170</v>
      </c>
      <c r="I4" s="64"/>
      <c r="J4" s="41"/>
      <c r="K4" s="225"/>
      <c r="L4" s="225"/>
    </row>
    <row r="5" spans="1:13" s="224" customFormat="1" ht="39.75" customHeight="1">
      <c r="A5" s="753"/>
      <c r="B5" s="754"/>
      <c r="C5" s="2542"/>
      <c r="D5" s="2542"/>
      <c r="E5" s="2542"/>
      <c r="F5" s="1593" t="s">
        <v>743</v>
      </c>
      <c r="G5" s="1594"/>
      <c r="H5" s="1591"/>
      <c r="I5" s="84"/>
      <c r="J5" s="1233"/>
      <c r="K5" s="225"/>
      <c r="L5" s="225"/>
    </row>
    <row r="6" spans="1:13" s="227" customFormat="1" ht="19.5" customHeight="1">
      <c r="A6" s="539" t="s">
        <v>469</v>
      </c>
      <c r="B6" s="540" t="s">
        <v>358</v>
      </c>
      <c r="C6" s="321">
        <v>756015.83799999999</v>
      </c>
      <c r="D6" s="321">
        <v>39494.631999999998</v>
      </c>
      <c r="E6" s="321">
        <v>361493.98599999998</v>
      </c>
      <c r="F6" s="1595">
        <v>88121.085999999996</v>
      </c>
      <c r="G6" s="1596">
        <v>1726231.577</v>
      </c>
      <c r="H6" s="1188">
        <v>45414.834000000003</v>
      </c>
      <c r="I6" s="1958"/>
      <c r="J6" s="1233"/>
      <c r="K6" s="226"/>
      <c r="L6" s="226"/>
    </row>
    <row r="7" spans="1:13" s="227" customFormat="1" ht="19.5" customHeight="1">
      <c r="A7" s="541" t="s">
        <v>470</v>
      </c>
      <c r="B7" s="2196" t="s">
        <v>861</v>
      </c>
      <c r="C7" s="232">
        <v>88710.138000000006</v>
      </c>
      <c r="D7" s="233">
        <v>10457.009</v>
      </c>
      <c r="E7" s="234">
        <v>10009.394</v>
      </c>
      <c r="F7" s="1597">
        <v>5111.1469999999999</v>
      </c>
      <c r="G7" s="1677">
        <v>189246.587</v>
      </c>
      <c r="H7" s="1719">
        <v>3874.2289999999998</v>
      </c>
      <c r="I7" s="1830"/>
      <c r="J7" s="1959" t="str">
        <f>IFERROR(IF(AND(I6&lt;1.5,I6&gt;0.5),"Kontrollera beloppet i kol E. OBS! Internbankens nyupplåning för vidareutlåning ska inte ingå här utan på rad 994, Övriga förändringar",""),IF(F7&gt;E7,"Rad 987: därav-Kol.F&gt;Kol.E",IF(SUM(C7+D7)&gt;G7,"Koncern kol G, borde vara större än kommunen, kol C+D","")))</f>
        <v/>
      </c>
      <c r="K7" s="226"/>
      <c r="L7" s="226"/>
    </row>
    <row r="8" spans="1:13" s="227" customFormat="1" ht="17.25" customHeight="1">
      <c r="A8" s="543" t="s">
        <v>471</v>
      </c>
      <c r="B8" s="542" t="s">
        <v>967</v>
      </c>
      <c r="C8" s="232">
        <v>-2551.8580000000002</v>
      </c>
      <c r="D8" s="233">
        <v>-337.27300000000002</v>
      </c>
      <c r="E8" s="234">
        <v>-2109.2779999999998</v>
      </c>
      <c r="F8" s="1597">
        <v>-147.66999999999999</v>
      </c>
      <c r="G8" s="1677">
        <v>-6872.1589999999997</v>
      </c>
      <c r="H8" s="1719">
        <v>-1644.203</v>
      </c>
      <c r="I8" s="1764"/>
      <c r="J8" s="1887" t="str">
        <f>IF(F8&lt;E8,"Rad 988: därav-kol.F&lt;Kol.E","")</f>
        <v/>
      </c>
      <c r="K8" s="226"/>
      <c r="L8" s="226"/>
    </row>
    <row r="9" spans="1:13" s="227" customFormat="1" ht="20.25" customHeight="1">
      <c r="A9" s="543" t="s">
        <v>472</v>
      </c>
      <c r="B9" s="542" t="s">
        <v>481</v>
      </c>
      <c r="C9" s="296">
        <v>1507.1089999999999</v>
      </c>
      <c r="D9" s="233">
        <v>154.95599999999999</v>
      </c>
      <c r="E9" s="234">
        <v>239.98099999999999</v>
      </c>
      <c r="F9" s="1597">
        <v>91.850999999999999</v>
      </c>
      <c r="G9" s="1677">
        <v>1838.145</v>
      </c>
      <c r="H9" s="1719">
        <v>235.226</v>
      </c>
      <c r="I9" s="1830"/>
      <c r="J9" s="1886" t="str">
        <f>IF(F9&gt;E9,"Rad 989: därav-kol.F&gt;kol.E","")</f>
        <v/>
      </c>
      <c r="K9" s="226"/>
      <c r="L9" s="226"/>
    </row>
    <row r="10" spans="1:13" s="227" customFormat="1" ht="21" customHeight="1">
      <c r="A10" s="543" t="s">
        <v>346</v>
      </c>
      <c r="B10" s="542" t="s">
        <v>981</v>
      </c>
      <c r="C10" s="296">
        <v>-859.62400000000002</v>
      </c>
      <c r="D10" s="233">
        <v>-90.259</v>
      </c>
      <c r="E10" s="234">
        <v>-7.35</v>
      </c>
      <c r="F10" s="1597">
        <v>-0.73099999999999998</v>
      </c>
      <c r="G10" s="1677">
        <v>-1622.9670000000001</v>
      </c>
      <c r="H10" s="1719">
        <v>-6.7720000000000002</v>
      </c>
      <c r="I10" s="1830"/>
      <c r="J10" s="1886" t="str">
        <f>IF(F10&lt;E10,"Rad 990: därav-kol.F&lt;Kol.E","")</f>
        <v/>
      </c>
      <c r="K10" s="226"/>
      <c r="L10" s="226"/>
    </row>
    <row r="11" spans="1:13" s="227" customFormat="1" ht="15" customHeight="1">
      <c r="A11" s="543" t="s">
        <v>347</v>
      </c>
      <c r="B11" s="542" t="s">
        <v>344</v>
      </c>
      <c r="C11" s="232">
        <v>-31713.173999999999</v>
      </c>
      <c r="D11" s="233">
        <v>-7700.6980000000003</v>
      </c>
      <c r="E11" s="1366">
        <v>0</v>
      </c>
      <c r="F11" s="1598">
        <v>0</v>
      </c>
      <c r="G11" s="1677">
        <v>-77572.258000000002</v>
      </c>
      <c r="H11" s="1719">
        <v>-14.96</v>
      </c>
      <c r="I11" s="1764"/>
      <c r="J11" s="1847"/>
      <c r="K11" s="226"/>
      <c r="L11" s="226"/>
    </row>
    <row r="12" spans="1:13" s="227" customFormat="1" ht="15" customHeight="1">
      <c r="A12" s="543" t="s">
        <v>348</v>
      </c>
      <c r="B12" s="542" t="s">
        <v>149</v>
      </c>
      <c r="C12" s="235">
        <v>48.188000000000002</v>
      </c>
      <c r="D12" s="236">
        <v>-17.591999999999999</v>
      </c>
      <c r="E12" s="50">
        <v>-314.19600000000003</v>
      </c>
      <c r="F12" s="1421">
        <v>-288.45</v>
      </c>
      <c r="G12" s="1677">
        <v>-1870.875</v>
      </c>
      <c r="H12" s="1719">
        <v>-147.61000000000001</v>
      </c>
      <c r="I12" s="1952"/>
      <c r="J12" s="2548"/>
      <c r="K12" s="2549"/>
      <c r="L12" s="2549"/>
      <c r="M12" s="2549"/>
    </row>
    <row r="13" spans="1:13" s="227" customFormat="1" ht="19.5" customHeight="1">
      <c r="A13" s="544" t="s">
        <v>349</v>
      </c>
      <c r="B13" s="2196" t="s">
        <v>1099</v>
      </c>
      <c r="C13" s="232">
        <v>8608.4519999999993</v>
      </c>
      <c r="D13" s="233">
        <v>547.39</v>
      </c>
      <c r="E13" s="234">
        <v>-835.82</v>
      </c>
      <c r="F13" s="1597">
        <v>-158.70500000000001</v>
      </c>
      <c r="G13" s="1677">
        <v>7225.52</v>
      </c>
      <c r="H13" s="1719">
        <v>-185.53100000000001</v>
      </c>
      <c r="I13" s="1955"/>
      <c r="J13" s="2549"/>
      <c r="K13" s="2549"/>
      <c r="L13" s="2549"/>
      <c r="M13" s="2549"/>
    </row>
    <row r="14" spans="1:13" s="227" customFormat="1" ht="13.5" customHeight="1">
      <c r="A14" s="543" t="s">
        <v>350</v>
      </c>
      <c r="B14" s="542" t="s">
        <v>345</v>
      </c>
      <c r="C14" s="232">
        <v>12073.487999999999</v>
      </c>
      <c r="D14" s="233">
        <v>-12.298</v>
      </c>
      <c r="E14" s="234">
        <v>28572.522000000001</v>
      </c>
      <c r="F14" s="1597">
        <v>-240.26900000000001</v>
      </c>
      <c r="G14" s="1677">
        <v>13491.903</v>
      </c>
      <c r="H14" s="1719">
        <v>524.60900000000004</v>
      </c>
      <c r="I14" s="1956"/>
      <c r="J14" s="2549"/>
      <c r="K14" s="2549"/>
      <c r="L14" s="2549"/>
      <c r="M14" s="2549"/>
    </row>
    <row r="15" spans="1:13" s="227" customFormat="1" ht="12" thickBot="1">
      <c r="A15" s="545" t="s">
        <v>351</v>
      </c>
      <c r="B15" s="546" t="s">
        <v>359</v>
      </c>
      <c r="C15" s="278">
        <f>BR!D10</f>
        <v>831838.55700000003</v>
      </c>
      <c r="D15" s="279">
        <f>BR!D11</f>
        <v>42495.866999999998</v>
      </c>
      <c r="E15" s="279">
        <f>BR!D17</f>
        <v>397049.23700000002</v>
      </c>
      <c r="F15" s="1599">
        <f>BR!D13</f>
        <v>92488.259000000005</v>
      </c>
      <c r="G15" s="1600">
        <f>BR!E12</f>
        <v>1850095.473</v>
      </c>
      <c r="H15" s="1590">
        <f>BR!E17</f>
        <v>48049.822</v>
      </c>
      <c r="I15" s="1367"/>
      <c r="J15" s="2549"/>
      <c r="K15" s="2549"/>
      <c r="L15" s="2549"/>
      <c r="M15" s="2549"/>
    </row>
    <row r="16" spans="1:13" s="227" customFormat="1" ht="37.5" customHeight="1">
      <c r="A16" s="56"/>
      <c r="B16" s="55"/>
      <c r="C16" s="134"/>
      <c r="D16" s="134"/>
      <c r="E16" s="134"/>
      <c r="F16" s="134"/>
      <c r="G16" s="1678"/>
      <c r="H16" s="1679"/>
      <c r="I16" s="2110"/>
      <c r="J16" s="2110"/>
      <c r="K16" s="2110"/>
      <c r="L16" s="2110"/>
    </row>
    <row r="17" spans="1:12" ht="12.75" customHeight="1">
      <c r="A17" s="265"/>
      <c r="B17" s="192"/>
      <c r="C17" s="41"/>
      <c r="D17" s="41"/>
      <c r="E17" s="41"/>
      <c r="F17" s="41"/>
      <c r="G17" s="1676"/>
      <c r="H17" s="1676"/>
      <c r="I17" s="43"/>
      <c r="J17" s="43"/>
      <c r="K17" s="4"/>
      <c r="L17" s="164"/>
    </row>
    <row r="18" spans="1:12" ht="25.5" customHeight="1">
      <c r="A18" s="1389" t="s">
        <v>1178</v>
      </c>
      <c r="B18" s="1388"/>
      <c r="C18" s="1388"/>
      <c r="D18" s="1388"/>
      <c r="E18" s="1388"/>
      <c r="F18" s="1388"/>
      <c r="G18" s="1388"/>
      <c r="H18" s="1388"/>
      <c r="I18" s="1388"/>
      <c r="J18" s="1388"/>
      <c r="K18" s="1388"/>
      <c r="L18" s="1388"/>
    </row>
    <row r="19" spans="1:12" s="229" customFormat="1" ht="22.5" customHeight="1" thickBot="1">
      <c r="A19" s="1360" t="s">
        <v>1066</v>
      </c>
      <c r="B19" s="228"/>
      <c r="C19" s="57"/>
      <c r="D19" s="58"/>
      <c r="E19" s="59"/>
      <c r="F19" s="59"/>
      <c r="G19" s="59"/>
      <c r="H19" s="59"/>
      <c r="I19" s="153"/>
      <c r="J19" s="151"/>
      <c r="K19" s="60"/>
      <c r="L19" s="228"/>
    </row>
    <row r="20" spans="1:12" ht="14.25" customHeight="1">
      <c r="A20" s="755" t="s">
        <v>603</v>
      </c>
      <c r="B20" s="756" t="s">
        <v>13</v>
      </c>
      <c r="C20" s="1361" t="s">
        <v>865</v>
      </c>
      <c r="D20" s="757" t="s">
        <v>168</v>
      </c>
      <c r="E20" s="758"/>
      <c r="F20" s="758"/>
      <c r="G20" s="1732"/>
      <c r="H20" s="1733"/>
      <c r="I20" s="37"/>
      <c r="J20" s="37"/>
      <c r="K20" s="42"/>
      <c r="L20" s="4"/>
    </row>
    <row r="21" spans="1:12" ht="27.75" customHeight="1">
      <c r="A21" s="759" t="s">
        <v>605</v>
      </c>
      <c r="B21" s="724"/>
      <c r="C21" s="1362" t="s">
        <v>866</v>
      </c>
      <c r="D21" s="1359" t="s">
        <v>924</v>
      </c>
      <c r="E21" s="1359" t="s">
        <v>863</v>
      </c>
      <c r="F21" s="1720" t="s">
        <v>864</v>
      </c>
      <c r="G21" s="1734"/>
      <c r="H21" s="1735"/>
      <c r="I21" s="7"/>
      <c r="J21" s="61"/>
      <c r="K21" s="42"/>
      <c r="L21" s="4"/>
    </row>
    <row r="22" spans="1:12">
      <c r="A22" s="759"/>
      <c r="B22" s="761"/>
      <c r="C22" s="762"/>
      <c r="D22" s="760" t="s">
        <v>925</v>
      </c>
      <c r="E22" s="810" t="s">
        <v>169</v>
      </c>
      <c r="F22" s="1721" t="s">
        <v>170</v>
      </c>
      <c r="G22" s="1736"/>
      <c r="H22" s="1737"/>
      <c r="I22" s="7"/>
      <c r="J22" s="61"/>
      <c r="K22" s="42"/>
      <c r="L22" s="4"/>
    </row>
    <row r="23" spans="1:12" ht="36" customHeight="1">
      <c r="A23" s="763"/>
      <c r="B23" s="764"/>
      <c r="C23" s="765"/>
      <c r="D23" s="1470" t="s">
        <v>928</v>
      </c>
      <c r="E23" s="1471" t="s">
        <v>926</v>
      </c>
      <c r="F23" s="1722" t="s">
        <v>927</v>
      </c>
      <c r="G23" s="1738"/>
      <c r="H23" s="1409"/>
      <c r="I23" s="7"/>
      <c r="J23" s="7"/>
      <c r="K23" s="42"/>
      <c r="L23" s="4"/>
    </row>
    <row r="24" spans="1:12">
      <c r="A24" s="766"/>
      <c r="B24" s="2034" t="s">
        <v>14</v>
      </c>
      <c r="C24" s="767"/>
      <c r="D24" s="767"/>
      <c r="E24" s="767"/>
      <c r="F24" s="1723"/>
      <c r="G24" s="1739"/>
      <c r="H24" s="1740"/>
      <c r="I24" s="154"/>
      <c r="J24" s="155"/>
      <c r="K24" s="156"/>
      <c r="L24" s="156"/>
    </row>
    <row r="25" spans="1:12">
      <c r="A25" s="1806" t="s">
        <v>210</v>
      </c>
      <c r="B25" s="551" t="s">
        <v>15</v>
      </c>
      <c r="C25" s="237">
        <v>90.578999999999994</v>
      </c>
      <c r="D25" s="237">
        <v>71.36</v>
      </c>
      <c r="E25" s="237">
        <v>8.5570000000000004</v>
      </c>
      <c r="F25" s="1724">
        <v>6.9850000000000003</v>
      </c>
      <c r="G25" s="1749"/>
      <c r="H25" s="1741"/>
      <c r="I25" s="293"/>
      <c r="J25" s="293"/>
      <c r="K25" s="294"/>
      <c r="L25" s="172"/>
    </row>
    <row r="26" spans="1:12" ht="18.75">
      <c r="A26" s="768" t="s">
        <v>211</v>
      </c>
      <c r="B26" s="554" t="s">
        <v>984</v>
      </c>
      <c r="C26" s="18">
        <v>9542.6309999999994</v>
      </c>
      <c r="D26" s="18">
        <v>6473.6149999999998</v>
      </c>
      <c r="E26" s="18">
        <v>90.97</v>
      </c>
      <c r="F26" s="416">
        <v>2514.9250000000002</v>
      </c>
      <c r="G26" s="1749"/>
      <c r="H26" s="1741"/>
      <c r="I26" s="293"/>
      <c r="J26" s="293"/>
      <c r="K26" s="294"/>
      <c r="L26" s="172"/>
    </row>
    <row r="27" spans="1:12">
      <c r="A27" s="543" t="s">
        <v>338</v>
      </c>
      <c r="B27" s="513" t="s">
        <v>171</v>
      </c>
      <c r="C27" s="18">
        <v>132.40299999999999</v>
      </c>
      <c r="D27" s="18">
        <v>111.354</v>
      </c>
      <c r="E27" s="18">
        <v>6.423</v>
      </c>
      <c r="F27" s="416">
        <v>1.079</v>
      </c>
      <c r="G27" s="1749"/>
      <c r="H27" s="1741"/>
      <c r="I27" s="293"/>
      <c r="J27" s="293"/>
      <c r="K27" s="294"/>
      <c r="L27" s="172"/>
    </row>
    <row r="28" spans="1:12">
      <c r="A28" s="543" t="s">
        <v>214</v>
      </c>
      <c r="B28" s="513" t="s">
        <v>799</v>
      </c>
      <c r="C28" s="18">
        <v>15860.069</v>
      </c>
      <c r="D28" s="18">
        <v>13910.663</v>
      </c>
      <c r="E28" s="18">
        <v>335.15699999999998</v>
      </c>
      <c r="F28" s="416">
        <v>370.96</v>
      </c>
      <c r="G28" s="1749"/>
      <c r="H28" s="1741"/>
      <c r="I28" s="293"/>
      <c r="J28" s="293"/>
      <c r="K28" s="294"/>
      <c r="L28" s="172"/>
    </row>
    <row r="29" spans="1:12">
      <c r="A29" s="543" t="s">
        <v>215</v>
      </c>
      <c r="B29" s="513" t="s">
        <v>16</v>
      </c>
      <c r="C29" s="18">
        <v>2651.3919999999998</v>
      </c>
      <c r="D29" s="18">
        <v>2063.105</v>
      </c>
      <c r="E29" s="18">
        <v>244.56200000000001</v>
      </c>
      <c r="F29" s="416">
        <v>32.273000000000003</v>
      </c>
      <c r="G29" s="1749"/>
      <c r="H29" s="1741"/>
      <c r="I29" s="293"/>
      <c r="J29" s="293"/>
      <c r="K29" s="294"/>
      <c r="L29" s="172"/>
    </row>
    <row r="30" spans="1:12">
      <c r="A30" s="543" t="s">
        <v>339</v>
      </c>
      <c r="B30" s="513" t="s">
        <v>173</v>
      </c>
      <c r="C30" s="18">
        <v>111.63800000000001</v>
      </c>
      <c r="D30" s="18">
        <v>88.194999999999993</v>
      </c>
      <c r="E30" s="18">
        <v>10.430999999999999</v>
      </c>
      <c r="F30" s="416">
        <v>4.5330000000000004</v>
      </c>
      <c r="G30" s="1749"/>
      <c r="H30" s="1741"/>
      <c r="I30" s="293"/>
      <c r="J30" s="293"/>
      <c r="K30" s="294"/>
      <c r="L30" s="172"/>
    </row>
    <row r="31" spans="1:12">
      <c r="A31" s="543" t="s">
        <v>219</v>
      </c>
      <c r="B31" s="513" t="s">
        <v>17</v>
      </c>
      <c r="C31" s="18">
        <v>813.38300000000004</v>
      </c>
      <c r="D31" s="18">
        <v>477.29199999999997</v>
      </c>
      <c r="E31" s="18">
        <v>285.26499999999999</v>
      </c>
      <c r="F31" s="416">
        <v>17.091000000000001</v>
      </c>
      <c r="G31" s="1749"/>
      <c r="H31" s="1741"/>
      <c r="I31" s="293"/>
      <c r="J31" s="293"/>
      <c r="K31" s="294"/>
      <c r="L31" s="172"/>
    </row>
    <row r="32" spans="1:12">
      <c r="A32" s="543" t="s">
        <v>220</v>
      </c>
      <c r="B32" s="513" t="s">
        <v>174</v>
      </c>
      <c r="C32" s="18">
        <v>425.58</v>
      </c>
      <c r="D32" s="18">
        <v>229.54300000000001</v>
      </c>
      <c r="E32" s="18">
        <v>66.298000000000002</v>
      </c>
      <c r="F32" s="416">
        <v>113.651</v>
      </c>
      <c r="G32" s="1749"/>
      <c r="H32" s="1741"/>
      <c r="I32" s="293"/>
      <c r="J32" s="293"/>
      <c r="K32" s="294"/>
      <c r="L32" s="172"/>
    </row>
    <row r="33" spans="1:12">
      <c r="A33" s="550" t="s">
        <v>221</v>
      </c>
      <c r="B33" s="551" t="s">
        <v>175</v>
      </c>
      <c r="C33" s="336">
        <f>SUM(C26:C32)</f>
        <v>29537.096000000001</v>
      </c>
      <c r="D33" s="336">
        <f>SUM(D26:D32)</f>
        <v>23353.767000000003</v>
      </c>
      <c r="E33" s="336">
        <f>SUM(E26:E32)</f>
        <v>1039.106</v>
      </c>
      <c r="F33" s="1725">
        <f>SUM(F26:F32)</f>
        <v>3054.5120000000002</v>
      </c>
      <c r="G33" s="1749"/>
      <c r="H33" s="1741"/>
      <c r="I33" s="293"/>
      <c r="J33" s="293"/>
      <c r="K33" s="295"/>
      <c r="L33" s="172"/>
    </row>
    <row r="34" spans="1:12">
      <c r="A34" s="552" t="s">
        <v>231</v>
      </c>
      <c r="B34" s="553" t="s">
        <v>176</v>
      </c>
      <c r="C34" s="238">
        <v>9387.1149999999998</v>
      </c>
      <c r="D34" s="238">
        <v>7025.5219999999999</v>
      </c>
      <c r="E34" s="238">
        <v>731.48500000000001</v>
      </c>
      <c r="F34" s="1726">
        <v>1255.9680000000001</v>
      </c>
      <c r="G34" s="1749"/>
      <c r="H34" s="1741"/>
      <c r="I34" s="293"/>
      <c r="J34" s="293"/>
      <c r="K34" s="294"/>
      <c r="L34" s="172"/>
    </row>
    <row r="35" spans="1:12" ht="18.75">
      <c r="A35" s="769" t="s">
        <v>237</v>
      </c>
      <c r="B35" s="1159" t="s">
        <v>721</v>
      </c>
      <c r="C35" s="237">
        <v>6492.7849999999999</v>
      </c>
      <c r="D35" s="237">
        <v>5677.1909999999998</v>
      </c>
      <c r="E35" s="237">
        <v>326.084</v>
      </c>
      <c r="F35" s="1724">
        <v>343.65899999999999</v>
      </c>
      <c r="G35" s="1749"/>
      <c r="H35" s="1741"/>
      <c r="I35" s="293"/>
      <c r="J35" s="293"/>
      <c r="K35" s="294"/>
      <c r="L35" s="172"/>
    </row>
    <row r="36" spans="1:12">
      <c r="A36" s="547"/>
      <c r="B36" s="548" t="s">
        <v>177</v>
      </c>
      <c r="C36" s="770"/>
      <c r="D36" s="770"/>
      <c r="E36" s="770"/>
      <c r="F36" s="1727"/>
      <c r="G36" s="1749"/>
      <c r="H36" s="1741"/>
      <c r="I36" s="293"/>
      <c r="J36" s="293"/>
      <c r="K36" s="294"/>
      <c r="L36" s="172"/>
    </row>
    <row r="37" spans="1:12" ht="18.75">
      <c r="A37" s="541" t="s">
        <v>383</v>
      </c>
      <c r="B37" s="2146" t="s">
        <v>1189</v>
      </c>
      <c r="C37" s="18">
        <v>14788.826999999999</v>
      </c>
      <c r="D37" s="18">
        <v>12087.187</v>
      </c>
      <c r="E37" s="18">
        <v>1105.4570000000001</v>
      </c>
      <c r="F37" s="416">
        <v>1130.105</v>
      </c>
      <c r="G37" s="1749"/>
      <c r="H37" s="1741"/>
      <c r="I37" s="293"/>
      <c r="J37" s="293"/>
      <c r="K37" s="294"/>
      <c r="L37" s="172"/>
    </row>
    <row r="38" spans="1:12">
      <c r="A38" s="543" t="s">
        <v>340</v>
      </c>
      <c r="B38" s="2138" t="s">
        <v>1190</v>
      </c>
      <c r="C38" s="18">
        <v>2830.5349999999999</v>
      </c>
      <c r="D38" s="18">
        <v>1882.2329999999999</v>
      </c>
      <c r="E38" s="18">
        <v>445.69299999999998</v>
      </c>
      <c r="F38" s="416">
        <v>402.149</v>
      </c>
      <c r="G38" s="1749"/>
      <c r="H38" s="1741"/>
      <c r="I38" s="293"/>
      <c r="J38" s="293"/>
      <c r="K38" s="294"/>
      <c r="L38" s="172"/>
    </row>
    <row r="39" spans="1:12">
      <c r="A39" s="541" t="s">
        <v>341</v>
      </c>
      <c r="B39" s="513" t="s">
        <v>18</v>
      </c>
      <c r="C39" s="18">
        <v>339.642</v>
      </c>
      <c r="D39" s="18">
        <v>249.81100000000001</v>
      </c>
      <c r="E39" s="18">
        <v>54.820999999999998</v>
      </c>
      <c r="F39" s="416">
        <v>6.5220000000000002</v>
      </c>
      <c r="G39" s="1749"/>
      <c r="H39" s="1741"/>
      <c r="I39" s="293"/>
      <c r="J39" s="293"/>
      <c r="K39" s="294"/>
      <c r="L39" s="294"/>
    </row>
    <row r="40" spans="1:12">
      <c r="A40" s="550" t="s">
        <v>245</v>
      </c>
      <c r="B40" s="551" t="s">
        <v>19</v>
      </c>
      <c r="C40" s="336">
        <f>SUM(C37:C39)</f>
        <v>17959.004000000001</v>
      </c>
      <c r="D40" s="336">
        <f>SUM(D37:D39)</f>
        <v>14219.231</v>
      </c>
      <c r="E40" s="336">
        <f>SUM(E37:E39)</f>
        <v>1605.971</v>
      </c>
      <c r="F40" s="1725">
        <f>SUM(F37:F39)</f>
        <v>1538.7759999999998</v>
      </c>
      <c r="G40" s="1749"/>
      <c r="H40" s="1741"/>
      <c r="I40" s="293"/>
      <c r="J40" s="293"/>
      <c r="K40" s="294"/>
      <c r="L40" s="294"/>
    </row>
    <row r="41" spans="1:12">
      <c r="A41" s="552" t="s">
        <v>246</v>
      </c>
      <c r="B41" s="553" t="s">
        <v>178</v>
      </c>
      <c r="C41" s="336">
        <f>C35+C40</f>
        <v>24451.789000000001</v>
      </c>
      <c r="D41" s="336">
        <f>D35+D40</f>
        <v>19896.421999999999</v>
      </c>
      <c r="E41" s="336">
        <f>E35+E40</f>
        <v>1932.0550000000001</v>
      </c>
      <c r="F41" s="1728">
        <f>F35+F40</f>
        <v>1882.4349999999999</v>
      </c>
      <c r="G41" s="1749"/>
      <c r="H41" s="1741"/>
      <c r="I41" s="293"/>
      <c r="J41" s="293"/>
      <c r="K41" s="294"/>
      <c r="L41" s="294"/>
    </row>
    <row r="42" spans="1:12" ht="18.75">
      <c r="A42" s="539" t="s">
        <v>247</v>
      </c>
      <c r="B42" s="554" t="s">
        <v>179</v>
      </c>
      <c r="C42" s="18">
        <v>4.4370000000000003</v>
      </c>
      <c r="D42" s="18">
        <v>1.8160000000000001</v>
      </c>
      <c r="E42" s="18">
        <v>2.081</v>
      </c>
      <c r="F42" s="416">
        <v>0</v>
      </c>
      <c r="G42" s="1749"/>
      <c r="H42" s="1741"/>
      <c r="I42" s="293"/>
      <c r="J42" s="293"/>
      <c r="K42" s="294"/>
      <c r="L42" s="294"/>
    </row>
    <row r="43" spans="1:12">
      <c r="A43" s="555" t="s">
        <v>248</v>
      </c>
      <c r="B43" s="513" t="s">
        <v>97</v>
      </c>
      <c r="C43" s="18">
        <v>177.25899999999999</v>
      </c>
      <c r="D43" s="18">
        <v>124.864</v>
      </c>
      <c r="E43" s="18">
        <v>44.509</v>
      </c>
      <c r="F43" s="416">
        <v>0.14499999999999999</v>
      </c>
      <c r="G43" s="1749"/>
      <c r="H43" s="1741"/>
      <c r="I43" s="293"/>
      <c r="J43" s="293"/>
      <c r="K43" s="294"/>
      <c r="L43" s="172"/>
    </row>
    <row r="44" spans="1:12">
      <c r="A44" s="543" t="s">
        <v>425</v>
      </c>
      <c r="B44" s="556" t="s">
        <v>476</v>
      </c>
      <c r="C44" s="454">
        <v>5209.1989999999996</v>
      </c>
      <c r="D44" s="18">
        <v>3025.0369999999998</v>
      </c>
      <c r="E44" s="18">
        <v>635.75400000000002</v>
      </c>
      <c r="F44" s="416">
        <v>1363.11</v>
      </c>
      <c r="G44" s="1749"/>
      <c r="H44" s="1741"/>
      <c r="I44" s="293"/>
      <c r="J44" s="293"/>
      <c r="K44" s="294"/>
      <c r="L44" s="172"/>
    </row>
    <row r="45" spans="1:12" ht="18.75">
      <c r="A45" s="543" t="s">
        <v>488</v>
      </c>
      <c r="B45" s="549" t="s">
        <v>489</v>
      </c>
      <c r="C45" s="454">
        <v>1376.652</v>
      </c>
      <c r="D45" s="18">
        <v>740.93899999999996</v>
      </c>
      <c r="E45" s="18">
        <v>118.67400000000001</v>
      </c>
      <c r="F45" s="416">
        <v>418.41699999999997</v>
      </c>
      <c r="G45" s="1749"/>
      <c r="H45" s="1741"/>
      <c r="I45" s="293"/>
      <c r="J45" s="293"/>
      <c r="K45" s="294"/>
      <c r="L45" s="172"/>
    </row>
    <row r="46" spans="1:12">
      <c r="A46" s="543" t="s">
        <v>342</v>
      </c>
      <c r="B46" s="513" t="s">
        <v>180</v>
      </c>
      <c r="C46" s="18">
        <v>310.21699999999998</v>
      </c>
      <c r="D46" s="18">
        <v>179.19399999999999</v>
      </c>
      <c r="E46" s="18">
        <v>56.137</v>
      </c>
      <c r="F46" s="416">
        <v>56.046999999999997</v>
      </c>
      <c r="G46" s="1749"/>
      <c r="H46" s="1741"/>
      <c r="I46" s="293"/>
      <c r="J46" s="293"/>
      <c r="K46" s="294"/>
      <c r="L46" s="172"/>
    </row>
    <row r="47" spans="1:12">
      <c r="A47" s="550" t="s">
        <v>343</v>
      </c>
      <c r="B47" s="771" t="s">
        <v>181</v>
      </c>
      <c r="C47" s="336">
        <f>SUM(C42:C46)</f>
        <v>7077.7639999999992</v>
      </c>
      <c r="D47" s="336">
        <f>SUM(D42:D46)</f>
        <v>4071.8499999999995</v>
      </c>
      <c r="E47" s="336">
        <f>SUM(E42:E46)</f>
        <v>857.15499999999997</v>
      </c>
      <c r="F47" s="1725">
        <f>SUM(F42:F46)</f>
        <v>1837.7189999999998</v>
      </c>
      <c r="G47" s="1749"/>
      <c r="H47" s="1741"/>
      <c r="I47" s="293"/>
      <c r="J47" s="293"/>
      <c r="K47" s="295"/>
      <c r="L47" s="172"/>
    </row>
    <row r="48" spans="1:12">
      <c r="A48" s="552" t="s">
        <v>253</v>
      </c>
      <c r="B48" s="553" t="s">
        <v>182</v>
      </c>
      <c r="C48" s="238">
        <v>42.271000000000001</v>
      </c>
      <c r="D48" s="238">
        <v>19.516999999999999</v>
      </c>
      <c r="E48" s="238">
        <v>12.263999999999999</v>
      </c>
      <c r="F48" s="1726">
        <v>5.6029999999999998</v>
      </c>
      <c r="G48" s="1749"/>
      <c r="H48" s="1741"/>
      <c r="I48" s="293"/>
      <c r="J48" s="293"/>
      <c r="K48" s="294"/>
      <c r="L48" s="172"/>
    </row>
    <row r="49" spans="1:12">
      <c r="A49" s="769" t="s">
        <v>254</v>
      </c>
      <c r="B49" s="551" t="s">
        <v>20</v>
      </c>
      <c r="C49" s="336">
        <f>SUM(C25,C33,C34,C41,C47,C48)</f>
        <v>70586.613999999987</v>
      </c>
      <c r="D49" s="336">
        <f>SUM(D25,D33,D34,D41,D47,D48)</f>
        <v>54438.438000000002</v>
      </c>
      <c r="E49" s="336">
        <f>SUM(E25,E33,E34,E41,E47,E48)</f>
        <v>4580.6220000000003</v>
      </c>
      <c r="F49" s="1729">
        <f>SUM(F25,F33,F34,F41,F47,F48)</f>
        <v>8043.2219999999998</v>
      </c>
      <c r="G49" s="1749"/>
      <c r="H49" s="1741"/>
      <c r="I49" s="293"/>
      <c r="J49" s="293"/>
      <c r="K49" s="294"/>
      <c r="L49" s="172"/>
    </row>
    <row r="50" spans="1:12" ht="31.5" customHeight="1">
      <c r="A50" s="768" t="s">
        <v>255</v>
      </c>
      <c r="B50" s="549" t="s">
        <v>1172</v>
      </c>
      <c r="C50" s="18">
        <v>2727.152</v>
      </c>
      <c r="D50" s="18">
        <v>2000.1410000000001</v>
      </c>
      <c r="E50" s="18">
        <v>36.234999999999999</v>
      </c>
      <c r="F50" s="416">
        <v>512.42499999999995</v>
      </c>
      <c r="G50" s="1749"/>
      <c r="H50" s="1741"/>
      <c r="I50" s="293"/>
      <c r="J50" s="293"/>
      <c r="K50" s="294"/>
      <c r="L50" s="172"/>
    </row>
    <row r="51" spans="1:12">
      <c r="A51" s="555" t="s">
        <v>256</v>
      </c>
      <c r="B51" s="525" t="s">
        <v>21</v>
      </c>
      <c r="C51" s="18">
        <v>1517.039</v>
      </c>
      <c r="D51" s="18">
        <v>1489.145</v>
      </c>
      <c r="E51" s="18">
        <v>3.5529999999999999</v>
      </c>
      <c r="F51" s="416">
        <v>5.8949999999999996</v>
      </c>
      <c r="G51" s="1749"/>
      <c r="H51" s="1741"/>
      <c r="I51" s="293"/>
      <c r="J51" s="293"/>
      <c r="K51" s="294"/>
      <c r="L51" s="172"/>
    </row>
    <row r="52" spans="1:12">
      <c r="A52" s="555" t="s">
        <v>257</v>
      </c>
      <c r="B52" s="525" t="s">
        <v>22</v>
      </c>
      <c r="C52" s="18">
        <v>491.59300000000002</v>
      </c>
      <c r="D52" s="18">
        <v>268.43400000000003</v>
      </c>
      <c r="E52" s="18">
        <v>29.29</v>
      </c>
      <c r="F52" s="416">
        <v>140.161</v>
      </c>
      <c r="G52" s="1749"/>
      <c r="H52" s="1741"/>
      <c r="I52" s="293"/>
      <c r="J52" s="293"/>
      <c r="K52" s="294"/>
      <c r="L52" s="172"/>
    </row>
    <row r="53" spans="1:12">
      <c r="A53" s="555" t="s">
        <v>258</v>
      </c>
      <c r="B53" s="525" t="s">
        <v>23</v>
      </c>
      <c r="C53" s="18">
        <v>4650.6260000000002</v>
      </c>
      <c r="D53" s="18">
        <v>2632.39</v>
      </c>
      <c r="E53" s="18">
        <v>19.331</v>
      </c>
      <c r="F53" s="416">
        <v>1668.434</v>
      </c>
      <c r="G53" s="1749"/>
      <c r="H53" s="1741"/>
      <c r="I53" s="293"/>
      <c r="J53" s="293"/>
      <c r="K53" s="294"/>
      <c r="L53" s="172"/>
    </row>
    <row r="54" spans="1:12">
      <c r="A54" s="772" t="s">
        <v>259</v>
      </c>
      <c r="B54" s="773" t="s">
        <v>24</v>
      </c>
      <c r="C54" s="336">
        <f>SUM(C50:C53)</f>
        <v>9386.41</v>
      </c>
      <c r="D54" s="336">
        <f>SUM(D50:D53)</f>
        <v>6390.1100000000006</v>
      </c>
      <c r="E54" s="336">
        <f>SUM(E50:E53)</f>
        <v>88.409000000000006</v>
      </c>
      <c r="F54" s="1725">
        <f>SUM(F50:F53)</f>
        <v>2326.915</v>
      </c>
      <c r="G54" s="1749"/>
      <c r="H54" s="1741"/>
      <c r="I54" s="293"/>
      <c r="J54" s="293"/>
      <c r="K54" s="295"/>
      <c r="L54" s="172"/>
    </row>
    <row r="55" spans="1:12" ht="18.75">
      <c r="A55" s="539" t="s">
        <v>260</v>
      </c>
      <c r="B55" s="774" t="s">
        <v>183</v>
      </c>
      <c r="C55" s="18">
        <v>47.408999999999999</v>
      </c>
      <c r="D55" s="18">
        <v>41.932000000000002</v>
      </c>
      <c r="E55" s="18">
        <v>4.3179999999999996</v>
      </c>
      <c r="F55" s="416">
        <v>0</v>
      </c>
      <c r="G55" s="1749"/>
      <c r="H55" s="1741"/>
      <c r="I55" s="293"/>
      <c r="J55" s="293"/>
      <c r="K55" s="294"/>
      <c r="L55" s="172"/>
    </row>
    <row r="56" spans="1:12">
      <c r="A56" s="555" t="s">
        <v>261</v>
      </c>
      <c r="B56" s="563" t="s">
        <v>798</v>
      </c>
      <c r="C56" s="18">
        <v>250.143</v>
      </c>
      <c r="D56" s="18">
        <v>219.47900000000001</v>
      </c>
      <c r="E56" s="18">
        <v>0.54500000000000004</v>
      </c>
      <c r="F56" s="416">
        <v>1.274</v>
      </c>
      <c r="G56" s="1749"/>
      <c r="H56" s="1741"/>
      <c r="I56" s="293"/>
      <c r="J56" s="293"/>
      <c r="K56" s="294"/>
      <c r="L56" s="172"/>
    </row>
    <row r="57" spans="1:12">
      <c r="A57" s="555" t="s">
        <v>262</v>
      </c>
      <c r="B57" s="775" t="s">
        <v>25</v>
      </c>
      <c r="C57" s="18">
        <v>10.807</v>
      </c>
      <c r="D57" s="18">
        <v>8.0269999999999992</v>
      </c>
      <c r="E57" s="18">
        <v>1.93</v>
      </c>
      <c r="F57" s="416">
        <v>0</v>
      </c>
      <c r="G57" s="1749"/>
      <c r="H57" s="1741"/>
      <c r="I57" s="293"/>
      <c r="J57" s="293"/>
      <c r="K57" s="294"/>
      <c r="L57" s="172"/>
    </row>
    <row r="58" spans="1:12">
      <c r="A58" s="772" t="s">
        <v>263</v>
      </c>
      <c r="B58" s="553" t="s">
        <v>26</v>
      </c>
      <c r="C58" s="336">
        <f>SUM(C55:C57)</f>
        <v>308.35900000000004</v>
      </c>
      <c r="D58" s="336">
        <f>SUM(D55:D57)</f>
        <v>269.43799999999999</v>
      </c>
      <c r="E58" s="336">
        <f>SUM(E55:E57)</f>
        <v>6.7929999999999993</v>
      </c>
      <c r="F58" s="1725">
        <f>SUM(F55:F57)</f>
        <v>1.274</v>
      </c>
      <c r="G58" s="1749"/>
      <c r="H58" s="1741"/>
      <c r="I58" s="293"/>
      <c r="J58" s="293"/>
      <c r="K58" s="295"/>
      <c r="L58" s="172"/>
    </row>
    <row r="59" spans="1:12" ht="18.75">
      <c r="A59" s="539" t="s">
        <v>264</v>
      </c>
      <c r="B59" s="554" t="s">
        <v>184</v>
      </c>
      <c r="C59" s="18">
        <v>51.686</v>
      </c>
      <c r="D59" s="18">
        <v>31.155000000000001</v>
      </c>
      <c r="E59" s="18">
        <v>9.8819999999999997</v>
      </c>
      <c r="F59" s="416">
        <v>4.5839999999999996</v>
      </c>
      <c r="G59" s="1749"/>
      <c r="H59" s="1741"/>
      <c r="I59" s="293"/>
      <c r="J59" s="293"/>
      <c r="K59" s="294"/>
      <c r="L59" s="172"/>
    </row>
    <row r="60" spans="1:12">
      <c r="A60" s="555" t="s">
        <v>265</v>
      </c>
      <c r="B60" s="525" t="s">
        <v>27</v>
      </c>
      <c r="C60" s="18">
        <v>13.32</v>
      </c>
      <c r="D60" s="18">
        <v>8.5790000000000006</v>
      </c>
      <c r="E60" s="18">
        <v>0.747</v>
      </c>
      <c r="F60" s="416">
        <v>0</v>
      </c>
      <c r="G60" s="1749"/>
      <c r="H60" s="1741"/>
      <c r="I60" s="293"/>
      <c r="J60" s="293"/>
      <c r="K60" s="294"/>
      <c r="L60" s="172"/>
    </row>
    <row r="61" spans="1:12">
      <c r="A61" s="555" t="s">
        <v>266</v>
      </c>
      <c r="B61" s="525" t="s">
        <v>28</v>
      </c>
      <c r="C61" s="18">
        <v>12021.782999999999</v>
      </c>
      <c r="D61" s="18">
        <v>10158.92</v>
      </c>
      <c r="E61" s="18">
        <v>308.37400000000002</v>
      </c>
      <c r="F61" s="416">
        <v>536.11500000000001</v>
      </c>
      <c r="G61" s="1749"/>
      <c r="H61" s="1741"/>
      <c r="I61" s="293"/>
      <c r="J61" s="293"/>
      <c r="K61" s="294"/>
      <c r="L61" s="172"/>
    </row>
    <row r="62" spans="1:12">
      <c r="A62" s="555" t="s">
        <v>267</v>
      </c>
      <c r="B62" s="525" t="s">
        <v>29</v>
      </c>
      <c r="C62" s="18">
        <v>735.06</v>
      </c>
      <c r="D62" s="18">
        <v>358.79700000000003</v>
      </c>
      <c r="E62" s="18">
        <v>237.59899999999999</v>
      </c>
      <c r="F62" s="416">
        <v>25.396000000000001</v>
      </c>
      <c r="G62" s="1749"/>
      <c r="H62" s="1741"/>
      <c r="I62" s="293"/>
      <c r="J62" s="293"/>
      <c r="K62" s="294"/>
      <c r="L62" s="172"/>
    </row>
    <row r="63" spans="1:12">
      <c r="A63" s="772" t="s">
        <v>268</v>
      </c>
      <c r="B63" s="553" t="s">
        <v>185</v>
      </c>
      <c r="C63" s="336">
        <f>SUM(C59:C62)</f>
        <v>12821.848999999998</v>
      </c>
      <c r="D63" s="336">
        <f>SUM(D59:D62)</f>
        <v>10557.451000000001</v>
      </c>
      <c r="E63" s="336">
        <f>SUM(E59:E62)</f>
        <v>556.60200000000009</v>
      </c>
      <c r="F63" s="1725">
        <f>SUM(F59:F62)</f>
        <v>566.09499999999991</v>
      </c>
      <c r="G63" s="1749"/>
      <c r="H63" s="1741"/>
      <c r="I63" s="293"/>
      <c r="J63" s="293"/>
      <c r="K63" s="295"/>
      <c r="L63" s="172"/>
    </row>
    <row r="64" spans="1:12">
      <c r="A64" s="769" t="s">
        <v>269</v>
      </c>
      <c r="B64" s="551" t="s">
        <v>30</v>
      </c>
      <c r="C64" s="336">
        <f>SUM(C54,C58,C63)</f>
        <v>22516.617999999999</v>
      </c>
      <c r="D64" s="336">
        <f>SUM(D54,D58,D63)</f>
        <v>17216.999000000003</v>
      </c>
      <c r="E64" s="336">
        <f>SUM(E54,E58,E63)</f>
        <v>651.80400000000009</v>
      </c>
      <c r="F64" s="1729">
        <f>SUM(F54,F58,F63)</f>
        <v>2894.2839999999997</v>
      </c>
      <c r="G64" s="1749"/>
      <c r="H64" s="1741"/>
      <c r="I64" s="293"/>
      <c r="J64" s="293"/>
      <c r="K64" s="294"/>
      <c r="L64" s="172"/>
    </row>
    <row r="65" spans="1:13" ht="13.5" thickBot="1">
      <c r="A65" s="776" t="s">
        <v>272</v>
      </c>
      <c r="B65" s="777" t="s">
        <v>32</v>
      </c>
      <c r="C65" s="239">
        <v>6147.6189999999997</v>
      </c>
      <c r="D65" s="239">
        <v>2430.5610000000001</v>
      </c>
      <c r="E65" s="239">
        <v>2636.636</v>
      </c>
      <c r="F65" s="1730">
        <v>392.27600000000001</v>
      </c>
      <c r="G65" s="1749"/>
      <c r="H65" s="1741"/>
      <c r="I65" s="293"/>
      <c r="J65" s="293"/>
      <c r="K65" s="294"/>
      <c r="L65" s="172"/>
    </row>
    <row r="66" spans="1:13" ht="27" customHeight="1" thickBot="1">
      <c r="A66" s="778" t="s">
        <v>273</v>
      </c>
      <c r="B66" s="626" t="s">
        <v>33</v>
      </c>
      <c r="C66" s="337">
        <f>SUM(C49,C64,C65)</f>
        <v>99250.850999999995</v>
      </c>
      <c r="D66" s="337">
        <f>SUM(D49,D64,D65)</f>
        <v>74085.998000000007</v>
      </c>
      <c r="E66" s="337">
        <f>SUM(E49,E64,E65)</f>
        <v>7869.0619999999999</v>
      </c>
      <c r="F66" s="1731">
        <f>SUM(F49,F64,F65)</f>
        <v>11329.781999999999</v>
      </c>
      <c r="G66" s="1749"/>
      <c r="H66" s="1741"/>
      <c r="I66" s="1135"/>
      <c r="J66" s="1352"/>
      <c r="K66" s="1143"/>
      <c r="L66" s="172"/>
    </row>
    <row r="67" spans="1:13" ht="10.5" customHeight="1">
      <c r="A67" s="284"/>
      <c r="B67" s="16"/>
      <c r="C67" s="68"/>
      <c r="D67" s="68"/>
      <c r="E67" s="68"/>
      <c r="F67" s="68"/>
      <c r="G67" s="2110"/>
      <c r="H67" s="2110"/>
      <c r="I67" s="2110"/>
      <c r="J67" s="2110"/>
      <c r="K67" s="2110"/>
      <c r="L67" s="4"/>
    </row>
    <row r="68" spans="1:13" ht="25.5" customHeight="1">
      <c r="A68" s="284"/>
      <c r="B68" s="16"/>
      <c r="C68" s="68"/>
      <c r="D68" s="68"/>
      <c r="E68" s="68"/>
      <c r="F68" s="68"/>
      <c r="G68" s="2110"/>
      <c r="H68" s="2110"/>
      <c r="I68" s="2110"/>
      <c r="J68" s="2110"/>
      <c r="K68" s="2110"/>
      <c r="L68" s="1743"/>
    </row>
    <row r="69" spans="1:13" ht="31.5" customHeight="1">
      <c r="A69" s="284"/>
      <c r="B69" s="16"/>
      <c r="C69" s="68"/>
      <c r="D69" s="68"/>
      <c r="E69" s="68"/>
      <c r="F69" s="68"/>
      <c r="G69" s="2110"/>
      <c r="H69" s="2110"/>
      <c r="I69" s="2110"/>
      <c r="J69" s="2110"/>
      <c r="K69" s="2110"/>
      <c r="L69" s="1743"/>
      <c r="M69" s="1155"/>
    </row>
    <row r="70" spans="1:13" ht="28.5" customHeight="1">
      <c r="A70" s="2543" t="s">
        <v>1067</v>
      </c>
      <c r="B70" s="2544"/>
      <c r="C70" s="2545"/>
      <c r="D70" s="2545"/>
      <c r="E70" s="2545"/>
      <c r="F70" s="2545"/>
      <c r="G70" s="68"/>
      <c r="H70" s="1209"/>
      <c r="I70" s="1718"/>
      <c r="J70" s="1718"/>
      <c r="K70" s="1718"/>
      <c r="L70" s="1718"/>
      <c r="M70" s="1155"/>
    </row>
    <row r="71" spans="1:13">
      <c r="A71" s="1605" t="s">
        <v>943</v>
      </c>
      <c r="B71" s="1264"/>
      <c r="C71" s="135"/>
      <c r="D71" s="65"/>
      <c r="F71" s="66"/>
      <c r="G71" s="67"/>
      <c r="H71" s="230"/>
      <c r="I71" s="1718"/>
      <c r="J71" s="1718"/>
      <c r="K71" s="1718"/>
      <c r="L71" s="1718"/>
      <c r="M71" s="1155"/>
    </row>
    <row r="72" spans="1:13" ht="32.25" customHeight="1" thickBot="1">
      <c r="A72" s="1601" t="s">
        <v>979</v>
      </c>
      <c r="B72" s="84"/>
      <c r="C72" s="1233"/>
      <c r="D72" s="37"/>
      <c r="E72" s="1153"/>
      <c r="F72" s="1154"/>
      <c r="G72" s="1154"/>
      <c r="H72" s="1154"/>
      <c r="I72" s="1742"/>
      <c r="J72" s="1742"/>
      <c r="K72" s="1742"/>
      <c r="L72" s="1742"/>
      <c r="M72" s="1155"/>
    </row>
    <row r="73" spans="1:13" ht="27">
      <c r="A73" s="1603" t="s">
        <v>941</v>
      </c>
      <c r="B73" s="2002" t="s">
        <v>942</v>
      </c>
      <c r="C73" s="1625"/>
      <c r="D73" s="139"/>
      <c r="E73" s="1154"/>
      <c r="F73" s="1154"/>
      <c r="G73" s="1767"/>
      <c r="H73" s="1154"/>
      <c r="I73" s="1767"/>
      <c r="J73" s="270"/>
      <c r="K73" s="270"/>
      <c r="L73" s="270"/>
      <c r="M73" s="1155"/>
    </row>
    <row r="74" spans="1:13" ht="15" customHeight="1">
      <c r="A74" s="1802" t="s">
        <v>411</v>
      </c>
      <c r="B74" s="2197" t="s">
        <v>1105</v>
      </c>
      <c r="C74" s="214">
        <v>4589.6570000000002</v>
      </c>
      <c r="D74" s="1778"/>
      <c r="E74" s="1154"/>
      <c r="F74" s="1154"/>
      <c r="G74" s="1744"/>
      <c r="H74" s="167"/>
      <c r="I74" s="167"/>
      <c r="J74" s="167"/>
      <c r="K74" s="167"/>
      <c r="L74" s="167"/>
      <c r="M74" s="1155"/>
    </row>
    <row r="75" spans="1:13" ht="13.5" thickBot="1">
      <c r="A75" s="1803">
        <v>705</v>
      </c>
      <c r="B75" s="2198" t="s">
        <v>1097</v>
      </c>
      <c r="C75" s="218">
        <v>6816.0079999999998</v>
      </c>
      <c r="D75" s="1778"/>
      <c r="E75" s="1154"/>
      <c r="F75" s="1154"/>
      <c r="G75" s="167"/>
      <c r="H75" s="269"/>
      <c r="I75" s="167"/>
      <c r="J75" s="167"/>
      <c r="K75" s="167"/>
      <c r="L75" s="167"/>
      <c r="M75" s="1155"/>
    </row>
    <row r="76" spans="1:13" ht="13.5" thickBot="1">
      <c r="A76" s="1266"/>
      <c r="B76" s="1265"/>
      <c r="C76" s="141"/>
      <c r="D76" s="1365"/>
      <c r="E76" s="1154"/>
      <c r="F76" s="1154"/>
      <c r="G76" s="1154"/>
      <c r="H76" s="1154"/>
      <c r="I76" s="1768"/>
      <c r="J76" s="1768"/>
      <c r="K76" s="1768"/>
      <c r="L76" s="1768"/>
      <c r="M76" s="1155"/>
    </row>
    <row r="77" spans="1:13" ht="26.25" customHeight="1">
      <c r="A77" s="1604" t="s">
        <v>464</v>
      </c>
      <c r="B77" s="2199" t="s">
        <v>1083</v>
      </c>
      <c r="C77" s="1769"/>
      <c r="D77" s="1365"/>
      <c r="E77" s="1154"/>
      <c r="F77" s="1154"/>
      <c r="G77" s="2110"/>
      <c r="H77" s="2110"/>
      <c r="I77" s="2110"/>
      <c r="J77" s="2110"/>
      <c r="K77" s="1768"/>
      <c r="L77" s="1768"/>
      <c r="M77" s="1155"/>
    </row>
    <row r="78" spans="1:13" ht="15" customHeight="1">
      <c r="A78" s="1804">
        <v>710</v>
      </c>
      <c r="B78" s="1073" t="s">
        <v>983</v>
      </c>
      <c r="C78" s="214">
        <v>7111.8419999999996</v>
      </c>
      <c r="D78" s="1778"/>
      <c r="E78" s="1154"/>
      <c r="F78" s="1154"/>
      <c r="G78" s="2110"/>
      <c r="H78" s="2110"/>
      <c r="I78" s="2110"/>
      <c r="J78" s="2110"/>
      <c r="K78" s="1768"/>
      <c r="L78" s="1768"/>
      <c r="M78" s="1155"/>
    </row>
    <row r="79" spans="1:13" ht="15" customHeight="1">
      <c r="A79" s="1788" t="s">
        <v>944</v>
      </c>
      <c r="B79" s="1067" t="s">
        <v>971</v>
      </c>
      <c r="C79" s="214">
        <v>2645.3809999999999</v>
      </c>
      <c r="D79" s="1778"/>
      <c r="E79" s="1154"/>
      <c r="F79" s="1154"/>
      <c r="G79" s="2110"/>
      <c r="H79" s="2110"/>
      <c r="I79" s="2110"/>
      <c r="J79" s="2110"/>
      <c r="K79" s="1768"/>
      <c r="L79" s="1768"/>
      <c r="M79" s="1155"/>
    </row>
    <row r="80" spans="1:13" ht="15" customHeight="1">
      <c r="A80" s="1788" t="s">
        <v>945</v>
      </c>
      <c r="B80" s="1067" t="s">
        <v>972</v>
      </c>
      <c r="C80" s="214">
        <v>118.574</v>
      </c>
      <c r="D80" s="1778"/>
      <c r="E80" s="1154"/>
      <c r="F80" s="1154"/>
      <c r="G80" s="2110"/>
      <c r="H80" s="2110"/>
      <c r="I80" s="2110"/>
      <c r="J80" s="2110"/>
      <c r="K80" s="1768"/>
      <c r="L80" s="1768"/>
      <c r="M80" s="1155"/>
    </row>
    <row r="81" spans="1:13" ht="15" customHeight="1">
      <c r="A81" s="1788" t="s">
        <v>946</v>
      </c>
      <c r="B81" s="1067" t="s">
        <v>1079</v>
      </c>
      <c r="C81" s="214">
        <v>3646.0239999999999</v>
      </c>
      <c r="D81" s="1778"/>
      <c r="E81" s="1154"/>
      <c r="F81" s="1154"/>
      <c r="G81" s="2110"/>
      <c r="H81" s="2110"/>
      <c r="I81" s="2110"/>
      <c r="J81" s="2110"/>
      <c r="K81" s="1768"/>
      <c r="L81" s="1768"/>
      <c r="M81" s="1155"/>
    </row>
    <row r="82" spans="1:13" ht="15" customHeight="1" thickBot="1">
      <c r="A82" s="1935" t="s">
        <v>950</v>
      </c>
      <c r="B82" s="1563" t="s">
        <v>1080</v>
      </c>
      <c r="C82" s="1765">
        <f>C78-C79-C80-C81</f>
        <v>701.86299999999983</v>
      </c>
      <c r="D82" s="1553"/>
      <c r="E82" s="1154"/>
      <c r="F82" s="1154"/>
      <c r="G82" s="2110"/>
      <c r="H82" s="2110"/>
      <c r="I82" s="2110"/>
      <c r="J82" s="2110"/>
      <c r="K82" s="1768"/>
      <c r="L82" s="1768"/>
      <c r="M82" s="1155"/>
    </row>
    <row r="83" spans="1:13">
      <c r="A83" s="1266"/>
      <c r="B83" s="1265"/>
      <c r="C83" s="141"/>
      <c r="D83" s="1365"/>
      <c r="E83" s="1154"/>
      <c r="F83" s="1154"/>
      <c r="G83" s="2110"/>
      <c r="H83" s="2110"/>
      <c r="I83" s="2110"/>
      <c r="J83" s="2110"/>
      <c r="K83" s="1768"/>
      <c r="L83" s="1768"/>
      <c r="M83" s="1155"/>
    </row>
    <row r="84" spans="1:13" ht="19.5" customHeight="1">
      <c r="A84" s="2543" t="s">
        <v>1068</v>
      </c>
      <c r="B84" s="2546"/>
      <c r="C84" s="2547"/>
      <c r="D84" s="2547"/>
      <c r="E84" s="2547"/>
      <c r="F84" s="2547"/>
      <c r="G84" s="2547"/>
      <c r="H84" s="2547"/>
      <c r="I84" s="2547"/>
      <c r="J84" s="2547"/>
      <c r="K84" s="2547"/>
      <c r="L84" s="1768"/>
      <c r="M84" s="1155"/>
    </row>
    <row r="85" spans="1:13">
      <c r="A85" s="2547"/>
      <c r="B85" s="2547"/>
      <c r="C85" s="2547"/>
      <c r="D85" s="2547"/>
      <c r="E85" s="2547"/>
      <c r="F85" s="2547"/>
      <c r="G85" s="2547"/>
      <c r="H85" s="2547"/>
      <c r="I85" s="2547"/>
      <c r="J85" s="2547"/>
      <c r="K85" s="2547"/>
      <c r="L85" s="1768"/>
      <c r="M85" s="1155"/>
    </row>
    <row r="86" spans="1:13">
      <c r="A86" s="1614" t="s">
        <v>980</v>
      </c>
      <c r="B86" s="1619"/>
      <c r="C86" s="1620"/>
      <c r="D86" s="1621"/>
      <c r="E86" s="1621"/>
      <c r="F86" s="1611"/>
      <c r="G86" s="1622"/>
      <c r="H86" s="1623"/>
      <c r="I86" s="1624"/>
      <c r="J86" s="1153"/>
      <c r="K86" s="1153"/>
      <c r="L86" s="1153"/>
      <c r="M86" s="1155"/>
    </row>
    <row r="87" spans="1:13">
      <c r="A87" s="1614" t="s">
        <v>947</v>
      </c>
      <c r="B87" s="1619"/>
      <c r="C87" s="1620"/>
      <c r="D87" s="1621"/>
      <c r="E87" s="1621"/>
      <c r="F87" s="1611"/>
      <c r="G87" s="1622"/>
      <c r="H87" s="1623"/>
      <c r="I87" s="1624"/>
      <c r="J87" s="1153"/>
      <c r="K87" s="1153"/>
      <c r="L87" s="1153"/>
      <c r="M87" s="1155"/>
    </row>
    <row r="88" spans="1:13" ht="21.75" customHeight="1" thickBot="1">
      <c r="A88" s="1614" t="s">
        <v>1171</v>
      </c>
      <c r="B88" s="1619"/>
      <c r="C88" s="1620"/>
      <c r="D88" s="1621"/>
      <c r="E88" s="1621"/>
      <c r="F88" s="1611"/>
      <c r="G88" s="1622"/>
      <c r="H88" s="1623"/>
      <c r="I88" s="1624"/>
      <c r="J88" s="1153"/>
      <c r="K88" s="1153"/>
      <c r="L88" s="1153"/>
      <c r="M88" s="1155"/>
    </row>
    <row r="89" spans="1:13" ht="21.75" customHeight="1">
      <c r="A89" s="1607" t="s">
        <v>464</v>
      </c>
      <c r="B89" s="1613" t="s">
        <v>948</v>
      </c>
      <c r="C89" s="1790" t="s">
        <v>949</v>
      </c>
      <c r="D89" s="1791" t="s">
        <v>949</v>
      </c>
      <c r="E89" s="1154"/>
      <c r="F89" s="1154"/>
      <c r="G89" s="1767"/>
      <c r="H89" s="1154"/>
      <c r="I89" s="1767"/>
      <c r="J89" s="270"/>
      <c r="K89" s="270"/>
      <c r="L89" s="270"/>
      <c r="M89" s="1155"/>
    </row>
    <row r="90" spans="1:13">
      <c r="A90" s="1606"/>
      <c r="B90" s="1615"/>
      <c r="C90" s="1851" t="s">
        <v>865</v>
      </c>
      <c r="D90" s="1792" t="s">
        <v>865</v>
      </c>
      <c r="E90" s="1154"/>
      <c r="F90" s="1154"/>
      <c r="G90" s="1745"/>
      <c r="H90" s="167"/>
      <c r="I90" s="167"/>
      <c r="J90" s="167"/>
      <c r="K90" s="167"/>
      <c r="L90" s="167"/>
      <c r="M90" s="1155"/>
    </row>
    <row r="91" spans="1:13">
      <c r="A91" s="1606"/>
      <c r="B91" s="1608"/>
      <c r="C91" s="1852" t="s">
        <v>1004</v>
      </c>
      <c r="D91" s="1793" t="s">
        <v>789</v>
      </c>
      <c r="E91" s="1154"/>
      <c r="F91" s="1154"/>
      <c r="G91" s="167"/>
      <c r="H91" s="167"/>
      <c r="I91" s="167"/>
      <c r="J91" s="167"/>
      <c r="K91" s="167"/>
      <c r="L91" s="167"/>
      <c r="M91" s="1155"/>
    </row>
    <row r="92" spans="1:13" ht="39.75" customHeight="1">
      <c r="A92" s="1606"/>
      <c r="B92" s="1615"/>
      <c r="C92" s="1853" t="s">
        <v>1005</v>
      </c>
      <c r="D92" s="1839" t="s">
        <v>960</v>
      </c>
      <c r="E92" s="1154"/>
      <c r="F92" s="1154"/>
      <c r="G92" s="1154"/>
      <c r="H92" s="1154"/>
      <c r="I92" s="1768"/>
      <c r="J92" s="1768"/>
      <c r="K92" s="1768"/>
      <c r="L92" s="1768"/>
      <c r="M92" s="1155"/>
    </row>
    <row r="93" spans="1:13">
      <c r="A93" s="1606"/>
      <c r="B93" s="1609"/>
      <c r="C93" s="1794"/>
      <c r="D93" s="1795"/>
      <c r="E93" s="1779"/>
      <c r="F93" s="1154"/>
      <c r="G93" s="1154"/>
      <c r="H93" s="1154"/>
      <c r="I93" s="1768"/>
      <c r="J93" s="1768"/>
      <c r="K93" s="1768"/>
      <c r="L93" s="1768"/>
      <c r="M93" s="1155"/>
    </row>
    <row r="94" spans="1:13">
      <c r="A94" s="1804" t="s">
        <v>952</v>
      </c>
      <c r="B94" s="2200" t="s">
        <v>951</v>
      </c>
      <c r="C94" s="1616">
        <v>44101.900999999998</v>
      </c>
      <c r="D94" s="1602">
        <v>334.12</v>
      </c>
      <c r="E94" s="1854"/>
      <c r="F94" s="1154"/>
      <c r="G94" s="1154"/>
      <c r="H94" s="1154"/>
      <c r="I94" s="1768"/>
      <c r="J94" s="1768"/>
      <c r="K94" s="1768"/>
      <c r="L94" s="1768"/>
      <c r="M94" s="1155"/>
    </row>
    <row r="95" spans="1:13">
      <c r="A95" s="1804" t="s">
        <v>954</v>
      </c>
      <c r="B95" s="2200" t="s">
        <v>953</v>
      </c>
      <c r="C95" s="1616">
        <v>32470.333999999999</v>
      </c>
      <c r="D95" s="1602">
        <v>315.654</v>
      </c>
      <c r="E95" s="1854"/>
      <c r="F95" s="1154"/>
      <c r="G95" s="1154"/>
      <c r="H95" s="1154"/>
      <c r="I95" s="1768"/>
      <c r="J95" s="1768"/>
      <c r="K95" s="1768"/>
      <c r="L95" s="1768"/>
      <c r="M95" s="1155"/>
    </row>
    <row r="96" spans="1:13">
      <c r="A96" s="1804" t="s">
        <v>956</v>
      </c>
      <c r="B96" s="2200" t="s">
        <v>955</v>
      </c>
      <c r="C96" s="1616">
        <v>1764.5319999999999</v>
      </c>
      <c r="D96" s="1602">
        <v>127.74</v>
      </c>
      <c r="E96" s="1854"/>
      <c r="F96" s="1154"/>
      <c r="G96" s="2110"/>
      <c r="H96" s="2110"/>
      <c r="I96" s="2110"/>
      <c r="J96" s="2110"/>
      <c r="K96" s="1768"/>
      <c r="L96" s="1768"/>
      <c r="M96" s="1155"/>
    </row>
    <row r="97" spans="1:13" ht="13.5" thickBot="1">
      <c r="A97" s="1805" t="s">
        <v>958</v>
      </c>
      <c r="B97" s="1615" t="s">
        <v>957</v>
      </c>
      <c r="C97" s="1617">
        <v>4541.7520000000004</v>
      </c>
      <c r="D97" s="1618">
        <v>86.825999999999993</v>
      </c>
      <c r="E97" s="1854"/>
      <c r="F97" s="1154"/>
      <c r="G97" s="2110"/>
      <c r="H97" s="2110"/>
      <c r="I97" s="2110"/>
      <c r="J97" s="2110"/>
      <c r="K97" s="1573"/>
      <c r="L97" s="1573"/>
      <c r="M97" s="1155"/>
    </row>
    <row r="98" spans="1:13" ht="13.5" thickBot="1">
      <c r="A98" s="1807" t="s">
        <v>975</v>
      </c>
      <c r="B98" s="1789" t="s">
        <v>959</v>
      </c>
      <c r="C98" s="1612">
        <f>SUM(C94:C97)</f>
        <v>82878.519</v>
      </c>
      <c r="D98" s="1610">
        <f>SUM(D94:D97)</f>
        <v>864.34</v>
      </c>
      <c r="E98" s="1855" t="str">
        <f>IF(C98&gt;0.2*SUM(BR!E9+BR!E12),"Kontrollera invest.utgifterna.","")</f>
        <v/>
      </c>
      <c r="F98" s="1154"/>
      <c r="G98" s="2110"/>
      <c r="H98" s="2110"/>
      <c r="I98" s="2110"/>
      <c r="J98" s="2110"/>
      <c r="K98" s="1573"/>
      <c r="L98" s="1573"/>
      <c r="M98" s="1155"/>
    </row>
    <row r="99" spans="1:13">
      <c r="A99" s="1266"/>
      <c r="B99" s="1265"/>
      <c r="C99" s="141"/>
      <c r="D99" s="63"/>
      <c r="E99" s="1154"/>
      <c r="F99" s="1154"/>
      <c r="G99" s="1766" t="s">
        <v>446</v>
      </c>
      <c r="H99" s="1154"/>
      <c r="I99" s="1768"/>
      <c r="J99" s="1768"/>
      <c r="K99" s="1768"/>
      <c r="L99" s="1768"/>
      <c r="M99" s="1155"/>
    </row>
    <row r="100" spans="1:13">
      <c r="A100" s="1266"/>
      <c r="B100" s="1265"/>
      <c r="C100" s="141"/>
      <c r="D100" s="63"/>
      <c r="E100" s="1154"/>
      <c r="F100" s="1154"/>
      <c r="G100" s="1154"/>
      <c r="H100" s="1154"/>
      <c r="I100" s="1768"/>
      <c r="J100" s="1768"/>
      <c r="K100" s="1768"/>
      <c r="L100" s="1768"/>
      <c r="M100" s="1155"/>
    </row>
    <row r="101" spans="1:13">
      <c r="A101" s="1266"/>
      <c r="B101" s="1265"/>
      <c r="C101" s="141"/>
      <c r="D101" s="63"/>
      <c r="E101" s="1154"/>
      <c r="F101" s="1154"/>
      <c r="G101" s="1154"/>
      <c r="H101" s="1154"/>
      <c r="I101" s="1768"/>
      <c r="J101" s="1768"/>
      <c r="K101" s="1768"/>
      <c r="L101" s="1768"/>
      <c r="M101" s="1155"/>
    </row>
    <row r="102" spans="1:13">
      <c r="A102" s="1266"/>
      <c r="B102" s="1265"/>
      <c r="C102" s="141"/>
      <c r="D102" s="63"/>
      <c r="E102" s="1154"/>
      <c r="F102" s="1154"/>
      <c r="G102" s="1154"/>
      <c r="H102" s="1154"/>
      <c r="I102" s="1768"/>
      <c r="J102" s="1768"/>
      <c r="K102" s="1768"/>
      <c r="L102" s="1768"/>
      <c r="M102" s="1155"/>
    </row>
    <row r="103" spans="1:13">
      <c r="A103" s="1266"/>
      <c r="B103" s="1265"/>
      <c r="C103" s="141"/>
      <c r="D103" s="63"/>
      <c r="E103" s="1154"/>
      <c r="F103" s="1154"/>
      <c r="G103" s="1154"/>
      <c r="H103" s="1154"/>
      <c r="I103" s="1768"/>
      <c r="J103" s="1768"/>
      <c r="K103" s="1768"/>
      <c r="L103" s="1768"/>
      <c r="M103" s="1155"/>
    </row>
    <row r="104" spans="1:13">
      <c r="A104" s="1266"/>
      <c r="B104" s="1265"/>
      <c r="C104" s="141"/>
      <c r="D104" s="63"/>
      <c r="E104" s="1154"/>
      <c r="F104" s="1154"/>
      <c r="G104" s="1154"/>
      <c r="H104" s="1154"/>
      <c r="I104" s="1155"/>
      <c r="J104" s="1155"/>
      <c r="K104" s="1155"/>
      <c r="L104" s="1155"/>
      <c r="M104" s="1155"/>
    </row>
    <row r="105" spans="1:13" ht="14.25" hidden="1" customHeight="1">
      <c r="A105" s="1266"/>
      <c r="B105" s="1265"/>
      <c r="C105" s="141"/>
      <c r="D105" s="63"/>
      <c r="E105" s="1154"/>
      <c r="F105" s="1154"/>
      <c r="G105" s="1154"/>
      <c r="H105" s="1154"/>
      <c r="J105" s="163"/>
      <c r="K105" s="163"/>
    </row>
    <row r="106" spans="1:13" ht="14.25" hidden="1" customHeight="1">
      <c r="A106" s="1266"/>
      <c r="B106" s="1265"/>
      <c r="C106" s="141"/>
      <c r="D106" s="63"/>
      <c r="E106" s="1154"/>
      <c r="F106" s="1154"/>
      <c r="G106" s="1154"/>
      <c r="H106" s="1154"/>
      <c r="I106" s="139"/>
      <c r="J106" s="139"/>
      <c r="K106" s="140"/>
    </row>
    <row r="107" spans="1:13" ht="14.25" hidden="1" customHeight="1">
      <c r="A107" s="4"/>
      <c r="B107" s="4"/>
      <c r="C107" s="4"/>
      <c r="D107" s="4"/>
      <c r="E107" s="4"/>
      <c r="F107" s="4"/>
      <c r="G107" s="4"/>
      <c r="H107" s="4"/>
      <c r="J107" s="138"/>
      <c r="K107" s="140"/>
    </row>
    <row r="108" spans="1:13" ht="14.25" hidden="1" customHeight="1">
      <c r="A108" s="163"/>
      <c r="B108" s="163"/>
      <c r="C108" s="163"/>
      <c r="D108" s="163"/>
      <c r="E108" s="163"/>
      <c r="F108" s="163"/>
      <c r="G108" s="163"/>
      <c r="H108" s="163"/>
      <c r="I108" s="139"/>
      <c r="J108" s="139"/>
      <c r="K108" s="140"/>
    </row>
    <row r="109" spans="1:13" ht="14.25" hidden="1" customHeight="1">
      <c r="A109" s="231"/>
      <c r="B109" s="138"/>
      <c r="C109" s="139"/>
      <c r="D109" s="139"/>
      <c r="E109" s="139"/>
      <c r="F109" s="139"/>
      <c r="G109" s="139"/>
      <c r="H109" s="139"/>
      <c r="I109" s="139"/>
      <c r="J109" s="139"/>
      <c r="K109" s="140"/>
    </row>
    <row r="110" spans="1:13" ht="14.25" hidden="1" customHeight="1">
      <c r="A110" s="231"/>
      <c r="B110" s="138"/>
      <c r="C110" s="139"/>
      <c r="D110" s="139"/>
      <c r="E110" s="139"/>
      <c r="F110" s="139"/>
      <c r="G110" s="139"/>
      <c r="H110" s="139"/>
      <c r="I110" s="139"/>
      <c r="J110" s="139"/>
      <c r="K110" s="140"/>
    </row>
    <row r="111" spans="1:13" ht="14.25" hidden="1" customHeight="1">
      <c r="A111" s="231"/>
      <c r="B111" s="138"/>
      <c r="C111" s="139"/>
      <c r="D111" s="139"/>
      <c r="E111" s="139"/>
      <c r="F111" s="139"/>
      <c r="G111" s="139"/>
      <c r="H111" s="139"/>
      <c r="J111" s="138"/>
      <c r="K111" s="140"/>
    </row>
    <row r="112" spans="1:13" ht="14.25" hidden="1" customHeight="1">
      <c r="A112" s="231"/>
      <c r="B112" s="138"/>
      <c r="C112" s="139"/>
      <c r="D112" s="139"/>
      <c r="E112" s="139"/>
      <c r="F112" s="139"/>
      <c r="G112" s="139"/>
      <c r="H112" s="139"/>
      <c r="J112" s="163"/>
      <c r="K112" s="163"/>
    </row>
    <row r="113" spans="1:11" ht="14.25" hidden="1" customHeight="1">
      <c r="A113" s="140"/>
      <c r="B113" s="138"/>
      <c r="C113" s="138"/>
      <c r="D113" s="138"/>
      <c r="E113" s="138"/>
      <c r="F113" s="138"/>
      <c r="G113" s="139"/>
      <c r="H113" s="139"/>
      <c r="J113" s="163"/>
      <c r="K113" s="163"/>
    </row>
    <row r="114" spans="1:11" ht="14.25" hidden="1" customHeight="1">
      <c r="A114" s="138"/>
      <c r="B114" s="138"/>
      <c r="C114" s="138"/>
      <c r="D114" s="138"/>
      <c r="E114" s="138"/>
      <c r="F114" s="138"/>
      <c r="G114" s="138"/>
      <c r="H114" s="138"/>
      <c r="J114" s="163"/>
      <c r="K114" s="163"/>
    </row>
    <row r="115" spans="1:11">
      <c r="A115" s="163"/>
      <c r="B115" s="163"/>
      <c r="C115" s="163"/>
      <c r="D115" s="163"/>
      <c r="E115" s="163"/>
      <c r="F115" s="163"/>
      <c r="G115" s="163"/>
      <c r="H115" s="163"/>
    </row>
    <row r="116" spans="1:11">
      <c r="A116" s="163"/>
      <c r="B116" s="163"/>
      <c r="C116" s="163"/>
      <c r="D116" s="163"/>
      <c r="E116" s="163"/>
      <c r="F116" s="163"/>
      <c r="G116" s="163"/>
      <c r="H116" s="163"/>
    </row>
    <row r="117" spans="1:11">
      <c r="A117" s="163"/>
      <c r="B117" s="163"/>
      <c r="C117" s="163"/>
      <c r="D117" s="163"/>
      <c r="E117" s="163"/>
      <c r="F117" s="163"/>
      <c r="G117" s="163"/>
      <c r="H117" s="163"/>
    </row>
    <row r="118" spans="1:11"/>
    <row r="119" spans="1:11"/>
  </sheetData>
  <sheetProtection algorithmName="SHA-512" hashValue="9kGKzkmKuoaSZeZwI1dUq6mnZj2UOEBKpukfLp1NO5fdwnbYdv7oMr9D7kTO+W0vfCYuv0V5MKojCmbYsbGauA==" saltValue="eQQ4rzpy3bJ65d+/bfFn1Q==" spinCount="100000" sheet="1" objects="1" scenarios="1"/>
  <customSheetViews>
    <customSheetView guid="{97D6DB71-3F4C-4C5F-8C5B-51E3EBF78932}" showPageBreaks="1" showGridLines="0" fitToPage="1" hiddenRows="1" hiddenColumns="1" topLeftCell="A34">
      <selection activeCell="B37" sqref="B37"/>
      <pageMargins left="0.70866141732283472" right="0.70866141732283472" top="0.74803149606299213" bottom="0.35433070866141736" header="0.31496062992125984" footer="0.31496062992125984"/>
      <pageSetup paperSize="9" scale="70" orientation="portrait" r:id="rId1"/>
      <headerFooter>
        <oddHeader>&amp;L&amp;8Statistiska Centralbyrå
Offentlig ekonomi&amp;R&amp;P</oddHeader>
      </headerFooter>
    </customSheetView>
    <customSheetView guid="{99FBDEB7-DD08-4F57-81F4-3C180403E153}" showGridLines="0" fitToPage="1" hiddenRows="1" hiddenColumns="1" topLeftCell="A22">
      <selection activeCell="B37" sqref="B37"/>
      <pageMargins left="0.70866141732283472" right="0.70866141732283472" top="0.74803149606299213" bottom="0.35433070866141736" header="0.31496062992125984" footer="0.31496062992125984"/>
      <pageSetup paperSize="9" scale="73" orientation="portrait" r:id="rId2"/>
      <headerFooter>
        <oddHeader>&amp;L&amp;8Statistiska Centralbyrå
Offentlig ekonomi&amp;R&amp;P</oddHeader>
      </headerFooter>
    </customSheetView>
    <customSheetView guid="{27C9E95B-0E2B-454F-B637-1CECC9579A10}" showGridLines="0" fitToPage="1" hiddenRows="1" hiddenColumns="1" showRuler="0" topLeftCell="A46">
      <selection activeCell="C16" sqref="C16"/>
      <pageMargins left="0.70866141732283472" right="0.70866141732283472" top="0.74803149606299213" bottom="0.35433070866141736" header="0.31496062992125984" footer="0.31496062992125984"/>
      <pageSetup paperSize="9" scale="73" orientation="portrait" r:id="rId3"/>
      <headerFooter alignWithMargins="0">
        <oddHeader>&amp;L&amp;8Statistiska Centralbyrå
Offentlig ekonomi&amp;R&amp;P</oddHeader>
      </headerFooter>
    </customSheetView>
  </customSheetViews>
  <mergeCells count="6">
    <mergeCell ref="E4:E5"/>
    <mergeCell ref="D4:D5"/>
    <mergeCell ref="C4:C5"/>
    <mergeCell ref="A70:F70"/>
    <mergeCell ref="A84:K85"/>
    <mergeCell ref="J12:M15"/>
  </mergeCells>
  <phoneticPr fontId="89" type="noConversion"/>
  <conditionalFormatting sqref="C78:C82">
    <cfRule type="cellIs" dxfId="107" priority="7" stopIfTrue="1" operator="lessThan">
      <formula>-10</formula>
    </cfRule>
  </conditionalFormatting>
  <conditionalFormatting sqref="C7:F7 C9:F9">
    <cfRule type="cellIs" dxfId="106" priority="5" stopIfTrue="1" operator="lessThan">
      <formula>-1</formula>
    </cfRule>
  </conditionalFormatting>
  <conditionalFormatting sqref="C8:F8 C10:F11">
    <cfRule type="cellIs" dxfId="105" priority="4" stopIfTrue="1" operator="greaterThan">
      <formula>1</formula>
    </cfRule>
  </conditionalFormatting>
  <conditionalFormatting sqref="C25:H25 C26:F32 H26:H32 G26:G65 C34:F35 H34:H35 C37:F39 H37:H39 C42:F46 H42:H46 C48:F48 H48 C50:F53 H50:H53 C55:F57 H55:H57 C59:F62 H59:H62 C65:F65 H65 C74:C77 C83 C86:C106 D98">
    <cfRule type="cellIs" dxfId="104" priority="10" stopIfTrue="1" operator="lessThan">
      <formula>-500</formula>
    </cfRule>
  </conditionalFormatting>
  <dataValidations count="3">
    <dataValidation type="decimal" operator="lessThan" allowBlank="1" showInputMessage="1" showErrorMessage="1" error="Beloppet ska vara i 1000 tal kronor" sqref="H37:H39 H42:H46 H50:H53 H55:H57 H59:H62 H25:H32 H65 C12:H14 D98 C98:C106 C76 C86:C88 H48 C59:F62 C55:F57 C50:F53 H34:H35 C42:F46 C37:F39 C34:F35 C48:F48 C65:F65 C25:F32 C9:H9 C82:C83 G7:H7 C6:F7" xr:uid="{00000000-0002-0000-0500-000000000000}">
      <formula1>99999999</formula1>
    </dataValidation>
    <dataValidation type="decimal" operator="lessThanOrEqual" allowBlank="1" showInputMessage="1" showErrorMessage="1" error="Minustecken måste anges" sqref="C10:H11 C8:H8" xr:uid="{00000000-0002-0000-0500-000001000000}">
      <formula1>0</formula1>
    </dataValidation>
    <dataValidation type="decimal" allowBlank="1" showInputMessage="1" showErrorMessage="1" error="Beloppet ska vara utan minustecken och i tusental kronor" sqref="C78:C81 C74:C75 C94:D97" xr:uid="{00000000-0002-0000-0500-000002000000}">
      <formula1>0</formula1>
      <formula2>99999999</formula2>
    </dataValidation>
  </dataValidations>
  <pageMargins left="0.70866141732283472" right="0.70866141732283472" top="0.74803149606299213" bottom="0.35433070866141736" header="0.31496062992125984" footer="0.31496062992125984"/>
  <pageSetup paperSize="9" scale="44" orientation="portrait" r:id="rId4"/>
  <headerFooter>
    <oddHeader>&amp;L&amp;8Statistiska Centralbyrå
Offentlig ekonomi&amp;R&amp;P</oddHeader>
  </headerFooter>
  <ignoredErrors>
    <ignoredError sqref="A6:A15 A25:A66 A74:A82 A94:A98" numberStoredAsText="1"/>
  </ignoredErrors>
  <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tabColor rgb="FFFFFF00"/>
  </sheetPr>
  <dimension ref="A1:AH303"/>
  <sheetViews>
    <sheetView showGridLines="0" zoomScaleNormal="100" workbookViewId="0">
      <pane xSplit="2" ySplit="10" topLeftCell="C11" activePane="bottomRight" state="frozen"/>
      <selection activeCell="F36" sqref="F36"/>
      <selection pane="topRight" activeCell="F36" sqref="F36"/>
      <selection pane="bottomLeft" activeCell="F36" sqref="F36"/>
      <selection pane="bottomRight" activeCell="C10" sqref="C10"/>
    </sheetView>
  </sheetViews>
  <sheetFormatPr defaultColWidth="0" defaultRowHeight="12.75" zeroHeight="1"/>
  <cols>
    <col min="1" max="1" width="3.5703125" style="195" customWidth="1"/>
    <col min="2" max="2" width="30.42578125" style="195" customWidth="1"/>
    <col min="3" max="3" width="10.42578125" style="195" customWidth="1"/>
    <col min="4" max="4" width="9.5703125" style="195" customWidth="1"/>
    <col min="5" max="5" width="8.5703125" style="195" customWidth="1"/>
    <col min="6" max="6" width="9.5703125" style="195" customWidth="1"/>
    <col min="7" max="7" width="11.42578125" style="195" customWidth="1"/>
    <col min="8" max="8" width="9.5703125" style="195" customWidth="1"/>
    <col min="9" max="10" width="8.5703125" style="195" customWidth="1"/>
    <col min="11" max="11" width="1.42578125" style="195" customWidth="1"/>
    <col min="12" max="14" width="8.5703125" style="195" customWidth="1"/>
    <col min="15" max="15" width="9.42578125" style="195" customWidth="1"/>
    <col min="16" max="16" width="10" style="195" customWidth="1"/>
    <col min="17" max="17" width="3.5703125" style="195" customWidth="1"/>
    <col min="18" max="19" width="8.5703125" style="195" customWidth="1"/>
    <col min="20" max="20" width="10.5703125" style="195" customWidth="1"/>
    <col min="21" max="21" width="2.42578125" style="195" customWidth="1"/>
    <col min="22" max="22" width="9" style="195" customWidth="1"/>
    <col min="23" max="23" width="10.5703125" style="195" customWidth="1"/>
    <col min="24" max="24" width="2.42578125" style="195" customWidth="1"/>
    <col min="25" max="25" width="11.5703125" style="195" customWidth="1"/>
    <col min="26" max="27" width="9.42578125" style="195" customWidth="1"/>
    <col min="28" max="28" width="8.5703125" style="137" customWidth="1"/>
    <col min="29" max="29" width="7.42578125" style="137" customWidth="1"/>
    <col min="30" max="30" width="1" style="163" customWidth="1"/>
    <col min="31" max="31" width="0.140625" style="386" hidden="1" customWidth="1"/>
    <col min="32" max="33" width="10.42578125" style="163" customWidth="1"/>
    <col min="34" max="34" width="0.42578125" style="163" customWidth="1"/>
    <col min="35" max="36" width="9.42578125" style="163" customWidth="1"/>
    <col min="37" max="16384" width="0" style="163" hidden="1"/>
  </cols>
  <sheetData>
    <row r="1" spans="1:34" ht="21.75" customHeight="1">
      <c r="A1" s="162"/>
      <c r="B1" s="74"/>
      <c r="C1" s="73" t="str">
        <f>"Driftredovisning "&amp;År&amp;", miljoner kr"</f>
        <v>Driftredovisning 2024, miljoner kr</v>
      </c>
      <c r="D1" s="74"/>
      <c r="E1" s="74"/>
      <c r="F1" s="162"/>
      <c r="G1" s="162"/>
      <c r="H1" s="162"/>
      <c r="I1" s="475" t="s">
        <v>446</v>
      </c>
      <c r="J1" s="476" t="str">
        <f>Information!A2</f>
        <v>RIKSTOTAL</v>
      </c>
      <c r="K1" s="187"/>
      <c r="L1" s="162"/>
      <c r="M1" s="162"/>
      <c r="N1" s="162"/>
      <c r="O1" s="162"/>
      <c r="P1" s="162"/>
      <c r="Q1" s="162"/>
      <c r="R1" s="73" t="str">
        <f>"Driftredovisning "&amp;År&amp;", miljoner kr"</f>
        <v>Driftredovisning 2024, miljoner kr</v>
      </c>
      <c r="S1" s="162"/>
      <c r="T1" s="162"/>
      <c r="U1" s="162"/>
      <c r="V1" s="162"/>
      <c r="W1" s="162"/>
      <c r="X1" s="162"/>
      <c r="Y1" s="475" t="s">
        <v>446</v>
      </c>
      <c r="Z1" s="476" t="str">
        <f>Information!A2</f>
        <v>RIKSTOTAL</v>
      </c>
      <c r="AA1" s="162"/>
      <c r="AB1" s="383"/>
      <c r="AC1" s="383"/>
      <c r="AD1" s="162"/>
      <c r="AE1" s="383"/>
      <c r="AF1" s="162"/>
      <c r="AG1" s="162"/>
    </row>
    <row r="2" spans="1:34" ht="12.75" customHeight="1">
      <c r="A2" s="2110"/>
      <c r="B2" s="2110"/>
      <c r="C2" s="2110"/>
      <c r="D2" s="2110"/>
      <c r="E2" s="2110"/>
      <c r="F2" s="2110"/>
      <c r="G2" s="2110"/>
      <c r="H2" s="2110"/>
      <c r="I2" s="2110"/>
      <c r="J2" s="2110"/>
      <c r="K2" s="2110"/>
      <c r="L2" s="2110"/>
      <c r="M2" s="2110"/>
      <c r="N2" s="2110"/>
      <c r="O2" s="2110"/>
      <c r="P2" s="2110"/>
      <c r="Q2" s="2110"/>
      <c r="R2" s="2110"/>
      <c r="S2" s="2110"/>
      <c r="T2" s="2110"/>
      <c r="U2" s="2110"/>
      <c r="V2" s="2110"/>
      <c r="W2" s="2110"/>
      <c r="X2" s="2110"/>
      <c r="Y2" s="4"/>
      <c r="Z2" s="2110"/>
      <c r="AA2" s="2110"/>
      <c r="AB2" s="2110"/>
      <c r="AC2" s="2110"/>
      <c r="AD2" s="2110"/>
      <c r="AE2" s="2110"/>
      <c r="AF2" s="2110"/>
      <c r="AG2" s="2110"/>
    </row>
    <row r="3" spans="1:34" s="190" customFormat="1" ht="12.75" customHeight="1" thickBot="1">
      <c r="A3" s="2110"/>
      <c r="B3" s="2110"/>
      <c r="C3" s="2110"/>
      <c r="D3" s="2110"/>
      <c r="E3" s="2110"/>
      <c r="F3" s="2110"/>
      <c r="G3" s="2110"/>
      <c r="H3" s="2110"/>
      <c r="I3" s="2110"/>
      <c r="J3" s="2110"/>
      <c r="K3" s="2110"/>
      <c r="L3" s="2110"/>
      <c r="M3" s="2110"/>
      <c r="N3" s="2110"/>
      <c r="O3" s="2110"/>
      <c r="P3" s="2110"/>
      <c r="Q3" s="2110"/>
      <c r="R3" s="2110"/>
      <c r="S3" s="2110"/>
      <c r="T3" s="2110"/>
      <c r="U3" s="2110"/>
      <c r="V3" s="2110"/>
      <c r="W3" s="2110"/>
      <c r="X3" s="2110"/>
      <c r="Y3" s="189" t="s">
        <v>140</v>
      </c>
      <c r="Z3" s="2110"/>
      <c r="AA3" s="2110"/>
      <c r="AB3" s="2110"/>
      <c r="AC3" s="2110"/>
      <c r="AD3" s="2110"/>
      <c r="AE3" s="2110"/>
      <c r="AF3" s="2110"/>
      <c r="AG3" s="2110"/>
    </row>
    <row r="4" spans="1:34" s="175" customFormat="1" ht="44.45" customHeight="1">
      <c r="A4" s="779" t="s">
        <v>197</v>
      </c>
      <c r="B4" s="780" t="s">
        <v>13</v>
      </c>
      <c r="C4" s="2586" t="s">
        <v>34</v>
      </c>
      <c r="D4" s="2587"/>
      <c r="E4" s="2588" t="s">
        <v>35</v>
      </c>
      <c r="F4" s="2589"/>
      <c r="G4" s="2589"/>
      <c r="H4" s="2590"/>
      <c r="I4" s="2592" t="s">
        <v>36</v>
      </c>
      <c r="J4" s="2593"/>
      <c r="K4" s="37"/>
      <c r="L4" s="2552" t="s">
        <v>141</v>
      </c>
      <c r="M4" s="2591"/>
      <c r="N4" s="2591"/>
      <c r="O4" s="2587"/>
      <c r="P4" s="852"/>
      <c r="Q4" s="69"/>
      <c r="R4" s="2552" t="s">
        <v>37</v>
      </c>
      <c r="S4" s="2553"/>
      <c r="T4" s="2554"/>
      <c r="U4" s="106"/>
      <c r="V4" s="1750" t="s">
        <v>143</v>
      </c>
      <c r="W4" s="869"/>
      <c r="X4" s="37"/>
      <c r="Y4" s="1473" t="s">
        <v>894</v>
      </c>
      <c r="Z4" s="2555" t="s">
        <v>917</v>
      </c>
      <c r="AA4" s="2556"/>
      <c r="AB4" s="2557"/>
      <c r="AC4" s="2201" t="str">
        <f>"Förändring kostnader för eget åtagande "&amp;År-1&amp;"-"&amp;År&amp;" procent"</f>
        <v>Förändring kostnader för eget åtagande 2023-2024 procent</v>
      </c>
      <c r="AD4" s="2110"/>
      <c r="AE4" s="1117" t="str">
        <f>"Köp av verksamhet som andel av "</f>
        <v xml:space="preserve">Köp av verksamhet som andel av </v>
      </c>
      <c r="AF4" s="2261" t="s">
        <v>899</v>
      </c>
      <c r="AG4" s="2251" t="s">
        <v>900</v>
      </c>
      <c r="AH4" s="1800" t="s">
        <v>961</v>
      </c>
    </row>
    <row r="5" spans="1:34" ht="46.7" customHeight="1">
      <c r="A5" s="1204"/>
      <c r="B5" s="1205"/>
      <c r="C5" s="1189" t="s">
        <v>188</v>
      </c>
      <c r="D5" s="2280" t="s">
        <v>485</v>
      </c>
      <c r="E5" s="1276" t="s">
        <v>801</v>
      </c>
      <c r="F5" s="809" t="s">
        <v>744</v>
      </c>
      <c r="G5" s="810" t="s">
        <v>196</v>
      </c>
      <c r="H5" s="811" t="s">
        <v>733</v>
      </c>
      <c r="I5" s="812" t="s">
        <v>452</v>
      </c>
      <c r="J5" s="2283" t="s">
        <v>486</v>
      </c>
      <c r="K5" s="37"/>
      <c r="L5" s="867" t="s">
        <v>517</v>
      </c>
      <c r="M5" s="1448" t="s">
        <v>453</v>
      </c>
      <c r="N5" s="2575" t="s">
        <v>1002</v>
      </c>
      <c r="O5" s="2576"/>
      <c r="P5" s="853" t="s">
        <v>462</v>
      </c>
      <c r="Q5" s="45"/>
      <c r="R5" s="867" t="s">
        <v>663</v>
      </c>
      <c r="S5" s="811" t="s">
        <v>455</v>
      </c>
      <c r="T5" s="868" t="s">
        <v>456</v>
      </c>
      <c r="U5" s="31"/>
      <c r="V5" s="854"/>
      <c r="W5" s="870" t="s">
        <v>463</v>
      </c>
      <c r="X5" s="37"/>
      <c r="Y5" s="2567" t="s">
        <v>1035</v>
      </c>
      <c r="Z5" s="814" t="str">
        <f>"Netto-kostnader "&amp;År&amp;""</f>
        <v>Netto-kostnader 2024</v>
      </c>
      <c r="AA5" s="814" t="str">
        <f>"Kostnader för eget åtagande "&amp;År&amp;""</f>
        <v>Kostnader för eget åtagande 2024</v>
      </c>
      <c r="AB5" s="814" t="str">
        <f>"Kostnader för eget åtagande "&amp;År-1&amp;""</f>
        <v>Kostnader för eget åtagande 2023</v>
      </c>
      <c r="AC5" s="2202"/>
      <c r="AD5" s="2110"/>
      <c r="AE5" s="2232" t="str">
        <f>"verksamhetens kostnad för eget åtagande "&amp;År&amp;" procent"</f>
        <v>verksamhetens kostnad för eget åtagande 2024 procent</v>
      </c>
      <c r="AF5" s="2584" t="s">
        <v>901</v>
      </c>
      <c r="AG5" s="2582" t="s">
        <v>902</v>
      </c>
      <c r="AH5" s="2580" t="s">
        <v>962</v>
      </c>
    </row>
    <row r="6" spans="1:34" ht="56.25" customHeight="1" thickBot="1">
      <c r="A6" s="782"/>
      <c r="B6" s="2041" t="str">
        <f>"BAS "&amp;År-2000&amp;""</f>
        <v>BAS 24</v>
      </c>
      <c r="C6" s="2278" t="s">
        <v>1241</v>
      </c>
      <c r="D6" s="2035"/>
      <c r="E6" s="2281" t="s">
        <v>1195</v>
      </c>
      <c r="F6" s="1267" t="s">
        <v>767</v>
      </c>
      <c r="G6" s="2282" t="s">
        <v>1205</v>
      </c>
      <c r="H6" s="1267" t="s">
        <v>43</v>
      </c>
      <c r="I6" s="1268" t="s">
        <v>44</v>
      </c>
      <c r="J6" s="2284" t="s">
        <v>1098</v>
      </c>
      <c r="K6" s="37"/>
      <c r="L6" s="2286" t="s">
        <v>1096</v>
      </c>
      <c r="M6" s="2036"/>
      <c r="N6" s="2037" t="s">
        <v>802</v>
      </c>
      <c r="O6" s="2038" t="s">
        <v>803</v>
      </c>
      <c r="P6" s="2040"/>
      <c r="Q6" s="69"/>
      <c r="R6" s="1999" t="s">
        <v>797</v>
      </c>
      <c r="S6" s="2000" t="s">
        <v>45</v>
      </c>
      <c r="T6" s="1269" t="s">
        <v>745</v>
      </c>
      <c r="U6" s="31"/>
      <c r="V6" s="2039"/>
      <c r="W6" s="2040"/>
      <c r="X6" s="37"/>
      <c r="Y6" s="2568"/>
      <c r="Z6" s="1509"/>
      <c r="AA6" s="1510"/>
      <c r="AB6" s="1511"/>
      <c r="AC6" s="2203"/>
      <c r="AD6" s="2110"/>
      <c r="AE6" s="2233"/>
      <c r="AF6" s="2585"/>
      <c r="AG6" s="2583"/>
      <c r="AH6" s="2581"/>
    </row>
    <row r="7" spans="1:34" ht="9.75" hidden="1" customHeight="1">
      <c r="A7" s="782"/>
      <c r="B7" s="1390"/>
      <c r="C7" s="1315"/>
      <c r="D7" s="1316"/>
      <c r="E7" s="1320"/>
      <c r="F7" s="1321"/>
      <c r="G7" s="1322"/>
      <c r="H7" s="1323"/>
      <c r="I7" s="1324"/>
      <c r="J7" s="1325"/>
      <c r="K7" s="31"/>
      <c r="L7" s="1192"/>
      <c r="M7" s="1193"/>
      <c r="N7" s="1190"/>
      <c r="O7" s="783"/>
      <c r="P7" s="855"/>
      <c r="Q7" s="45"/>
      <c r="R7" s="1346"/>
      <c r="S7" s="1347"/>
      <c r="T7" s="1348"/>
      <c r="U7" s="31"/>
      <c r="V7" s="854"/>
      <c r="W7" s="855"/>
      <c r="X7" s="31"/>
      <c r="Y7" s="1183"/>
      <c r="Z7" s="885"/>
      <c r="AA7" s="887"/>
      <c r="AB7" s="886"/>
      <c r="AC7" s="2202"/>
      <c r="AD7" s="2110"/>
      <c r="AE7" s="2233"/>
      <c r="AF7" s="2262"/>
      <c r="AG7" s="1472"/>
      <c r="AH7" s="1702"/>
    </row>
    <row r="8" spans="1:34" ht="12.75" hidden="1" customHeight="1">
      <c r="A8" s="784"/>
      <c r="B8" s="1317"/>
      <c r="C8" s="1318"/>
      <c r="D8" s="1319"/>
      <c r="E8" s="1326"/>
      <c r="F8" s="1327"/>
      <c r="G8" s="1328"/>
      <c r="H8" s="1329"/>
      <c r="I8" s="1330"/>
      <c r="J8" s="1331"/>
      <c r="K8" s="31"/>
      <c r="L8" s="854"/>
      <c r="M8" s="816"/>
      <c r="N8" s="1190"/>
      <c r="O8" s="783"/>
      <c r="P8" s="855"/>
      <c r="Q8" s="45"/>
      <c r="R8" s="1346"/>
      <c r="S8" s="1347"/>
      <c r="T8" s="1348"/>
      <c r="U8" s="31"/>
      <c r="V8" s="856"/>
      <c r="W8" s="855"/>
      <c r="X8" s="31"/>
      <c r="Y8" s="1183"/>
      <c r="Z8" s="888"/>
      <c r="AA8" s="889"/>
      <c r="AB8" s="815"/>
      <c r="AC8" s="2202"/>
      <c r="AD8" s="2110"/>
      <c r="AE8" s="2234"/>
      <c r="AF8" s="2262"/>
      <c r="AG8" s="1472"/>
      <c r="AH8" s="1702"/>
    </row>
    <row r="9" spans="1:34" ht="10.5" hidden="1" customHeight="1">
      <c r="A9" s="782"/>
      <c r="B9" s="1332"/>
      <c r="C9" s="1333"/>
      <c r="D9" s="1334"/>
      <c r="E9" s="1335"/>
      <c r="F9" s="1336"/>
      <c r="G9" s="1328"/>
      <c r="H9" s="1329"/>
      <c r="I9" s="1337"/>
      <c r="J9" s="1338"/>
      <c r="K9" s="9"/>
      <c r="L9" s="856"/>
      <c r="M9" s="816"/>
      <c r="N9" s="1110"/>
      <c r="O9" s="1118"/>
      <c r="P9" s="855"/>
      <c r="Q9" s="45"/>
      <c r="R9" s="1349"/>
      <c r="S9" s="1350"/>
      <c r="T9" s="1338"/>
      <c r="U9" s="9"/>
      <c r="V9" s="856"/>
      <c r="W9" s="871"/>
      <c r="X9" s="9"/>
      <c r="Y9" s="1183"/>
      <c r="Z9" s="888"/>
      <c r="AA9" s="888"/>
      <c r="AB9" s="815"/>
      <c r="AC9" s="2202"/>
      <c r="AD9" s="2110"/>
      <c r="AE9" s="2235"/>
      <c r="AF9" s="2262"/>
      <c r="AG9" s="1472"/>
      <c r="AH9" s="1702"/>
    </row>
    <row r="10" spans="1:34" ht="12" hidden="1" customHeight="1">
      <c r="A10" s="785"/>
      <c r="B10" s="1339"/>
      <c r="C10" s="1340"/>
      <c r="D10" s="1341"/>
      <c r="E10" s="1342"/>
      <c r="F10" s="1341"/>
      <c r="G10" s="1343"/>
      <c r="H10" s="1344"/>
      <c r="I10" s="1340"/>
      <c r="J10" s="1345"/>
      <c r="K10" s="9"/>
      <c r="L10" s="857"/>
      <c r="M10" s="817"/>
      <c r="N10" s="974"/>
      <c r="O10" s="1191"/>
      <c r="P10" s="858"/>
      <c r="Q10" s="193"/>
      <c r="R10" s="1351"/>
      <c r="S10" s="1341"/>
      <c r="T10" s="1345"/>
      <c r="U10" s="107"/>
      <c r="V10" s="857"/>
      <c r="W10" s="872"/>
      <c r="X10" s="9"/>
      <c r="Y10" s="1522"/>
      <c r="Z10" s="1506"/>
      <c r="AA10" s="1507"/>
      <c r="AB10" s="1508"/>
      <c r="AC10" s="2204"/>
      <c r="AD10" s="2110"/>
      <c r="AE10" s="2236"/>
      <c r="AF10" s="2262"/>
      <c r="AG10" s="1472"/>
      <c r="AH10" s="1703"/>
    </row>
    <row r="11" spans="1:34" ht="39" customHeight="1" thickBot="1">
      <c r="A11" s="786"/>
      <c r="B11" s="787" t="s">
        <v>14</v>
      </c>
      <c r="C11" s="818"/>
      <c r="D11" s="819"/>
      <c r="E11" s="818"/>
      <c r="F11" s="820"/>
      <c r="G11" s="821"/>
      <c r="H11" s="822"/>
      <c r="I11" s="818"/>
      <c r="J11" s="823"/>
      <c r="K11" s="194"/>
      <c r="L11" s="859"/>
      <c r="M11" s="820"/>
      <c r="N11" s="819"/>
      <c r="O11" s="860"/>
      <c r="P11" s="823"/>
      <c r="Q11" s="194"/>
      <c r="R11" s="859"/>
      <c r="S11" s="820"/>
      <c r="T11" s="823"/>
      <c r="U11" s="194"/>
      <c r="V11" s="873"/>
      <c r="W11" s="874"/>
      <c r="X11" s="35"/>
      <c r="Y11" s="1521" t="s">
        <v>48</v>
      </c>
      <c r="Z11" s="2572"/>
      <c r="AA11" s="2570"/>
      <c r="AB11" s="2570"/>
      <c r="AC11" s="2571"/>
      <c r="AD11" s="2110"/>
      <c r="AE11" s="2237"/>
      <c r="AF11" s="2262"/>
      <c r="AG11" s="1472"/>
      <c r="AH11" s="1704"/>
    </row>
    <row r="12" spans="1:34" ht="11.25" customHeight="1">
      <c r="A12" s="788"/>
      <c r="B12" s="789" t="s">
        <v>46</v>
      </c>
      <c r="C12" s="824"/>
      <c r="D12" s="825"/>
      <c r="E12" s="824"/>
      <c r="F12" s="826"/>
      <c r="G12" s="827"/>
      <c r="H12" s="828"/>
      <c r="I12" s="824"/>
      <c r="J12" s="829"/>
      <c r="K12" s="194"/>
      <c r="L12" s="861"/>
      <c r="M12" s="826"/>
      <c r="N12" s="825"/>
      <c r="O12" s="862"/>
      <c r="P12" s="829"/>
      <c r="Q12" s="194"/>
      <c r="R12" s="861"/>
      <c r="S12" s="826"/>
      <c r="T12" s="829"/>
      <c r="U12" s="194"/>
      <c r="V12" s="875"/>
      <c r="W12" s="876"/>
      <c r="X12" s="28"/>
      <c r="Y12" s="895"/>
      <c r="Z12" s="890"/>
      <c r="AA12" s="890"/>
      <c r="AB12" s="891"/>
      <c r="AC12" s="2205"/>
      <c r="AD12" s="2110"/>
      <c r="AE12" s="2237"/>
      <c r="AF12" s="2262"/>
      <c r="AG12" s="1472"/>
      <c r="AH12" s="1705"/>
    </row>
    <row r="13" spans="1:34">
      <c r="A13" s="1913" t="s">
        <v>206</v>
      </c>
      <c r="B13" s="790" t="s">
        <v>47</v>
      </c>
      <c r="C13" s="18">
        <v>2453.2840000000001</v>
      </c>
      <c r="D13" s="19">
        <v>960.32500000000005</v>
      </c>
      <c r="E13" s="20">
        <v>43.15</v>
      </c>
      <c r="F13" s="18">
        <v>20.061</v>
      </c>
      <c r="G13" s="18">
        <v>274.024</v>
      </c>
      <c r="H13" s="19">
        <v>48.311999999999998</v>
      </c>
      <c r="I13" s="18">
        <v>25.338000000000001</v>
      </c>
      <c r="J13" s="96">
        <v>14.718</v>
      </c>
      <c r="K13" s="29"/>
      <c r="L13" s="99">
        <v>71.400999999999996</v>
      </c>
      <c r="M13" s="18">
        <v>185.06399999999999</v>
      </c>
      <c r="N13" s="19">
        <v>10.599</v>
      </c>
      <c r="O13" s="407">
        <v>171.548</v>
      </c>
      <c r="P13" s="338">
        <f>SUM(C13:O13)</f>
        <v>4277.8239999999996</v>
      </c>
      <c r="Q13" s="46"/>
      <c r="R13" s="99">
        <v>4.4969999999999999</v>
      </c>
      <c r="S13" s="18">
        <v>3.544</v>
      </c>
      <c r="T13" s="96">
        <v>52.212000000000003</v>
      </c>
      <c r="U13" s="47"/>
      <c r="V13" s="109">
        <v>60.622999999999998</v>
      </c>
      <c r="W13" s="373">
        <f>SUM(R13:V13)</f>
        <v>120.876</v>
      </c>
      <c r="X13" s="53"/>
      <c r="Y13" s="1500">
        <v>4206.5479999999998</v>
      </c>
      <c r="Z13" s="1501"/>
      <c r="AA13" s="1502"/>
      <c r="AB13" s="1503"/>
      <c r="AC13" s="2206"/>
      <c r="AD13" s="2110"/>
      <c r="AE13" s="2238"/>
      <c r="AF13" s="2263">
        <v>4156.9459999999999</v>
      </c>
      <c r="AG13" s="2252">
        <v>4148.8270000000002</v>
      </c>
      <c r="AH13" s="1706">
        <f>W13-V13-(IF(AND(Motpart!$Y$9="",Motpart!$Z$9=""),0,IF(AND(Motpart!$Y$9=0,Motpart!$Z$9=0),0,((T13/$T$17)*(Motpart!$Y$9+Motpart!$Z$9)))))</f>
        <v>37.810878262107138</v>
      </c>
    </row>
    <row r="14" spans="1:34">
      <c r="A14" s="1913" t="s">
        <v>207</v>
      </c>
      <c r="B14" s="791" t="s">
        <v>49</v>
      </c>
      <c r="C14" s="21">
        <v>13.188000000000001</v>
      </c>
      <c r="D14" s="19">
        <v>5.8959999999999999</v>
      </c>
      <c r="E14" s="23">
        <v>0.39400000000000002</v>
      </c>
      <c r="F14" s="21">
        <v>0</v>
      </c>
      <c r="G14" s="21">
        <v>0.71</v>
      </c>
      <c r="H14" s="22">
        <v>554.04899999999998</v>
      </c>
      <c r="I14" s="21">
        <v>5.7000000000000002E-2</v>
      </c>
      <c r="J14" s="97">
        <v>4.0000000000000001E-3</v>
      </c>
      <c r="K14" s="29"/>
      <c r="L14" s="100">
        <v>1.4810000000000001</v>
      </c>
      <c r="M14" s="21">
        <v>2.7090000000000001</v>
      </c>
      <c r="N14" s="19">
        <v>0.31</v>
      </c>
      <c r="O14" s="339">
        <v>0.68500000000000005</v>
      </c>
      <c r="P14" s="338">
        <f>SUM(C14:O14)</f>
        <v>579.48299999999983</v>
      </c>
      <c r="Q14" s="46"/>
      <c r="R14" s="100">
        <v>0</v>
      </c>
      <c r="S14" s="21">
        <v>0</v>
      </c>
      <c r="T14" s="97">
        <v>0.29499999999999998</v>
      </c>
      <c r="U14" s="47"/>
      <c r="V14" s="110">
        <v>1.851</v>
      </c>
      <c r="W14" s="373">
        <f>SUM(R14:V14)</f>
        <v>2.1459999999999999</v>
      </c>
      <c r="X14" s="53"/>
      <c r="Y14" s="1385">
        <v>577.63300000000004</v>
      </c>
      <c r="Z14" s="1504"/>
      <c r="AA14" s="1505"/>
      <c r="AB14" s="1505"/>
      <c r="AC14" s="2207"/>
      <c r="AD14" s="2110"/>
      <c r="AE14" s="2238"/>
      <c r="AF14" s="2263">
        <v>577.33799999999997</v>
      </c>
      <c r="AG14" s="2252">
        <v>23.584</v>
      </c>
      <c r="AH14" s="1706">
        <f>W14-V14-(IF(AND(Motpart!$Y$9="",Motpart!$Z$9=""),0,IF(AND(Motpart!$Y$9=0,Motpart!$Z$9=0),0,((T14/$T$17)*(Motpart!$Y$9+Motpart!$Z$9)))))</f>
        <v>0.16820106656174061</v>
      </c>
    </row>
    <row r="15" spans="1:34">
      <c r="A15" s="1913" t="s">
        <v>208</v>
      </c>
      <c r="B15" s="791" t="s">
        <v>50</v>
      </c>
      <c r="C15" s="21">
        <v>146.43100000000001</v>
      </c>
      <c r="D15" s="19">
        <v>55.771000000000001</v>
      </c>
      <c r="E15" s="23">
        <v>3.0710000000000002</v>
      </c>
      <c r="F15" s="21">
        <v>4.0289999999999999</v>
      </c>
      <c r="G15" s="21">
        <v>323.09699999999998</v>
      </c>
      <c r="H15" s="22">
        <v>2.1999999999999999E-2</v>
      </c>
      <c r="I15" s="21">
        <v>4.3029999999999999</v>
      </c>
      <c r="J15" s="97">
        <v>3.6999999999999998E-2</v>
      </c>
      <c r="K15" s="29"/>
      <c r="L15" s="100">
        <v>3.4790000000000001</v>
      </c>
      <c r="M15" s="21">
        <v>7.7809999999999997</v>
      </c>
      <c r="N15" s="19">
        <v>0.96</v>
      </c>
      <c r="O15" s="339">
        <v>22.952999999999999</v>
      </c>
      <c r="P15" s="338">
        <f>SUM(C15:O15)</f>
        <v>571.93400000000008</v>
      </c>
      <c r="Q15" s="46"/>
      <c r="R15" s="100">
        <v>5.7329999999999997</v>
      </c>
      <c r="S15" s="21">
        <v>7.2999999999999995E-2</v>
      </c>
      <c r="T15" s="97">
        <v>14.416</v>
      </c>
      <c r="U15" s="47"/>
      <c r="V15" s="110">
        <v>0.46700000000000003</v>
      </c>
      <c r="W15" s="373">
        <f>SUM(R15:V15)</f>
        <v>20.689</v>
      </c>
      <c r="X15" s="53"/>
      <c r="Y15" s="1385">
        <v>569.78200000000004</v>
      </c>
      <c r="Z15" s="1504"/>
      <c r="AA15" s="1505"/>
      <c r="AB15" s="1505"/>
      <c r="AC15" s="2207"/>
      <c r="AD15" s="2110"/>
      <c r="AE15" s="2238"/>
      <c r="AF15" s="2263">
        <v>551.24599999999998</v>
      </c>
      <c r="AG15" s="2252">
        <v>567.41700000000003</v>
      </c>
      <c r="AH15" s="1706">
        <f>W15-V15-(IF(AND(Motpart!$Y$9="",Motpart!$Z$9=""),0,IF(AND(Motpart!$Y$9=0,Motpart!$Z$9=0),0,((T15/$T$17)*(Motpart!$Y$9+Motpart!$Z$9)))))</f>
        <v>14.025615510352724</v>
      </c>
    </row>
    <row r="16" spans="1:34">
      <c r="A16" s="1913" t="s">
        <v>209</v>
      </c>
      <c r="B16" s="791" t="s">
        <v>51</v>
      </c>
      <c r="C16" s="21">
        <v>1658.5239999999999</v>
      </c>
      <c r="D16" s="19">
        <v>685.08299999999997</v>
      </c>
      <c r="E16" s="23">
        <v>34.119</v>
      </c>
      <c r="F16" s="21">
        <v>260.995</v>
      </c>
      <c r="G16" s="21">
        <v>666.85900000000004</v>
      </c>
      <c r="H16" s="22">
        <v>111.79300000000001</v>
      </c>
      <c r="I16" s="21">
        <v>32.162999999999997</v>
      </c>
      <c r="J16" s="97">
        <v>8.8859999999999992</v>
      </c>
      <c r="K16" s="2052"/>
      <c r="L16" s="25">
        <v>59.024999999999999</v>
      </c>
      <c r="M16" s="21">
        <v>248.703</v>
      </c>
      <c r="N16" s="19">
        <v>15.847</v>
      </c>
      <c r="O16" s="339">
        <v>125.76900000000001</v>
      </c>
      <c r="P16" s="338">
        <f>SUM(C16:O16)</f>
        <v>3907.7660000000005</v>
      </c>
      <c r="Q16" s="46"/>
      <c r="R16" s="100">
        <v>37.759</v>
      </c>
      <c r="S16" s="21">
        <v>1.276</v>
      </c>
      <c r="T16" s="97">
        <v>410.87400000000002</v>
      </c>
      <c r="U16" s="47"/>
      <c r="V16" s="110">
        <v>158.44300000000001</v>
      </c>
      <c r="W16" s="373">
        <f>SUM(R16:V16)</f>
        <v>608.35200000000009</v>
      </c>
      <c r="X16" s="53"/>
      <c r="Y16" s="1385">
        <v>3556.3069999999998</v>
      </c>
      <c r="Z16" s="1504"/>
      <c r="AA16" s="1505"/>
      <c r="AB16" s="1505"/>
      <c r="AC16" s="2207"/>
      <c r="AD16" s="2110"/>
      <c r="AE16" s="2238"/>
      <c r="AF16" s="2263">
        <v>3299.415</v>
      </c>
      <c r="AG16" s="2252">
        <v>3376.5340000000001</v>
      </c>
      <c r="AH16" s="1706">
        <f>W16-V16-(IF(AND(Motpart!$Y$9="",Motpart!$Z$9=""),0,IF(AND(Motpart!$Y$9=0,Motpart!$Z$9=0),0,((T16/$T$17)*(Motpart!$Y$9+Motpart!$Z$9)))))</f>
        <v>273.30430516097852</v>
      </c>
    </row>
    <row r="17" spans="1:34" ht="12.75" customHeight="1" thickBot="1">
      <c r="A17" s="1926" t="s">
        <v>210</v>
      </c>
      <c r="B17" s="791" t="s">
        <v>52</v>
      </c>
      <c r="C17" s="334">
        <f>SUM(C13:C16)</f>
        <v>4271.4269999999997</v>
      </c>
      <c r="D17" s="24">
        <f t="shared" ref="D17:O17" si="0">SUM(D13:D16)</f>
        <v>1707.0749999999998</v>
      </c>
      <c r="E17" s="341">
        <f t="shared" si="0"/>
        <v>80.733999999999995</v>
      </c>
      <c r="F17" s="334">
        <f t="shared" si="0"/>
        <v>285.08499999999998</v>
      </c>
      <c r="G17" s="334">
        <f t="shared" si="0"/>
        <v>1264.69</v>
      </c>
      <c r="H17" s="24">
        <f t="shared" si="0"/>
        <v>714.17600000000004</v>
      </c>
      <c r="I17" s="334">
        <f t="shared" si="0"/>
        <v>61.860999999999997</v>
      </c>
      <c r="J17" s="101">
        <f t="shared" si="0"/>
        <v>23.645</v>
      </c>
      <c r="K17" s="141"/>
      <c r="L17" s="340">
        <f>SUM(L13:L16)</f>
        <v>135.386</v>
      </c>
      <c r="M17" s="334">
        <f t="shared" si="0"/>
        <v>444.25700000000001</v>
      </c>
      <c r="N17" s="24">
        <f t="shared" si="0"/>
        <v>27.716000000000001</v>
      </c>
      <c r="O17" s="24">
        <f t="shared" si="0"/>
        <v>320.95500000000004</v>
      </c>
      <c r="P17" s="101">
        <f>SUM(P6:P16)</f>
        <v>9337.0070000000014</v>
      </c>
      <c r="Q17" s="46"/>
      <c r="R17" s="340">
        <f>SUM(R13:R16)</f>
        <v>47.989000000000004</v>
      </c>
      <c r="S17" s="334">
        <f>SUM(S13:S16)</f>
        <v>4.8929999999999998</v>
      </c>
      <c r="T17" s="101">
        <f>SUM(T13:T16)</f>
        <v>477.79700000000003</v>
      </c>
      <c r="U17" s="46"/>
      <c r="V17" s="113">
        <f>SUM(V13:V16)</f>
        <v>221.38400000000001</v>
      </c>
      <c r="W17" s="114">
        <f>SUM(W13:W16)</f>
        <v>752.0630000000001</v>
      </c>
      <c r="X17" s="53"/>
      <c r="Y17" s="897">
        <v>8910.2669999999998</v>
      </c>
      <c r="Z17" s="898">
        <f>(P17-W17)*1000/invanare</f>
        <v>810.84049336447663</v>
      </c>
      <c r="AA17" s="898">
        <f>Y17*1000/invanare</f>
        <v>841.56696773901069</v>
      </c>
      <c r="AB17" s="898">
        <v>778.524</v>
      </c>
      <c r="AC17" s="2208">
        <f>IF(ISERROR((AA17-AB17)/AB17)," ",((AA17-AB17)/AB17))</f>
        <v>8.0977552058781349E-2</v>
      </c>
      <c r="AD17" s="2110"/>
      <c r="AE17" s="2239"/>
      <c r="AF17" s="2264">
        <v>8584.9590000000007</v>
      </c>
      <c r="AG17" s="2253">
        <v>8116.375</v>
      </c>
      <c r="AH17" s="1706">
        <f>W17-V17-SUM(Motpart!Y9:Z9)</f>
        <v>325.30900000000008</v>
      </c>
    </row>
    <row r="18" spans="1:34" ht="37.5" customHeight="1" thickBot="1">
      <c r="A18" s="1927"/>
      <c r="B18" s="792" t="s">
        <v>53</v>
      </c>
      <c r="C18" s="830"/>
      <c r="D18" s="831"/>
      <c r="E18" s="830"/>
      <c r="F18" s="832"/>
      <c r="G18" s="832"/>
      <c r="H18" s="831"/>
      <c r="I18" s="832"/>
      <c r="J18" s="833"/>
      <c r="K18" s="29"/>
      <c r="L18" s="863"/>
      <c r="M18" s="832"/>
      <c r="N18" s="831"/>
      <c r="O18" s="831"/>
      <c r="P18" s="833"/>
      <c r="Q18" s="47"/>
      <c r="R18" s="863"/>
      <c r="S18" s="832"/>
      <c r="T18" s="833"/>
      <c r="U18" s="47"/>
      <c r="V18" s="877"/>
      <c r="W18" s="878"/>
      <c r="X18" s="29"/>
      <c r="Y18" s="1521" t="s">
        <v>915</v>
      </c>
      <c r="Z18" s="2572"/>
      <c r="AA18" s="2570"/>
      <c r="AB18" s="2570"/>
      <c r="AC18" s="2571"/>
      <c r="AD18" s="2110"/>
      <c r="AE18" s="2240"/>
      <c r="AF18" s="2265"/>
      <c r="AG18" s="2254"/>
      <c r="AH18" s="1707"/>
    </row>
    <row r="19" spans="1:34">
      <c r="A19" s="1913" t="s">
        <v>211</v>
      </c>
      <c r="B19" s="793" t="s">
        <v>54</v>
      </c>
      <c r="C19" s="18">
        <v>5026.0969999999998</v>
      </c>
      <c r="D19" s="19">
        <v>2359.991</v>
      </c>
      <c r="E19" s="18">
        <v>1589.1210000000001</v>
      </c>
      <c r="F19" s="18">
        <v>125.709</v>
      </c>
      <c r="G19" s="18">
        <v>3024.5509999999999</v>
      </c>
      <c r="H19" s="19">
        <v>44.965000000000003</v>
      </c>
      <c r="I19" s="18">
        <v>929.58</v>
      </c>
      <c r="J19" s="96">
        <v>1413.8230000000001</v>
      </c>
      <c r="K19" s="29"/>
      <c r="L19" s="99">
        <v>532.077</v>
      </c>
      <c r="M19" s="18">
        <v>1497.4849999999999</v>
      </c>
      <c r="N19" s="19">
        <v>101.96899999999999</v>
      </c>
      <c r="O19" s="339">
        <v>519.45100000000002</v>
      </c>
      <c r="P19" s="338">
        <f>SUM(C19:O19)</f>
        <v>17164.819</v>
      </c>
      <c r="Q19" s="46"/>
      <c r="R19" s="99">
        <v>3111.7429999999999</v>
      </c>
      <c r="S19" s="18">
        <v>256.536</v>
      </c>
      <c r="T19" s="96">
        <v>2429.0050000000001</v>
      </c>
      <c r="U19" s="47"/>
      <c r="V19" s="109">
        <v>2796.2779999999998</v>
      </c>
      <c r="W19" s="373">
        <f t="shared" ref="W19:W29" si="1">SUM(R19:V19)</f>
        <v>8593.5619999999999</v>
      </c>
      <c r="X19" s="53"/>
      <c r="Y19" s="897">
        <v>14290.623</v>
      </c>
      <c r="Z19" s="1514"/>
      <c r="AA19" s="1515"/>
      <c r="AB19" s="1516"/>
      <c r="AC19" s="2209"/>
      <c r="AD19" s="2110"/>
      <c r="AE19" s="2240"/>
      <c r="AF19" s="2263">
        <v>8571.259</v>
      </c>
      <c r="AG19" s="2252">
        <v>14197.868</v>
      </c>
      <c r="AH19" s="1706">
        <f>W19-V19-(IF(AND(Motpart!$Y$10="",Motpart!$Z$10=""),0,IF(AND(Motpart!$Y$10=0,Motpart!$Z$10=0),0,((T19/$T$30)*(Motpart!$Y$10+Motpart!$Z$10)))))</f>
        <v>5637.4864792279332</v>
      </c>
    </row>
    <row r="20" spans="1:34">
      <c r="A20" s="1913" t="s">
        <v>212</v>
      </c>
      <c r="B20" s="791" t="s">
        <v>55</v>
      </c>
      <c r="C20" s="18">
        <v>677.59</v>
      </c>
      <c r="D20" s="19">
        <v>312.92899999999997</v>
      </c>
      <c r="E20" s="18">
        <v>39.914000000000001</v>
      </c>
      <c r="F20" s="18">
        <v>119.65300000000001</v>
      </c>
      <c r="G20" s="18">
        <v>599.34</v>
      </c>
      <c r="H20" s="19">
        <v>791.39499999999998</v>
      </c>
      <c r="I20" s="18">
        <v>32.039000000000001</v>
      </c>
      <c r="J20" s="96">
        <v>25.334</v>
      </c>
      <c r="K20" s="29"/>
      <c r="L20" s="100">
        <v>49.438000000000002</v>
      </c>
      <c r="M20" s="21">
        <v>87.286000000000001</v>
      </c>
      <c r="N20" s="19">
        <v>9.5960000000000001</v>
      </c>
      <c r="O20" s="339">
        <v>69.429000000000002</v>
      </c>
      <c r="P20" s="338">
        <f t="shared" ref="P20:P29" si="2">SUM(C20:O20)</f>
        <v>2813.9430000000002</v>
      </c>
      <c r="Q20" s="46"/>
      <c r="R20" s="100">
        <v>9.75</v>
      </c>
      <c r="S20" s="21">
        <v>4.9829999999999997</v>
      </c>
      <c r="T20" s="97">
        <v>403.73</v>
      </c>
      <c r="U20" s="47"/>
      <c r="V20" s="110">
        <v>47.2</v>
      </c>
      <c r="W20" s="373">
        <f t="shared" si="1"/>
        <v>465.66300000000001</v>
      </c>
      <c r="X20" s="53"/>
      <c r="Y20" s="917">
        <v>2740.3719999999998</v>
      </c>
      <c r="Z20" s="1514"/>
      <c r="AA20" s="1515"/>
      <c r="AB20" s="1516"/>
      <c r="AC20" s="2209"/>
      <c r="AD20" s="2110"/>
      <c r="AE20" s="2240"/>
      <c r="AF20" s="2263">
        <v>2348.2820000000002</v>
      </c>
      <c r="AG20" s="2252">
        <v>1855.6980000000001</v>
      </c>
      <c r="AH20" s="1706">
        <f>W20-V20-(IF(AND(Motpart!$Y$10="",Motpart!$Z$10=""),0,IF(AND(Motpart!$Y$10=0,Motpart!$Z$10=0),0,((T20/$T$30)*(Motpart!$Y$10+Motpart!$Z$10)))))</f>
        <v>391.9027199424018</v>
      </c>
    </row>
    <row r="21" spans="1:34">
      <c r="A21" s="1913" t="s">
        <v>633</v>
      </c>
      <c r="B21" s="791" t="s">
        <v>56</v>
      </c>
      <c r="C21" s="18">
        <v>126.417</v>
      </c>
      <c r="D21" s="19">
        <v>57.509</v>
      </c>
      <c r="E21" s="18">
        <v>2.37</v>
      </c>
      <c r="F21" s="18">
        <v>10.314</v>
      </c>
      <c r="G21" s="18">
        <v>18.763000000000002</v>
      </c>
      <c r="H21" s="19">
        <v>1.37</v>
      </c>
      <c r="I21" s="18">
        <v>3.911</v>
      </c>
      <c r="J21" s="96">
        <v>0.39500000000000002</v>
      </c>
      <c r="K21" s="29"/>
      <c r="L21" s="100">
        <v>4.556</v>
      </c>
      <c r="M21" s="21">
        <v>16.837</v>
      </c>
      <c r="N21" s="19">
        <v>1.9419999999999999</v>
      </c>
      <c r="O21" s="339">
        <v>8.3699999999999992</v>
      </c>
      <c r="P21" s="338">
        <f t="shared" si="2"/>
        <v>252.75400000000002</v>
      </c>
      <c r="Q21" s="46"/>
      <c r="R21" s="100">
        <v>1.1160000000000001</v>
      </c>
      <c r="S21" s="21">
        <v>0.22</v>
      </c>
      <c r="T21" s="97">
        <v>81.89</v>
      </c>
      <c r="U21" s="47"/>
      <c r="V21" s="110">
        <v>8.4700000000000006</v>
      </c>
      <c r="W21" s="373">
        <f t="shared" si="1"/>
        <v>91.695999999999998</v>
      </c>
      <c r="X21" s="53"/>
      <c r="Y21" s="917">
        <v>240.21899999999999</v>
      </c>
      <c r="Z21" s="1514"/>
      <c r="AA21" s="1515"/>
      <c r="AB21" s="1516"/>
      <c r="AC21" s="2209"/>
      <c r="AD21" s="2110"/>
      <c r="AE21" s="2240"/>
      <c r="AF21" s="2263">
        <v>161.05799999999999</v>
      </c>
      <c r="AG21" s="2252">
        <v>232.59899999999999</v>
      </c>
      <c r="AH21" s="1706">
        <f>W21-V21-(IF(AND(Motpart!$Y$10="",Motpart!$Z$10=""),0,IF(AND(Motpart!$Y$10=0,Motpart!$Z$10=0),0,((T21/$T$30)*(Motpart!$Y$10+Motpart!$Z$10)))))</f>
        <v>77.838683392572463</v>
      </c>
    </row>
    <row r="22" spans="1:34">
      <c r="A22" s="1913" t="s">
        <v>213</v>
      </c>
      <c r="B22" s="791" t="s">
        <v>57</v>
      </c>
      <c r="C22" s="18">
        <v>183.047</v>
      </c>
      <c r="D22" s="19">
        <v>83.864000000000004</v>
      </c>
      <c r="E22" s="18">
        <v>59.030999999999999</v>
      </c>
      <c r="F22" s="18">
        <v>128.62100000000001</v>
      </c>
      <c r="G22" s="18">
        <v>195.87</v>
      </c>
      <c r="H22" s="19">
        <v>298.99400000000003</v>
      </c>
      <c r="I22" s="18">
        <v>12.364000000000001</v>
      </c>
      <c r="J22" s="96">
        <v>57.478999999999999</v>
      </c>
      <c r="K22" s="29"/>
      <c r="L22" s="100">
        <v>32.476999999999997</v>
      </c>
      <c r="M22" s="21">
        <v>32.457000000000001</v>
      </c>
      <c r="N22" s="19">
        <v>2.4319999999999999</v>
      </c>
      <c r="O22" s="339">
        <v>26.803000000000001</v>
      </c>
      <c r="P22" s="338">
        <f t="shared" si="2"/>
        <v>1113.4390000000003</v>
      </c>
      <c r="Q22" s="46"/>
      <c r="R22" s="100">
        <v>43.195999999999998</v>
      </c>
      <c r="S22" s="21">
        <v>28.858000000000001</v>
      </c>
      <c r="T22" s="97">
        <v>158.197</v>
      </c>
      <c r="U22" s="47"/>
      <c r="V22" s="110">
        <v>13.842000000000001</v>
      </c>
      <c r="W22" s="373">
        <f t="shared" si="1"/>
        <v>244.09300000000002</v>
      </c>
      <c r="X22" s="53"/>
      <c r="Y22" s="917">
        <v>1093.1579999999999</v>
      </c>
      <c r="Z22" s="1517"/>
      <c r="AA22" s="1515"/>
      <c r="AB22" s="1516"/>
      <c r="AC22" s="2209"/>
      <c r="AD22" s="2110"/>
      <c r="AE22" s="2240"/>
      <c r="AF22" s="2263">
        <v>869.346</v>
      </c>
      <c r="AG22" s="2252">
        <v>671.98299999999995</v>
      </c>
      <c r="AH22" s="1706">
        <f>W22-V22-(IF(AND(Motpart!$Y$10="",Motpart!$Z$10=""),0,IF(AND(Motpart!$Y$10=0,Motpart!$Z$10=0),0,((T22/$T$30)*(Motpart!$Y$10+Motpart!$Z$10)))))</f>
        <v>219.84365691360102</v>
      </c>
    </row>
    <row r="23" spans="1:34">
      <c r="A23" s="1913" t="s">
        <v>214</v>
      </c>
      <c r="B23" s="799" t="s">
        <v>799</v>
      </c>
      <c r="C23" s="18">
        <v>2250.6579999999999</v>
      </c>
      <c r="D23" s="19">
        <v>1056.6869999999999</v>
      </c>
      <c r="E23" s="18">
        <v>4525.9399999999996</v>
      </c>
      <c r="F23" s="18">
        <v>4683.6549999999997</v>
      </c>
      <c r="G23" s="18">
        <v>1831.115</v>
      </c>
      <c r="H23" s="19">
        <v>2447.067</v>
      </c>
      <c r="I23" s="18">
        <v>130.63900000000001</v>
      </c>
      <c r="J23" s="96">
        <v>9224.2129999999997</v>
      </c>
      <c r="K23" s="29"/>
      <c r="L23" s="100">
        <v>388.78100000000001</v>
      </c>
      <c r="M23" s="21">
        <v>2116.4279999999999</v>
      </c>
      <c r="N23" s="19">
        <v>93.935000000000002</v>
      </c>
      <c r="O23" s="339">
        <v>758.87900000000002</v>
      </c>
      <c r="P23" s="338">
        <f t="shared" si="2"/>
        <v>29507.996999999999</v>
      </c>
      <c r="Q23" s="46"/>
      <c r="R23" s="100">
        <v>4359.6220000000003</v>
      </c>
      <c r="S23" s="21">
        <v>17.222000000000001</v>
      </c>
      <c r="T23" s="97">
        <v>3337.6590000000001</v>
      </c>
      <c r="U23" s="47"/>
      <c r="V23" s="110">
        <v>2039.3140000000001</v>
      </c>
      <c r="W23" s="373">
        <f t="shared" si="1"/>
        <v>9753.8170000000009</v>
      </c>
      <c r="X23" s="53"/>
      <c r="Y23" s="917">
        <v>27298.043000000001</v>
      </c>
      <c r="Z23" s="1517"/>
      <c r="AA23" s="1515"/>
      <c r="AB23" s="1516"/>
      <c r="AC23" s="2209"/>
      <c r="AD23" s="2110"/>
      <c r="AE23" s="2240"/>
      <c r="AF23" s="2263">
        <v>19754.178</v>
      </c>
      <c r="AG23" s="2252">
        <v>20337.96</v>
      </c>
      <c r="AH23" s="1706">
        <f>W23-V23-(IF(AND(Motpart!$Y$10="",Motpart!$Z$10=""),0,IF(AND(Motpart!$Y$10=0,Motpart!$Z$10=0),0,((T23/$T$30)*(Motpart!$Y$10+Motpart!$Z$10)))))</f>
        <v>7494.9276457365986</v>
      </c>
    </row>
    <row r="24" spans="1:34">
      <c r="A24" s="1913" t="s">
        <v>215</v>
      </c>
      <c r="B24" s="791" t="s">
        <v>16</v>
      </c>
      <c r="C24" s="18">
        <v>1410.317</v>
      </c>
      <c r="D24" s="19">
        <v>656.50599999999997</v>
      </c>
      <c r="E24" s="18">
        <v>709.77599999999995</v>
      </c>
      <c r="F24" s="18">
        <v>1416.0619999999999</v>
      </c>
      <c r="G24" s="18">
        <v>590.34900000000005</v>
      </c>
      <c r="H24" s="19">
        <v>34.173000000000002</v>
      </c>
      <c r="I24" s="18">
        <v>41.316000000000003</v>
      </c>
      <c r="J24" s="96">
        <v>1742.8409999999999</v>
      </c>
      <c r="K24" s="29"/>
      <c r="L24" s="100">
        <v>129.572</v>
      </c>
      <c r="M24" s="21">
        <v>1365.271</v>
      </c>
      <c r="N24" s="19">
        <v>34</v>
      </c>
      <c r="O24" s="339">
        <v>222.386</v>
      </c>
      <c r="P24" s="338">
        <f t="shared" si="2"/>
        <v>8352.5689999999995</v>
      </c>
      <c r="Q24" s="46"/>
      <c r="R24" s="100">
        <v>52.555999999999997</v>
      </c>
      <c r="S24" s="21">
        <v>4.3899999999999997</v>
      </c>
      <c r="T24" s="97">
        <v>527.95399999999995</v>
      </c>
      <c r="U24" s="47"/>
      <c r="V24" s="110">
        <v>938.59199999999998</v>
      </c>
      <c r="W24" s="373">
        <f t="shared" si="1"/>
        <v>1523.492</v>
      </c>
      <c r="X24" s="53"/>
      <c r="Y24" s="917">
        <v>7372.7240000000002</v>
      </c>
      <c r="Z24" s="1517"/>
      <c r="AA24" s="1515"/>
      <c r="AB24" s="1516"/>
      <c r="AC24" s="2209"/>
      <c r="AD24" s="2110"/>
      <c r="AE24" s="2240"/>
      <c r="AF24" s="2263">
        <v>6829.0770000000002</v>
      </c>
      <c r="AG24" s="2252">
        <v>5963.74</v>
      </c>
      <c r="AH24" s="1706">
        <f>W24-V24-(IF(AND(Motpart!$Y$10="",Motpart!$Z$10=""),0,IF(AND(Motpart!$Y$10=0,Motpart!$Z$10=0),0,((T24/$T$30)*(Motpart!$Y$10+Motpart!$Z$10)))))</f>
        <v>550.16736656297724</v>
      </c>
    </row>
    <row r="25" spans="1:34">
      <c r="A25" s="1913" t="s">
        <v>216</v>
      </c>
      <c r="B25" s="791" t="s">
        <v>59</v>
      </c>
      <c r="C25" s="18">
        <v>1612.758</v>
      </c>
      <c r="D25" s="19">
        <v>748.62699999999995</v>
      </c>
      <c r="E25" s="18">
        <v>59.832999999999998</v>
      </c>
      <c r="F25" s="18">
        <v>161.88999999999999</v>
      </c>
      <c r="G25" s="18">
        <v>219.876</v>
      </c>
      <c r="H25" s="19">
        <v>8.9580000000000002</v>
      </c>
      <c r="I25" s="18">
        <v>28.44</v>
      </c>
      <c r="J25" s="96">
        <v>12.121</v>
      </c>
      <c r="K25" s="29"/>
      <c r="L25" s="100">
        <v>81.350999999999999</v>
      </c>
      <c r="M25" s="21">
        <v>206.13800000000001</v>
      </c>
      <c r="N25" s="19">
        <v>21.885000000000002</v>
      </c>
      <c r="O25" s="339">
        <v>114</v>
      </c>
      <c r="P25" s="338">
        <f t="shared" si="2"/>
        <v>3275.8770000000009</v>
      </c>
      <c r="Q25" s="46"/>
      <c r="R25" s="100">
        <v>1092.1869999999999</v>
      </c>
      <c r="S25" s="21">
        <v>9.1999999999999998E-2</v>
      </c>
      <c r="T25" s="97">
        <v>125.033</v>
      </c>
      <c r="U25" s="47"/>
      <c r="V25" s="110">
        <v>273.73599999999999</v>
      </c>
      <c r="W25" s="373">
        <f t="shared" si="1"/>
        <v>1491.0479999999998</v>
      </c>
      <c r="X25" s="53"/>
      <c r="Y25" s="917">
        <v>2979.6909999999998</v>
      </c>
      <c r="Z25" s="1501"/>
      <c r="AA25" s="1515"/>
      <c r="AB25" s="1516"/>
      <c r="AC25" s="2209"/>
      <c r="AD25" s="2110"/>
      <c r="AE25" s="2240"/>
      <c r="AF25" s="2263">
        <v>1784.828</v>
      </c>
      <c r="AG25" s="2252">
        <v>2831.2939999999999</v>
      </c>
      <c r="AH25" s="1706">
        <f>W25-V25-(IF(AND(Motpart!$Y$10="",Motpart!$Z$10=""),0,IF(AND(Motpart!$Y$10=0,Motpart!$Z$10=0),0,((T25/$T$30)*(Motpart!$Y$10+Motpart!$Z$10)))))</f>
        <v>1209.0864247481195</v>
      </c>
    </row>
    <row r="26" spans="1:34">
      <c r="A26" s="1913" t="s">
        <v>217</v>
      </c>
      <c r="B26" s="791" t="s">
        <v>60</v>
      </c>
      <c r="C26" s="18">
        <v>636.88400000000001</v>
      </c>
      <c r="D26" s="19">
        <v>293.08699999999999</v>
      </c>
      <c r="E26" s="18">
        <v>178.82499999999999</v>
      </c>
      <c r="F26" s="18">
        <v>126.89700000000001</v>
      </c>
      <c r="G26" s="18">
        <v>512.39400000000001</v>
      </c>
      <c r="H26" s="19">
        <v>100.355</v>
      </c>
      <c r="I26" s="18">
        <v>13.053000000000001</v>
      </c>
      <c r="J26" s="96">
        <v>37.076999999999998</v>
      </c>
      <c r="K26" s="29"/>
      <c r="L26" s="100">
        <v>31.866</v>
      </c>
      <c r="M26" s="21">
        <v>183.482</v>
      </c>
      <c r="N26" s="19">
        <v>5.6120000000000001</v>
      </c>
      <c r="O26" s="339">
        <v>65.900999999999996</v>
      </c>
      <c r="P26" s="338">
        <f t="shared" si="2"/>
        <v>2185.433</v>
      </c>
      <c r="Q26" s="46"/>
      <c r="R26" s="100">
        <v>28.907</v>
      </c>
      <c r="S26" s="21">
        <v>0.41</v>
      </c>
      <c r="T26" s="97">
        <v>698.67700000000002</v>
      </c>
      <c r="U26" s="47"/>
      <c r="V26" s="110">
        <v>104.435</v>
      </c>
      <c r="W26" s="373">
        <f t="shared" si="1"/>
        <v>832.42900000000009</v>
      </c>
      <c r="X26" s="53"/>
      <c r="Y26" s="917">
        <v>2036.596</v>
      </c>
      <c r="Z26" s="1518"/>
      <c r="AA26" s="1505"/>
      <c r="AB26" s="1505"/>
      <c r="AC26" s="2207"/>
      <c r="AD26" s="2110"/>
      <c r="AE26" s="2240"/>
      <c r="AF26" s="2263">
        <v>1353.0070000000001</v>
      </c>
      <c r="AG26" s="2252">
        <v>1853.748</v>
      </c>
      <c r="AH26" s="1706">
        <f>W26-V26-(IF(AND(Motpart!$Y$10="",Motpart!$Z$10=""),0,IF(AND(Motpart!$Y$10=0,Motpart!$Z$10=0),0,((T26/$T$30)*(Motpart!$Y$10+Motpart!$Z$10)))))</f>
        <v>682.02997258117432</v>
      </c>
    </row>
    <row r="27" spans="1:34">
      <c r="A27" s="1913" t="s">
        <v>218</v>
      </c>
      <c r="B27" s="791" t="s">
        <v>61</v>
      </c>
      <c r="C27" s="18">
        <v>164.983</v>
      </c>
      <c r="D27" s="19">
        <v>75.605999999999995</v>
      </c>
      <c r="E27" s="18">
        <v>1.823</v>
      </c>
      <c r="F27" s="18">
        <v>12.91</v>
      </c>
      <c r="G27" s="18">
        <v>29.587</v>
      </c>
      <c r="H27" s="19">
        <v>0.185</v>
      </c>
      <c r="I27" s="18">
        <v>2.3839999999999999</v>
      </c>
      <c r="J27" s="96">
        <v>0.496</v>
      </c>
      <c r="K27" s="29"/>
      <c r="L27" s="100">
        <v>4.2720000000000002</v>
      </c>
      <c r="M27" s="21">
        <v>26.350999999999999</v>
      </c>
      <c r="N27" s="19">
        <v>1.383</v>
      </c>
      <c r="O27" s="339">
        <v>11.526999999999999</v>
      </c>
      <c r="P27" s="338">
        <f t="shared" si="2"/>
        <v>331.50699999999995</v>
      </c>
      <c r="Q27" s="46"/>
      <c r="R27" s="100">
        <v>266.36</v>
      </c>
      <c r="S27" s="21">
        <v>3.9E-2</v>
      </c>
      <c r="T27" s="97">
        <v>21.521999999999998</v>
      </c>
      <c r="U27" s="47"/>
      <c r="V27" s="110">
        <v>10.5</v>
      </c>
      <c r="W27" s="373">
        <f t="shared" si="1"/>
        <v>298.42099999999999</v>
      </c>
      <c r="X27" s="53"/>
      <c r="Y27" s="917">
        <v>318.09800000000001</v>
      </c>
      <c r="Z27" s="1504"/>
      <c r="AA27" s="1505"/>
      <c r="AB27" s="1505"/>
      <c r="AC27" s="2207"/>
      <c r="AD27" s="2110"/>
      <c r="AE27" s="2240"/>
      <c r="AF27" s="2263">
        <v>33.087000000000003</v>
      </c>
      <c r="AG27" s="2252">
        <v>307.911</v>
      </c>
      <c r="AH27" s="1706">
        <f>W27-V27-(IF(AND(Motpart!$Y$10="",Motpart!$Z$10=""),0,IF(AND(Motpart!$Y$10=0,Motpart!$Z$10=0),0,((T27/$T$30)*(Motpart!$Y$10+Motpart!$Z$10)))))</f>
        <v>286.50512714586574</v>
      </c>
    </row>
    <row r="28" spans="1:34">
      <c r="A28" s="1913" t="s">
        <v>219</v>
      </c>
      <c r="B28" s="791" t="s">
        <v>17</v>
      </c>
      <c r="C28" s="18">
        <v>1661.7750000000001</v>
      </c>
      <c r="D28" s="19">
        <v>775.73599999999999</v>
      </c>
      <c r="E28" s="18">
        <v>239.92400000000001</v>
      </c>
      <c r="F28" s="18">
        <v>5698.643</v>
      </c>
      <c r="G28" s="18">
        <v>403.49200000000002</v>
      </c>
      <c r="H28" s="19">
        <v>751.06700000000001</v>
      </c>
      <c r="I28" s="18">
        <v>127.681</v>
      </c>
      <c r="J28" s="96">
        <v>245.70500000000001</v>
      </c>
      <c r="K28" s="29"/>
      <c r="L28" s="100">
        <v>294.15199999999999</v>
      </c>
      <c r="M28" s="21">
        <v>186.80799999999999</v>
      </c>
      <c r="N28" s="19">
        <v>30.102</v>
      </c>
      <c r="O28" s="339">
        <v>143.00399999999999</v>
      </c>
      <c r="P28" s="338">
        <f t="shared" si="2"/>
        <v>10558.089000000002</v>
      </c>
      <c r="Q28" s="46"/>
      <c r="R28" s="100">
        <v>151.773</v>
      </c>
      <c r="S28" s="21">
        <v>50.201999999999998</v>
      </c>
      <c r="T28" s="97">
        <v>523.48699999999997</v>
      </c>
      <c r="U28" s="47"/>
      <c r="V28" s="110">
        <v>187.82599999999999</v>
      </c>
      <c r="W28" s="373">
        <f t="shared" si="1"/>
        <v>913.28800000000001</v>
      </c>
      <c r="X28" s="53"/>
      <c r="Y28" s="917">
        <v>10216.849</v>
      </c>
      <c r="Z28" s="1504"/>
      <c r="AA28" s="1505"/>
      <c r="AB28" s="1505"/>
      <c r="AC28" s="2207"/>
      <c r="AD28" s="2110"/>
      <c r="AE28" s="2240"/>
      <c r="AF28" s="2263">
        <v>9644.7999999999993</v>
      </c>
      <c r="AG28" s="2252">
        <v>3920.5520000000001</v>
      </c>
      <c r="AH28" s="1706">
        <f>W28-V28-(IF(AND(Motpart!$Y$10="",Motpart!$Z$10=""),0,IF(AND(Motpart!$Y$10=0,Motpart!$Z$10=0),0,((T28/$T$30)*(Motpart!$Y$10+Motpart!$Z$10)))))</f>
        <v>691.02323813808255</v>
      </c>
    </row>
    <row r="29" spans="1:34">
      <c r="A29" s="1913" t="s">
        <v>220</v>
      </c>
      <c r="B29" s="791" t="s">
        <v>62</v>
      </c>
      <c r="C29" s="18">
        <v>430.95800000000003</v>
      </c>
      <c r="D29" s="19">
        <v>197.96299999999999</v>
      </c>
      <c r="E29" s="18">
        <v>74.816000000000003</v>
      </c>
      <c r="F29" s="18">
        <v>26.943000000000001</v>
      </c>
      <c r="G29" s="18">
        <v>332.911</v>
      </c>
      <c r="H29" s="19">
        <v>17.007000000000001</v>
      </c>
      <c r="I29" s="18">
        <v>6.9850000000000003</v>
      </c>
      <c r="J29" s="96">
        <v>48.64</v>
      </c>
      <c r="K29" s="29"/>
      <c r="L29" s="100">
        <v>25.757000000000001</v>
      </c>
      <c r="M29" s="21">
        <v>79.158000000000001</v>
      </c>
      <c r="N29" s="19">
        <v>3.21</v>
      </c>
      <c r="O29" s="339">
        <v>49.084000000000003</v>
      </c>
      <c r="P29" s="338">
        <f t="shared" si="2"/>
        <v>1293.4320000000002</v>
      </c>
      <c r="Q29" s="46"/>
      <c r="R29" s="100">
        <v>8.6609999999999996</v>
      </c>
      <c r="S29" s="21">
        <v>2.57</v>
      </c>
      <c r="T29" s="97">
        <v>641.04100000000005</v>
      </c>
      <c r="U29" s="47"/>
      <c r="V29" s="110">
        <v>66.775000000000006</v>
      </c>
      <c r="W29" s="373">
        <f t="shared" si="1"/>
        <v>719.04700000000003</v>
      </c>
      <c r="X29" s="53"/>
      <c r="Y29" s="917">
        <v>1187.8630000000001</v>
      </c>
      <c r="Z29" s="1512"/>
      <c r="AA29" s="1513"/>
      <c r="AB29" s="1513"/>
      <c r="AC29" s="2210"/>
      <c r="AD29" s="2110"/>
      <c r="AE29" s="2240"/>
      <c r="AF29" s="2263">
        <v>574.38199999999995</v>
      </c>
      <c r="AG29" s="2252">
        <v>1182.7059999999999</v>
      </c>
      <c r="AH29" s="1706">
        <f>W29-V29-(IF(AND(Motpart!$Y$10="",Motpart!$Z$10=""),0,IF(AND(Motpart!$Y$10=0,Motpart!$Z$10=0),0,((T29/$T$30)*(Motpart!$Y$10+Motpart!$Z$10)))))</f>
        <v>610.09968561067342</v>
      </c>
    </row>
    <row r="30" spans="1:34" ht="12.75" customHeight="1" thickBot="1">
      <c r="A30" s="1926" t="s">
        <v>221</v>
      </c>
      <c r="B30" s="791" t="s">
        <v>63</v>
      </c>
      <c r="C30" s="334">
        <f t="shared" ref="C30:M30" si="3">SUM(C19:C29)</f>
        <v>14181.484</v>
      </c>
      <c r="D30" s="24">
        <f t="shared" si="3"/>
        <v>6618.5049999999983</v>
      </c>
      <c r="E30" s="24">
        <f t="shared" si="3"/>
        <v>7481.3729999999987</v>
      </c>
      <c r="F30" s="342">
        <f t="shared" si="3"/>
        <v>12511.296999999999</v>
      </c>
      <c r="G30" s="343">
        <f t="shared" si="3"/>
        <v>7758.2480000000014</v>
      </c>
      <c r="H30" s="344">
        <f t="shared" si="3"/>
        <v>4495.5360000000001</v>
      </c>
      <c r="I30" s="334">
        <f t="shared" si="3"/>
        <v>1328.3920000000001</v>
      </c>
      <c r="J30" s="101">
        <f t="shared" si="3"/>
        <v>12808.123999999998</v>
      </c>
      <c r="K30" s="141"/>
      <c r="L30" s="340">
        <f>SUM(L19:L29)</f>
        <v>1574.299</v>
      </c>
      <c r="M30" s="334">
        <f t="shared" si="3"/>
        <v>5797.701</v>
      </c>
      <c r="N30" s="24">
        <f t="shared" ref="N30:W30" si="4">SUM(N19:N29)</f>
        <v>306.06599999999997</v>
      </c>
      <c r="O30" s="24">
        <f t="shared" si="4"/>
        <v>1988.8340000000001</v>
      </c>
      <c r="P30" s="101">
        <f t="shared" si="4"/>
        <v>76849.859000000011</v>
      </c>
      <c r="Q30" s="46"/>
      <c r="R30" s="340">
        <f t="shared" si="4"/>
        <v>9125.8709999999974</v>
      </c>
      <c r="S30" s="334">
        <f t="shared" si="4"/>
        <v>365.52199999999999</v>
      </c>
      <c r="T30" s="101">
        <f t="shared" si="4"/>
        <v>8948.1949999999979</v>
      </c>
      <c r="U30" s="46"/>
      <c r="V30" s="113">
        <f t="shared" si="4"/>
        <v>6486.9679999999989</v>
      </c>
      <c r="W30" s="114">
        <f t="shared" si="4"/>
        <v>24926.555999999997</v>
      </c>
      <c r="X30" s="53"/>
      <c r="Y30" s="1520">
        <v>69774.235000000001</v>
      </c>
      <c r="Z30" s="898">
        <f>(P30-W30)*1000/invanare</f>
        <v>4904.1108039415531</v>
      </c>
      <c r="AA30" s="898">
        <f>Y30*1000/invanare</f>
        <v>6590.1158040785031</v>
      </c>
      <c r="AB30" s="898">
        <v>6071.4579999999996</v>
      </c>
      <c r="AC30" s="2208">
        <f>IF(ISERROR((AA30-AB30)/AB30)," ",((AA30-AB30)/AB30))</f>
        <v>8.5425577197191099E-2</v>
      </c>
      <c r="AD30" s="2110"/>
      <c r="AE30" s="2241">
        <f>IF(ISERROR(F30/(AA30/1000*invanare)),"",(F30/(AA30/100000*invanare)))</f>
        <v>17.931113110734927</v>
      </c>
      <c r="AF30" s="2263">
        <v>51923.324000000001</v>
      </c>
      <c r="AG30" s="2253">
        <v>53356.080999999998</v>
      </c>
      <c r="AH30" s="1708">
        <f>W30-V30-SUM(Motpart!Y10:Z10)</f>
        <v>17850.910999999996</v>
      </c>
    </row>
    <row r="31" spans="1:34" ht="37.5" customHeight="1" thickBot="1">
      <c r="A31" s="1922"/>
      <c r="B31" s="794" t="s">
        <v>64</v>
      </c>
      <c r="C31" s="834"/>
      <c r="D31" s="835"/>
      <c r="E31" s="836"/>
      <c r="F31" s="837"/>
      <c r="G31" s="838"/>
      <c r="H31" s="839"/>
      <c r="I31" s="838"/>
      <c r="J31" s="840"/>
      <c r="K31" s="29"/>
      <c r="L31" s="864"/>
      <c r="M31" s="838"/>
      <c r="N31" s="835"/>
      <c r="O31" s="835"/>
      <c r="P31" s="840"/>
      <c r="Q31" s="47"/>
      <c r="R31" s="864"/>
      <c r="S31" s="838"/>
      <c r="T31" s="840"/>
      <c r="U31" s="47"/>
      <c r="V31" s="879"/>
      <c r="W31" s="880"/>
      <c r="X31" s="29"/>
      <c r="Y31" s="1521" t="s">
        <v>912</v>
      </c>
      <c r="Z31" s="2569"/>
      <c r="AA31" s="2570"/>
      <c r="AB31" s="2570"/>
      <c r="AC31" s="2571"/>
      <c r="AD31" s="2110"/>
      <c r="AE31" s="2240">
        <f>IF(ISERROR(F30/(AA30/1000*invanare)),"",(SUM(Motpart!D10,Motpart!F10)/(AA30/100000*invanare)))</f>
        <v>7.3770024135699943</v>
      </c>
      <c r="AF31" s="2266"/>
      <c r="AG31" s="2255"/>
      <c r="AH31" s="1709"/>
    </row>
    <row r="32" spans="1:34" ht="9" customHeight="1">
      <c r="A32" s="1928"/>
      <c r="B32" s="795" t="s">
        <v>65</v>
      </c>
      <c r="C32" s="841"/>
      <c r="D32" s="842"/>
      <c r="E32" s="843"/>
      <c r="F32" s="844"/>
      <c r="G32" s="845"/>
      <c r="H32" s="846"/>
      <c r="I32" s="845"/>
      <c r="J32" s="847"/>
      <c r="K32" s="29"/>
      <c r="L32" s="865"/>
      <c r="M32" s="845"/>
      <c r="N32" s="842"/>
      <c r="O32" s="842"/>
      <c r="P32" s="847"/>
      <c r="Q32" s="47"/>
      <c r="R32" s="865"/>
      <c r="S32" s="845"/>
      <c r="T32" s="847"/>
      <c r="U32" s="47"/>
      <c r="V32" s="881"/>
      <c r="W32" s="882"/>
      <c r="X32" s="29"/>
      <c r="Y32" s="1384"/>
      <c r="Z32" s="892"/>
      <c r="AA32" s="893"/>
      <c r="AB32" s="894"/>
      <c r="AC32" s="2211"/>
      <c r="AD32" s="2110"/>
      <c r="AE32" s="2240"/>
      <c r="AF32" s="2267"/>
      <c r="AG32" s="2256"/>
      <c r="AH32" s="1710"/>
    </row>
    <row r="33" spans="1:34" ht="12" customHeight="1">
      <c r="A33" s="1913" t="s">
        <v>222</v>
      </c>
      <c r="B33" s="793" t="s">
        <v>66</v>
      </c>
      <c r="C33" s="18">
        <v>15.22</v>
      </c>
      <c r="D33" s="19">
        <v>6.96</v>
      </c>
      <c r="E33" s="415">
        <v>1.6479999999999999</v>
      </c>
      <c r="F33" s="416">
        <v>0.28699999999999998</v>
      </c>
      <c r="G33" s="18">
        <v>5.8639999999999999</v>
      </c>
      <c r="H33" s="417">
        <v>534.69200000000001</v>
      </c>
      <c r="I33" s="18">
        <v>1.6990000000000001</v>
      </c>
      <c r="J33" s="96">
        <v>0.48</v>
      </c>
      <c r="K33" s="29"/>
      <c r="L33" s="99">
        <v>5</v>
      </c>
      <c r="M33" s="18">
        <v>2.74</v>
      </c>
      <c r="N33" s="19">
        <v>0.66500000000000004</v>
      </c>
      <c r="O33" s="339">
        <v>1.736</v>
      </c>
      <c r="P33" s="338">
        <f>SUM(C33:O33)</f>
        <v>576.99099999999999</v>
      </c>
      <c r="Q33" s="46"/>
      <c r="R33" s="99">
        <v>0.23300000000000001</v>
      </c>
      <c r="S33" s="18">
        <v>0.122</v>
      </c>
      <c r="T33" s="96">
        <v>2.363</v>
      </c>
      <c r="U33" s="47"/>
      <c r="V33" s="109">
        <v>0.78200000000000003</v>
      </c>
      <c r="W33" s="373">
        <f>SUM(R33:V33)</f>
        <v>3.5</v>
      </c>
      <c r="X33" s="53"/>
      <c r="Y33" s="897">
        <v>576.13499999999999</v>
      </c>
      <c r="Z33" s="892"/>
      <c r="AA33" s="892"/>
      <c r="AB33" s="892"/>
      <c r="AC33" s="2212"/>
      <c r="AD33" s="2110"/>
      <c r="AE33" s="2240"/>
      <c r="AF33" s="2263">
        <v>573.49400000000003</v>
      </c>
      <c r="AG33" s="2252">
        <v>41.232999999999997</v>
      </c>
      <c r="AH33" s="1706">
        <f>W33-V33-(IF(AND(Motpart!$Y$11="",Motpart!$Z$11=""),0,IF(AND(Motpart!$Y$11=0,Motpart!$Z$11=0),0,((T33/$T$37)*(Motpart!$Y$11+Motpart!$Z$11)))))</f>
        <v>2.6712644032013597</v>
      </c>
    </row>
    <row r="34" spans="1:34">
      <c r="A34" s="1913" t="s">
        <v>223</v>
      </c>
      <c r="B34" s="791" t="s">
        <v>67</v>
      </c>
      <c r="C34" s="18">
        <v>1501.566</v>
      </c>
      <c r="D34" s="19">
        <v>686.178</v>
      </c>
      <c r="E34" s="18">
        <v>264.82299999999998</v>
      </c>
      <c r="F34" s="18">
        <v>146.41999999999999</v>
      </c>
      <c r="G34" s="18">
        <v>986.50400000000002</v>
      </c>
      <c r="H34" s="22">
        <v>1434.355</v>
      </c>
      <c r="I34" s="21">
        <v>335.78199999999998</v>
      </c>
      <c r="J34" s="97">
        <v>180.56800000000001</v>
      </c>
      <c r="K34" s="29"/>
      <c r="L34" s="100">
        <v>896.37400000000002</v>
      </c>
      <c r="M34" s="21">
        <v>371.85899999999998</v>
      </c>
      <c r="N34" s="19">
        <v>17.276</v>
      </c>
      <c r="O34" s="339">
        <v>173.01300000000001</v>
      </c>
      <c r="P34" s="338">
        <f>SUM(C34:O34)</f>
        <v>6994.7179999999998</v>
      </c>
      <c r="Q34" s="46"/>
      <c r="R34" s="100">
        <v>144.50700000000001</v>
      </c>
      <c r="S34" s="21">
        <v>104.505</v>
      </c>
      <c r="T34" s="97">
        <v>812.03899999999999</v>
      </c>
      <c r="U34" s="47"/>
      <c r="V34" s="110">
        <v>328.63900000000001</v>
      </c>
      <c r="W34" s="373">
        <f>SUM(R34:V34)</f>
        <v>1389.69</v>
      </c>
      <c r="X34" s="53"/>
      <c r="Y34" s="917">
        <v>6654.9679999999998</v>
      </c>
      <c r="Z34" s="892"/>
      <c r="AA34" s="892"/>
      <c r="AB34" s="892"/>
      <c r="AC34" s="2212"/>
      <c r="AD34" s="2110"/>
      <c r="AE34" s="2240"/>
      <c r="AF34" s="2263">
        <v>5605.0280000000002</v>
      </c>
      <c r="AG34" s="2252">
        <v>5085.3040000000001</v>
      </c>
      <c r="AH34" s="1706">
        <f>W34-V34-(IF(AND(Motpart!$Y$11="",Motpart!$Z$11=""),0,IF(AND(Motpart!$Y$11=0,Motpart!$Z$11=0),0,((T34/$T$37)*(Motpart!$Y$11+Motpart!$Z$11)))))</f>
        <v>1044.9904298397075</v>
      </c>
    </row>
    <row r="35" spans="1:34">
      <c r="A35" s="1913" t="s">
        <v>224</v>
      </c>
      <c r="B35" s="791" t="s">
        <v>68</v>
      </c>
      <c r="C35" s="18">
        <v>2174.364</v>
      </c>
      <c r="D35" s="19">
        <v>1001.235</v>
      </c>
      <c r="E35" s="21">
        <v>592.03399999999999</v>
      </c>
      <c r="F35" s="21">
        <v>43.402999999999999</v>
      </c>
      <c r="G35" s="21">
        <v>530.41200000000003</v>
      </c>
      <c r="H35" s="22">
        <v>4.4480000000000004</v>
      </c>
      <c r="I35" s="21">
        <v>380.29899999999998</v>
      </c>
      <c r="J35" s="97">
        <v>157.51300000000001</v>
      </c>
      <c r="K35" s="29"/>
      <c r="L35" s="100">
        <v>712.154</v>
      </c>
      <c r="M35" s="21">
        <v>302.74599999999998</v>
      </c>
      <c r="N35" s="19">
        <v>29.908999999999999</v>
      </c>
      <c r="O35" s="339">
        <v>225.773</v>
      </c>
      <c r="P35" s="338">
        <f>SUM(C35:O35)</f>
        <v>6154.2900000000009</v>
      </c>
      <c r="Q35" s="46"/>
      <c r="R35" s="100">
        <v>34.841999999999999</v>
      </c>
      <c r="S35" s="21">
        <v>5.5830000000000002</v>
      </c>
      <c r="T35" s="97">
        <v>319.53800000000001</v>
      </c>
      <c r="U35" s="47"/>
      <c r="V35" s="110">
        <v>204.23500000000001</v>
      </c>
      <c r="W35" s="373">
        <f>SUM(R35:V35)</f>
        <v>564.19800000000009</v>
      </c>
      <c r="X35" s="53"/>
      <c r="Y35" s="917">
        <v>5941.0889999999999</v>
      </c>
      <c r="Z35" s="892"/>
      <c r="AA35" s="892"/>
      <c r="AB35" s="892"/>
      <c r="AC35" s="2212"/>
      <c r="AD35" s="2110"/>
      <c r="AE35" s="2240"/>
      <c r="AF35" s="2263">
        <v>5590.0959999999995</v>
      </c>
      <c r="AG35" s="2252">
        <v>5902.2039999999997</v>
      </c>
      <c r="AH35" s="1706">
        <f>W35-V35-(IF(AND(Motpart!$Y$11="",Motpart!$Z$11=""),0,IF(AND(Motpart!$Y$11=0,Motpart!$Z$11=0),0,((T35/$T$37)*(Motpart!$Y$11+Motpart!$Z$11)))))</f>
        <v>353.64315271695148</v>
      </c>
    </row>
    <row r="36" spans="1:34">
      <c r="A36" s="1913" t="s">
        <v>225</v>
      </c>
      <c r="B36" s="791" t="s">
        <v>69</v>
      </c>
      <c r="C36" s="18">
        <v>1891.7619999999999</v>
      </c>
      <c r="D36" s="19">
        <v>866.745</v>
      </c>
      <c r="E36" s="21">
        <v>91.942999999999998</v>
      </c>
      <c r="F36" s="21">
        <v>94.486999999999995</v>
      </c>
      <c r="G36" s="21">
        <v>206.73599999999999</v>
      </c>
      <c r="H36" s="22">
        <v>16.18</v>
      </c>
      <c r="I36" s="21">
        <v>127.666</v>
      </c>
      <c r="J36" s="97">
        <v>34.180999999999997</v>
      </c>
      <c r="K36" s="29"/>
      <c r="L36" s="100">
        <v>271.99200000000002</v>
      </c>
      <c r="M36" s="21">
        <v>202.34</v>
      </c>
      <c r="N36" s="19">
        <v>15.532999999999999</v>
      </c>
      <c r="O36" s="339">
        <v>145.65199999999999</v>
      </c>
      <c r="P36" s="338">
        <f>SUM(C36:O36)</f>
        <v>3965.2170000000006</v>
      </c>
      <c r="Q36" s="46"/>
      <c r="R36" s="100">
        <v>259.43900000000002</v>
      </c>
      <c r="S36" s="21">
        <v>3.5390000000000001</v>
      </c>
      <c r="T36" s="97">
        <v>202.74199999999999</v>
      </c>
      <c r="U36" s="47"/>
      <c r="V36" s="110">
        <v>157.00399999999999</v>
      </c>
      <c r="W36" s="373">
        <f>SUM(R36:V36)</f>
        <v>622.72400000000005</v>
      </c>
      <c r="X36" s="53"/>
      <c r="Y36" s="917">
        <v>3801.9430000000002</v>
      </c>
      <c r="Z36" s="899">
        <f>(P36-W36)*1000/invanare</f>
        <v>315.69555645177292</v>
      </c>
      <c r="AA36" s="899">
        <f>Y36*1000/inv7_15</f>
        <v>3372.2657583942027</v>
      </c>
      <c r="AB36" s="899">
        <v>3217.3130000000001</v>
      </c>
      <c r="AC36" s="2213">
        <f>IF(ISERROR((AA36-AB36)/AB36)," ",((AA36-AB36)/AB36))</f>
        <v>4.8162164636826647E-2</v>
      </c>
      <c r="AD36" s="2110"/>
      <c r="AE36" s="2240"/>
      <c r="AF36" s="2263">
        <v>3342.4949999999999</v>
      </c>
      <c r="AG36" s="2252">
        <v>3697.5479999999998</v>
      </c>
      <c r="AH36" s="1706">
        <f>W36-V36-(IF(AND(Motpart!$Y$11="",Motpart!$Z$11=""),0,IF(AND(Motpart!$Y$11=0,Motpart!$Z$11=0),0,((T36/$T$37)*(Motpart!$Y$11+Motpart!$Z$11)))))</f>
        <v>461.71015304013974</v>
      </c>
    </row>
    <row r="37" spans="1:34">
      <c r="A37" s="1913" t="s">
        <v>226</v>
      </c>
      <c r="B37" s="791" t="s">
        <v>70</v>
      </c>
      <c r="C37" s="334">
        <f t="shared" ref="C37:M37" si="5">SUM(C33:C36)</f>
        <v>5582.9120000000003</v>
      </c>
      <c r="D37" s="24">
        <f t="shared" si="5"/>
        <v>2561.1179999999999</v>
      </c>
      <c r="E37" s="334">
        <f t="shared" si="5"/>
        <v>950.44799999999998</v>
      </c>
      <c r="F37" s="334">
        <f t="shared" si="5"/>
        <v>284.59699999999998</v>
      </c>
      <c r="G37" s="334">
        <f t="shared" si="5"/>
        <v>1729.5160000000001</v>
      </c>
      <c r="H37" s="24">
        <f t="shared" si="5"/>
        <v>1989.6750000000002</v>
      </c>
      <c r="I37" s="334">
        <f t="shared" si="5"/>
        <v>845.44599999999991</v>
      </c>
      <c r="J37" s="101">
        <f t="shared" si="5"/>
        <v>372.74200000000002</v>
      </c>
      <c r="K37" s="141"/>
      <c r="L37" s="340">
        <f>SUM(L33:L36)</f>
        <v>1885.52</v>
      </c>
      <c r="M37" s="334">
        <f t="shared" si="5"/>
        <v>879.68500000000006</v>
      </c>
      <c r="N37" s="24">
        <f t="shared" ref="N37:W37" si="6">SUM(N33:N36)</f>
        <v>63.382999999999996</v>
      </c>
      <c r="O37" s="24">
        <f t="shared" si="6"/>
        <v>546.17399999999998</v>
      </c>
      <c r="P37" s="101">
        <f t="shared" si="6"/>
        <v>17691.216</v>
      </c>
      <c r="Q37" s="46"/>
      <c r="R37" s="340">
        <f t="shared" si="6"/>
        <v>439.02100000000002</v>
      </c>
      <c r="S37" s="334">
        <f t="shared" si="6"/>
        <v>113.749</v>
      </c>
      <c r="T37" s="101">
        <f t="shared" si="6"/>
        <v>1336.682</v>
      </c>
      <c r="U37" s="46"/>
      <c r="V37" s="113">
        <f t="shared" si="6"/>
        <v>690.66</v>
      </c>
      <c r="W37" s="114">
        <f t="shared" si="6"/>
        <v>2580.1120000000001</v>
      </c>
      <c r="X37" s="53"/>
      <c r="Y37" s="897">
        <v>16974.137999999999</v>
      </c>
      <c r="Z37" s="900">
        <f>(P37-W37)*1000/invanare</f>
        <v>1427.2306287195249</v>
      </c>
      <c r="AA37" s="901">
        <f>Y37*1000/invanare</f>
        <v>1603.1925694980314</v>
      </c>
      <c r="AB37" s="901">
        <v>1534.7360000000001</v>
      </c>
      <c r="AC37" s="2214">
        <f>IF(ISERROR((AA37-AB37)/AB37)," ",((AA37-AB37)/AB37))</f>
        <v>4.4604785121370241E-2</v>
      </c>
      <c r="AD37" s="2110"/>
      <c r="AE37" s="2240"/>
      <c r="AF37" s="2263">
        <v>15111.121999999999</v>
      </c>
      <c r="AG37" s="2252">
        <v>14726.303</v>
      </c>
      <c r="AH37" s="1706">
        <f>W37-V37-SUM(Motpart!Y11:Z11)</f>
        <v>1863.0150000000003</v>
      </c>
    </row>
    <row r="38" spans="1:34" ht="9" customHeight="1">
      <c r="A38" s="1928"/>
      <c r="B38" s="795" t="s">
        <v>71</v>
      </c>
      <c r="C38" s="848"/>
      <c r="D38" s="849"/>
      <c r="E38" s="850"/>
      <c r="F38" s="850"/>
      <c r="G38" s="850"/>
      <c r="H38" s="849"/>
      <c r="I38" s="850"/>
      <c r="J38" s="851"/>
      <c r="K38" s="29"/>
      <c r="L38" s="866"/>
      <c r="M38" s="850"/>
      <c r="N38" s="849"/>
      <c r="O38" s="849"/>
      <c r="P38" s="851"/>
      <c r="Q38" s="47"/>
      <c r="R38" s="866"/>
      <c r="S38" s="850"/>
      <c r="T38" s="851"/>
      <c r="U38" s="47"/>
      <c r="V38" s="883"/>
      <c r="W38" s="884"/>
      <c r="X38" s="29"/>
      <c r="Y38" s="1384"/>
      <c r="Z38" s="892"/>
      <c r="AA38" s="893"/>
      <c r="AB38" s="894"/>
      <c r="AC38" s="2211"/>
      <c r="AD38" s="2110"/>
      <c r="AE38" s="2240"/>
      <c r="AF38" s="2263">
        <f t="shared" ref="AF38" si="7">P38-W38</f>
        <v>0</v>
      </c>
      <c r="AG38" s="2252">
        <f t="shared" ref="AG38" si="8">P38-F38-H38-V38</f>
        <v>0</v>
      </c>
      <c r="AH38" s="1706"/>
    </row>
    <row r="39" spans="1:34" ht="11.25" customHeight="1">
      <c r="A39" s="1913" t="s">
        <v>227</v>
      </c>
      <c r="B39" s="793" t="s">
        <v>72</v>
      </c>
      <c r="C39" s="18">
        <v>462.12599999999998</v>
      </c>
      <c r="D39" s="19">
        <v>213.495</v>
      </c>
      <c r="E39" s="18">
        <v>65.412000000000006</v>
      </c>
      <c r="F39" s="18">
        <v>78.623000000000005</v>
      </c>
      <c r="G39" s="18">
        <v>180.41900000000001</v>
      </c>
      <c r="H39" s="19">
        <v>1693.682</v>
      </c>
      <c r="I39" s="18">
        <v>76.614000000000004</v>
      </c>
      <c r="J39" s="96">
        <v>36.439</v>
      </c>
      <c r="K39" s="29"/>
      <c r="L39" s="99">
        <v>252.12100000000001</v>
      </c>
      <c r="M39" s="18">
        <v>115.657</v>
      </c>
      <c r="N39" s="19">
        <v>10.657999999999999</v>
      </c>
      <c r="O39" s="339">
        <v>50.970999999999997</v>
      </c>
      <c r="P39" s="338">
        <f>SUM(C39:O39)</f>
        <v>3236.2170000000001</v>
      </c>
      <c r="Q39" s="46"/>
      <c r="R39" s="99">
        <v>22.29</v>
      </c>
      <c r="S39" s="18">
        <v>17.611000000000001</v>
      </c>
      <c r="T39" s="96">
        <v>144.47499999999999</v>
      </c>
      <c r="U39" s="47"/>
      <c r="V39" s="109">
        <v>67.343999999999994</v>
      </c>
      <c r="W39" s="373">
        <f>SUM(R39:V39)</f>
        <v>251.71999999999997</v>
      </c>
      <c r="X39" s="53"/>
      <c r="Y39" s="917">
        <v>3167.3939999999998</v>
      </c>
      <c r="Z39" s="1523"/>
      <c r="AA39" s="1524"/>
      <c r="AB39" s="1524"/>
      <c r="AC39" s="2215"/>
      <c r="AD39" s="2110"/>
      <c r="AE39" s="2240"/>
      <c r="AF39" s="2263">
        <v>2984.4949999999999</v>
      </c>
      <c r="AG39" s="2252">
        <v>1396.568</v>
      </c>
      <c r="AH39" s="1706">
        <f>W39-V39-(IF(AND(Motpart!$Y$12="",Motpart!$Z$12=""),0,IF(AND(Motpart!$Y$12=0,Motpart!$Z$12=0),0,((T39/$T$42)*(Motpart!$Y$12+Motpart!$Z$12)))))</f>
        <v>181.5442444547779</v>
      </c>
    </row>
    <row r="40" spans="1:34">
      <c r="A40" s="1913" t="s">
        <v>228</v>
      </c>
      <c r="B40" s="791" t="s">
        <v>73</v>
      </c>
      <c r="C40" s="18">
        <v>2410.1179999999999</v>
      </c>
      <c r="D40" s="19">
        <v>1109.883</v>
      </c>
      <c r="E40" s="21">
        <v>1600.135</v>
      </c>
      <c r="F40" s="21">
        <v>650.42200000000003</v>
      </c>
      <c r="G40" s="21">
        <v>1097.4580000000001</v>
      </c>
      <c r="H40" s="22">
        <v>437.34100000000001</v>
      </c>
      <c r="I40" s="21">
        <v>1684.6010000000001</v>
      </c>
      <c r="J40" s="97">
        <v>1767.992</v>
      </c>
      <c r="K40" s="29"/>
      <c r="L40" s="100">
        <v>6773.3339999999998</v>
      </c>
      <c r="M40" s="21">
        <v>1178.124</v>
      </c>
      <c r="N40" s="19">
        <v>62.551000000000002</v>
      </c>
      <c r="O40" s="339">
        <v>643.822</v>
      </c>
      <c r="P40" s="338">
        <f>SUM(C40:O40)</f>
        <v>19415.781000000003</v>
      </c>
      <c r="Q40" s="46"/>
      <c r="R40" s="100">
        <v>1085.001</v>
      </c>
      <c r="S40" s="21">
        <v>485.42099999999999</v>
      </c>
      <c r="T40" s="97">
        <v>1380.1079999999999</v>
      </c>
      <c r="U40" s="47"/>
      <c r="V40" s="110">
        <v>1392.4469999999999</v>
      </c>
      <c r="W40" s="373">
        <f>SUM(R40:V40)</f>
        <v>4342.9769999999999</v>
      </c>
      <c r="X40" s="53"/>
      <c r="Y40" s="917">
        <v>17994.205000000002</v>
      </c>
      <c r="Z40" s="1523"/>
      <c r="AA40" s="1524"/>
      <c r="AB40" s="1524"/>
      <c r="AC40" s="2215"/>
      <c r="AD40" s="2110"/>
      <c r="AE40" s="2240"/>
      <c r="AF40" s="2263">
        <v>15072.808999999999</v>
      </c>
      <c r="AG40" s="2252">
        <v>16935.576000000001</v>
      </c>
      <c r="AH40" s="1706">
        <f>W40-V40-(IF(AND(Motpart!$Y$12="",Motpart!$Z$12=""),0,IF(AND(Motpart!$Y$12=0,Motpart!$Z$12=0),0,((T40/$T$42)*(Motpart!$Y$12+Motpart!$Z$12)))))</f>
        <v>2923.479448125936</v>
      </c>
    </row>
    <row r="41" spans="1:34">
      <c r="A41" s="1913" t="s">
        <v>229</v>
      </c>
      <c r="B41" s="791" t="s">
        <v>74</v>
      </c>
      <c r="C41" s="18">
        <v>1408.2940000000001</v>
      </c>
      <c r="D41" s="19">
        <v>650.23599999999999</v>
      </c>
      <c r="E41" s="21">
        <v>140.48699999999999</v>
      </c>
      <c r="F41" s="21">
        <v>151.54</v>
      </c>
      <c r="G41" s="21">
        <v>198.298</v>
      </c>
      <c r="H41" s="22">
        <v>61.645000000000003</v>
      </c>
      <c r="I41" s="21">
        <v>127.488</v>
      </c>
      <c r="J41" s="97">
        <v>25.29</v>
      </c>
      <c r="K41" s="29"/>
      <c r="L41" s="100">
        <v>299.21800000000002</v>
      </c>
      <c r="M41" s="21">
        <v>189.85499999999999</v>
      </c>
      <c r="N41" s="19">
        <v>9.8889999999999993</v>
      </c>
      <c r="O41" s="339">
        <v>119.447</v>
      </c>
      <c r="P41" s="338">
        <f>SUM(C41:O41)</f>
        <v>3381.6870000000004</v>
      </c>
      <c r="Q41" s="46"/>
      <c r="R41" s="100">
        <v>29.971</v>
      </c>
      <c r="S41" s="21">
        <v>7.5759999999999996</v>
      </c>
      <c r="T41" s="97">
        <v>103.35</v>
      </c>
      <c r="U41" s="47"/>
      <c r="V41" s="110">
        <v>122.229</v>
      </c>
      <c r="W41" s="373">
        <f>SUM(R41:V41)</f>
        <v>263.12599999999998</v>
      </c>
      <c r="X41" s="53"/>
      <c r="Y41" s="917">
        <v>3258.1669999999999</v>
      </c>
      <c r="Z41" s="1523"/>
      <c r="AA41" s="1524"/>
      <c r="AB41" s="1524"/>
      <c r="AC41" s="2215"/>
      <c r="AD41" s="2110"/>
      <c r="AE41" s="2240"/>
      <c r="AF41" s="2263">
        <v>3118.5630000000001</v>
      </c>
      <c r="AG41" s="2252">
        <v>3046.2730000000001</v>
      </c>
      <c r="AH41" s="1706">
        <f>W41-V41-(IF(AND(Motpart!$Y$12="",Motpart!$Z$12=""),0,IF(AND(Motpart!$Y$12=0,Motpart!$Z$12=0),0,((T41/$T$42)*(Motpart!$Y$12+Motpart!$Z$12)))))</f>
        <v>138.87130741928567</v>
      </c>
    </row>
    <row r="42" spans="1:34">
      <c r="A42" s="1913" t="s">
        <v>230</v>
      </c>
      <c r="B42" s="791" t="s">
        <v>75</v>
      </c>
      <c r="C42" s="334">
        <f t="shared" ref="C42:W42" si="9">SUM(C39:C41)</f>
        <v>4280.5379999999996</v>
      </c>
      <c r="D42" s="24">
        <f t="shared" si="9"/>
        <v>1973.614</v>
      </c>
      <c r="E42" s="334">
        <f t="shared" si="9"/>
        <v>1806.0340000000001</v>
      </c>
      <c r="F42" s="334">
        <f t="shared" si="9"/>
        <v>880.58500000000004</v>
      </c>
      <c r="G42" s="334">
        <f t="shared" si="9"/>
        <v>1476.1750000000002</v>
      </c>
      <c r="H42" s="24">
        <f t="shared" si="9"/>
        <v>2192.6680000000001</v>
      </c>
      <c r="I42" s="334">
        <f t="shared" si="9"/>
        <v>1888.7030000000002</v>
      </c>
      <c r="J42" s="101">
        <f t="shared" si="9"/>
        <v>1829.721</v>
      </c>
      <c r="K42" s="141"/>
      <c r="L42" s="340">
        <f>SUM(L39:L41)</f>
        <v>7324.6729999999998</v>
      </c>
      <c r="M42" s="334">
        <f t="shared" si="9"/>
        <v>1483.636</v>
      </c>
      <c r="N42" s="24">
        <f t="shared" si="9"/>
        <v>83.097999999999999</v>
      </c>
      <c r="O42" s="24">
        <f t="shared" si="9"/>
        <v>814.24</v>
      </c>
      <c r="P42" s="338">
        <f>SUM(C42:O42)</f>
        <v>26033.685000000001</v>
      </c>
      <c r="Q42" s="46"/>
      <c r="R42" s="340">
        <f t="shared" si="9"/>
        <v>1137.2619999999999</v>
      </c>
      <c r="S42" s="334">
        <f t="shared" si="9"/>
        <v>510.608</v>
      </c>
      <c r="T42" s="101">
        <f t="shared" si="9"/>
        <v>1627.9329999999998</v>
      </c>
      <c r="U42" s="46"/>
      <c r="V42" s="113">
        <f t="shared" si="9"/>
        <v>1582.02</v>
      </c>
      <c r="W42" s="114">
        <f t="shared" si="9"/>
        <v>4857.8230000000003</v>
      </c>
      <c r="X42" s="53"/>
      <c r="Y42" s="897">
        <v>24419.769</v>
      </c>
      <c r="Z42" s="900">
        <f>(P42-W42)*1000/invanare</f>
        <v>2000.0417465155356</v>
      </c>
      <c r="AA42" s="901">
        <f>Y42*1000/invanare</f>
        <v>2306.4259410202962</v>
      </c>
      <c r="AB42" s="901">
        <v>2142.395</v>
      </c>
      <c r="AC42" s="2214">
        <f>IF(ISERROR((AA42-AB42)/AB42)," ",((AA42-AB42)/AB42))</f>
        <v>7.6564284840235475E-2</v>
      </c>
      <c r="AD42" s="2110"/>
      <c r="AE42" s="2240"/>
      <c r="AF42" s="2263">
        <v>21175.871999999999</v>
      </c>
      <c r="AG42" s="2252">
        <v>21378.422999999999</v>
      </c>
      <c r="AH42" s="1706">
        <f>W42-V42-SUM(Motpart!Y12:Z12)</f>
        <v>3243.8950000000004</v>
      </c>
    </row>
    <row r="43" spans="1:34" ht="12.75" customHeight="1" thickBot="1">
      <c r="A43" s="1924" t="s">
        <v>231</v>
      </c>
      <c r="B43" s="796" t="s">
        <v>76</v>
      </c>
      <c r="C43" s="345">
        <f>SUM(C37,C42)</f>
        <v>9863.4500000000007</v>
      </c>
      <c r="D43" s="346">
        <f t="shared" ref="D43:P43" si="10">SUM(D37,D42)</f>
        <v>4534.732</v>
      </c>
      <c r="E43" s="345">
        <f t="shared" si="10"/>
        <v>2756.482</v>
      </c>
      <c r="F43" s="345">
        <f t="shared" si="10"/>
        <v>1165.182</v>
      </c>
      <c r="G43" s="345">
        <f t="shared" si="10"/>
        <v>3205.6910000000003</v>
      </c>
      <c r="H43" s="346">
        <f t="shared" si="10"/>
        <v>4182.3430000000008</v>
      </c>
      <c r="I43" s="345">
        <f t="shared" si="10"/>
        <v>2734.1490000000003</v>
      </c>
      <c r="J43" s="347">
        <f t="shared" si="10"/>
        <v>2202.4630000000002</v>
      </c>
      <c r="K43" s="141"/>
      <c r="L43" s="348">
        <f>SUM(L37,L42)</f>
        <v>9210.1929999999993</v>
      </c>
      <c r="M43" s="345">
        <f t="shared" si="10"/>
        <v>2363.3209999999999</v>
      </c>
      <c r="N43" s="346">
        <f t="shared" si="10"/>
        <v>146.48099999999999</v>
      </c>
      <c r="O43" s="346">
        <f t="shared" si="10"/>
        <v>1360.414</v>
      </c>
      <c r="P43" s="347">
        <f t="shared" si="10"/>
        <v>43724.900999999998</v>
      </c>
      <c r="Q43" s="46"/>
      <c r="R43" s="348">
        <f>SUM(R37,R42)</f>
        <v>1576.2829999999999</v>
      </c>
      <c r="S43" s="345">
        <f>SUM(S37,S42)</f>
        <v>624.35699999999997</v>
      </c>
      <c r="T43" s="347">
        <f>SUM(T37,T42)</f>
        <v>2964.6149999999998</v>
      </c>
      <c r="U43" s="46"/>
      <c r="V43" s="375">
        <f>SUM(V37,V42)</f>
        <v>2272.6799999999998</v>
      </c>
      <c r="W43" s="374">
        <f>SUM(W37,W42)</f>
        <v>7437.9350000000004</v>
      </c>
      <c r="X43" s="53"/>
      <c r="Y43" s="924">
        <v>41393.896000000001</v>
      </c>
      <c r="Z43" s="902"/>
      <c r="AA43" s="903"/>
      <c r="AB43" s="904"/>
      <c r="AC43" s="2216"/>
      <c r="AD43" s="2110"/>
      <c r="AE43" s="2242"/>
      <c r="AF43" s="2264">
        <v>36286.983999999997</v>
      </c>
      <c r="AG43" s="2253">
        <v>36104.716</v>
      </c>
      <c r="AH43" s="1708">
        <f>AH37+AH42</f>
        <v>5106.9100000000008</v>
      </c>
    </row>
    <row r="44" spans="1:34" ht="48" customHeight="1" thickBot="1">
      <c r="A44" s="1928"/>
      <c r="B44" s="797" t="s">
        <v>77</v>
      </c>
      <c r="C44" s="906"/>
      <c r="D44" s="907"/>
      <c r="E44" s="908"/>
      <c r="F44" s="908"/>
      <c r="G44" s="908"/>
      <c r="H44" s="907"/>
      <c r="I44" s="908"/>
      <c r="J44" s="909"/>
      <c r="K44" s="30"/>
      <c r="L44" s="445"/>
      <c r="M44" s="446"/>
      <c r="N44" s="439"/>
      <c r="O44" s="439"/>
      <c r="P44" s="441"/>
      <c r="Q44" s="196"/>
      <c r="R44" s="445"/>
      <c r="S44" s="440"/>
      <c r="T44" s="441"/>
      <c r="U44" s="196"/>
      <c r="V44" s="449"/>
      <c r="W44" s="450"/>
      <c r="X44" s="30"/>
      <c r="Y44" s="1521" t="s">
        <v>913</v>
      </c>
      <c r="Z44" s="2572"/>
      <c r="AA44" s="2570"/>
      <c r="AB44" s="2570"/>
      <c r="AC44" s="2571"/>
      <c r="AD44" s="2110"/>
      <c r="AE44" s="2240"/>
      <c r="AF44" s="2268"/>
      <c r="AG44" s="2255"/>
      <c r="AH44" s="1709"/>
    </row>
    <row r="45" spans="1:34" ht="39.75" customHeight="1">
      <c r="A45" s="1929" t="s">
        <v>375</v>
      </c>
      <c r="B45" s="798" t="s">
        <v>521</v>
      </c>
      <c r="C45" s="910"/>
      <c r="D45" s="911"/>
      <c r="E45" s="912"/>
      <c r="F45" s="912"/>
      <c r="G45" s="912"/>
      <c r="H45" s="911"/>
      <c r="I45" s="912"/>
      <c r="J45" s="913"/>
      <c r="K45" s="30"/>
      <c r="L45" s="447"/>
      <c r="M45" s="448"/>
      <c r="N45" s="442"/>
      <c r="O45" s="442"/>
      <c r="P45" s="444"/>
      <c r="Q45" s="196"/>
      <c r="R45" s="447"/>
      <c r="S45" s="443"/>
      <c r="T45" s="444"/>
      <c r="U45" s="196"/>
      <c r="V45" s="451"/>
      <c r="W45" s="452"/>
      <c r="X45" s="30"/>
      <c r="Y45" s="1533"/>
      <c r="Z45" s="2573" t="s">
        <v>916</v>
      </c>
      <c r="AA45" s="2574"/>
      <c r="AB45" s="1542"/>
      <c r="AC45" s="2217"/>
      <c r="AD45" s="2110"/>
      <c r="AE45" s="2240"/>
      <c r="AF45" s="2269"/>
      <c r="AG45" s="2256"/>
      <c r="AH45" s="1710"/>
    </row>
    <row r="46" spans="1:34">
      <c r="A46" s="1913" t="s">
        <v>232</v>
      </c>
      <c r="B46" s="793" t="s">
        <v>78</v>
      </c>
      <c r="C46" s="18">
        <v>297.01100000000002</v>
      </c>
      <c r="D46" s="19">
        <v>134.845</v>
      </c>
      <c r="E46" s="18">
        <v>14.536</v>
      </c>
      <c r="F46" s="18">
        <v>17.2</v>
      </c>
      <c r="G46" s="18">
        <v>30.936</v>
      </c>
      <c r="H46" s="19">
        <v>0.127</v>
      </c>
      <c r="I46" s="18">
        <v>42.256999999999998</v>
      </c>
      <c r="J46" s="96">
        <v>4.5940000000000003</v>
      </c>
      <c r="K46" s="29"/>
      <c r="L46" s="99">
        <v>69.582999999999998</v>
      </c>
      <c r="M46" s="18">
        <v>74.180999999999997</v>
      </c>
      <c r="N46" s="19">
        <v>1.552</v>
      </c>
      <c r="O46" s="339">
        <v>23.850999999999999</v>
      </c>
      <c r="P46" s="338">
        <f>SUM(C46:O46)</f>
        <v>710.673</v>
      </c>
      <c r="Q46" s="46"/>
      <c r="R46" s="99">
        <v>2.3730000000000002</v>
      </c>
      <c r="S46" s="18">
        <v>2.5630000000000002</v>
      </c>
      <c r="T46" s="96">
        <v>31.911999999999999</v>
      </c>
      <c r="U46" s="47"/>
      <c r="V46" s="109">
        <v>66.543999999999997</v>
      </c>
      <c r="W46" s="373">
        <f t="shared" ref="W46:W51" si="11">SUM(R46:V46)</f>
        <v>103.392</v>
      </c>
      <c r="X46" s="53"/>
      <c r="Y46" s="897">
        <v>642.53399999999999</v>
      </c>
      <c r="Z46" s="1501"/>
      <c r="AA46" s="1515"/>
      <c r="AB46" s="1516"/>
      <c r="AC46" s="2209"/>
      <c r="AD46" s="2110"/>
      <c r="AE46" s="2240"/>
      <c r="AF46" s="2263">
        <v>607.279</v>
      </c>
      <c r="AG46" s="2252">
        <v>626.80200000000002</v>
      </c>
      <c r="AH46" s="1706">
        <f>W46-V46-(IF(AND(Motpart!$Y$16="",Motpart!$Z$16=""),0,IF(AND(Motpart!$Y$16=0,Motpart!$Z$16=0),0,((T46/($T$46+$T$49))*(Motpart!$Y$16+Motpart!$Z$16)))))</f>
        <v>34.85319139718397</v>
      </c>
    </row>
    <row r="47" spans="1:34">
      <c r="A47" s="1913" t="s">
        <v>233</v>
      </c>
      <c r="B47" s="791" t="s">
        <v>79</v>
      </c>
      <c r="C47" s="18">
        <v>36322.635999999999</v>
      </c>
      <c r="D47" s="19">
        <v>16700.201000000001</v>
      </c>
      <c r="E47" s="21">
        <v>2086.029</v>
      </c>
      <c r="F47" s="21">
        <v>19522.600999999999</v>
      </c>
      <c r="G47" s="21">
        <v>2213.681</v>
      </c>
      <c r="H47" s="22">
        <v>70.244</v>
      </c>
      <c r="I47" s="21">
        <v>2709.8290000000002</v>
      </c>
      <c r="J47" s="97">
        <v>761.70100000000002</v>
      </c>
      <c r="K47" s="29"/>
      <c r="L47" s="100">
        <v>6855.1689999999999</v>
      </c>
      <c r="M47" s="21">
        <v>14982.718999999999</v>
      </c>
      <c r="N47" s="19">
        <v>240.499</v>
      </c>
      <c r="O47" s="339">
        <v>2861.0720000000001</v>
      </c>
      <c r="P47" s="338">
        <f>SUM(C47:O47)</f>
        <v>105326.38099999999</v>
      </c>
      <c r="Q47" s="46"/>
      <c r="R47" s="1759">
        <v>5807.3069999999998</v>
      </c>
      <c r="S47" s="1760">
        <v>17.091000000000001</v>
      </c>
      <c r="T47" s="214">
        <v>6892.4939999999997</v>
      </c>
      <c r="U47" s="47"/>
      <c r="V47" s="110">
        <v>10475.583000000001</v>
      </c>
      <c r="W47" s="373">
        <f t="shared" si="11"/>
        <v>23192.474999999999</v>
      </c>
      <c r="X47" s="53"/>
      <c r="Y47" s="897">
        <v>94396.18</v>
      </c>
      <c r="Z47" s="1518"/>
      <c r="AA47" s="1505"/>
      <c r="AB47" s="1505"/>
      <c r="AC47" s="2207"/>
      <c r="AD47" s="2110"/>
      <c r="AE47" s="2240"/>
      <c r="AF47" s="2263">
        <v>82133.910999999993</v>
      </c>
      <c r="AG47" s="2252">
        <v>75257.960000000006</v>
      </c>
      <c r="AH47" s="1706">
        <f>W47-V47-SUM(Motpart!Y13:Z13)</f>
        <v>12262.268999999998</v>
      </c>
    </row>
    <row r="48" spans="1:34">
      <c r="A48" s="1913" t="s">
        <v>234</v>
      </c>
      <c r="B48" s="791" t="s">
        <v>80</v>
      </c>
      <c r="C48" s="21">
        <v>218.25899999999999</v>
      </c>
      <c r="D48" s="19">
        <v>99.186000000000007</v>
      </c>
      <c r="E48" s="21">
        <v>5.5640000000000001</v>
      </c>
      <c r="F48" s="21">
        <v>542.04</v>
      </c>
      <c r="G48" s="21">
        <v>20.920999999999999</v>
      </c>
      <c r="H48" s="22">
        <v>0.434</v>
      </c>
      <c r="I48" s="25">
        <v>5.23</v>
      </c>
      <c r="J48" s="97">
        <v>1.33</v>
      </c>
      <c r="K48" s="29"/>
      <c r="L48" s="100">
        <v>21.637</v>
      </c>
      <c r="M48" s="21">
        <v>118.024</v>
      </c>
      <c r="N48" s="19">
        <v>1.7509999999999999</v>
      </c>
      <c r="O48" s="339">
        <v>17.260999999999999</v>
      </c>
      <c r="P48" s="338">
        <f>SUM(C48:O48)</f>
        <v>1051.6369999999999</v>
      </c>
      <c r="Q48" s="46"/>
      <c r="R48" s="1759">
        <v>50.207999999999998</v>
      </c>
      <c r="S48" s="1760">
        <v>0.14399999999999999</v>
      </c>
      <c r="T48" s="214">
        <v>51.539000000000001</v>
      </c>
      <c r="U48" s="47"/>
      <c r="V48" s="110">
        <v>69.796999999999997</v>
      </c>
      <c r="W48" s="373">
        <f t="shared" si="11"/>
        <v>171.68799999999999</v>
      </c>
      <c r="X48" s="53"/>
      <c r="Y48" s="917">
        <v>978.149</v>
      </c>
      <c r="Z48" s="1504"/>
      <c r="AA48" s="1505"/>
      <c r="AB48" s="1505"/>
      <c r="AC48" s="2207"/>
      <c r="AD48" s="2110"/>
      <c r="AE48" s="2243">
        <f>(SUM(I51:L51))*1000/invanare</f>
        <v>1278.168366908425</v>
      </c>
      <c r="AF48" s="2263">
        <v>879.947</v>
      </c>
      <c r="AG48" s="2252">
        <v>439.36500000000001</v>
      </c>
      <c r="AH48" s="1706">
        <f>W48-V48-SUM(Motpart!Y14:Z14)</f>
        <v>98.199999999999989</v>
      </c>
    </row>
    <row r="49" spans="1:34">
      <c r="A49" s="1913" t="s">
        <v>235</v>
      </c>
      <c r="B49" s="793" t="s">
        <v>81</v>
      </c>
      <c r="C49" s="18">
        <v>145.322</v>
      </c>
      <c r="D49" s="19">
        <v>66.926000000000002</v>
      </c>
      <c r="E49" s="18">
        <v>13.804</v>
      </c>
      <c r="F49" s="18">
        <v>77.213999999999999</v>
      </c>
      <c r="G49" s="18">
        <v>8.3849999999999998</v>
      </c>
      <c r="H49" s="19">
        <v>1.752</v>
      </c>
      <c r="I49" s="18">
        <v>9.3049999999999997</v>
      </c>
      <c r="J49" s="96">
        <v>0.48199999999999998</v>
      </c>
      <c r="K49" s="29"/>
      <c r="L49" s="99">
        <v>29.53</v>
      </c>
      <c r="M49" s="18">
        <v>73.644999999999996</v>
      </c>
      <c r="N49" s="19">
        <v>4.3819999999999997</v>
      </c>
      <c r="O49" s="339">
        <v>11.896000000000001</v>
      </c>
      <c r="P49" s="338">
        <f>SUM(C49:O49)</f>
        <v>442.64300000000003</v>
      </c>
      <c r="Q49" s="46"/>
      <c r="R49" s="1761">
        <v>53.929000000000002</v>
      </c>
      <c r="S49" s="1762">
        <v>1E-3</v>
      </c>
      <c r="T49" s="217">
        <v>13.329000000000001</v>
      </c>
      <c r="U49" s="47"/>
      <c r="V49" s="109">
        <v>65.522999999999996</v>
      </c>
      <c r="W49" s="373">
        <f t="shared" si="11"/>
        <v>132.78199999999998</v>
      </c>
      <c r="X49" s="53"/>
      <c r="Y49" s="917">
        <v>375.88600000000002</v>
      </c>
      <c r="Z49" s="1504"/>
      <c r="AA49" s="1505"/>
      <c r="AB49" s="1505"/>
      <c r="AC49" s="2207"/>
      <c r="AD49" s="2110"/>
      <c r="AE49" s="2243">
        <f>(R51)*1000/invanare</f>
        <v>911.11458474023175</v>
      </c>
      <c r="AF49" s="2263">
        <v>309.86099999999999</v>
      </c>
      <c r="AG49" s="2252">
        <v>298.15499999999997</v>
      </c>
      <c r="AH49" s="1706">
        <f>W49-V49-(IF(AND(Motpart!$Y$16="",Motpart!$Z$16=""),0,IF(AND(Motpart!$Y$16=0,Motpart!$Z$16=0),0,((T49/($T$49+$T$46))*(Motpart!$Y$16+Motpart!$Z$16)))))</f>
        <v>66.425808602816019</v>
      </c>
    </row>
    <row r="50" spans="1:34">
      <c r="A50" s="1913" t="s">
        <v>236</v>
      </c>
      <c r="B50" s="791" t="s">
        <v>82</v>
      </c>
      <c r="C50" s="18">
        <v>9775.2909999999993</v>
      </c>
      <c r="D50" s="19">
        <v>4477.5720000000001</v>
      </c>
      <c r="E50" s="21">
        <v>438.22500000000002</v>
      </c>
      <c r="F50" s="21">
        <v>3002.6109999999999</v>
      </c>
      <c r="G50" s="21">
        <v>484.66300000000001</v>
      </c>
      <c r="H50" s="22">
        <v>7.4880000000000004</v>
      </c>
      <c r="I50" s="25">
        <v>699.74599999999998</v>
      </c>
      <c r="J50" s="97">
        <v>128.899</v>
      </c>
      <c r="K50" s="29"/>
      <c r="L50" s="100">
        <v>2193.5839999999998</v>
      </c>
      <c r="M50" s="21">
        <v>4644.018</v>
      </c>
      <c r="N50" s="19">
        <v>58.953000000000003</v>
      </c>
      <c r="O50" s="339">
        <v>784.70299999999997</v>
      </c>
      <c r="P50" s="338">
        <f>SUM(C50:O50)</f>
        <v>26695.753000000004</v>
      </c>
      <c r="Q50" s="46"/>
      <c r="R50" s="1759">
        <v>3732.8</v>
      </c>
      <c r="S50" s="1760">
        <v>1.423</v>
      </c>
      <c r="T50" s="214">
        <v>1099.6590000000001</v>
      </c>
      <c r="U50" s="47"/>
      <c r="V50" s="110">
        <v>3176.3539999999998</v>
      </c>
      <c r="W50" s="373">
        <f t="shared" si="11"/>
        <v>8010.235999999999</v>
      </c>
      <c r="X50" s="53"/>
      <c r="Y50" s="917">
        <v>23347.446</v>
      </c>
      <c r="Z50" s="1504"/>
      <c r="AA50" s="1505"/>
      <c r="AB50" s="1505"/>
      <c r="AC50" s="2207"/>
      <c r="AD50" s="2110"/>
      <c r="AE50" s="2240"/>
      <c r="AF50" s="2263">
        <v>18685.516</v>
      </c>
      <c r="AG50" s="2252">
        <v>20509.3</v>
      </c>
      <c r="AH50" s="1706">
        <f>W50-V50-SUM(Motpart!Y15:Z15)</f>
        <v>4661.9299999999994</v>
      </c>
    </row>
    <row r="51" spans="1:34" ht="13.5" thickBot="1">
      <c r="A51" s="1913" t="s">
        <v>237</v>
      </c>
      <c r="B51" s="799" t="s">
        <v>1173</v>
      </c>
      <c r="C51" s="334">
        <f t="shared" ref="C51:M51" si="12">SUM(C46:C50)</f>
        <v>46758.518999999993</v>
      </c>
      <c r="D51" s="24">
        <f t="shared" si="12"/>
        <v>21478.730000000003</v>
      </c>
      <c r="E51" s="334">
        <f t="shared" si="12"/>
        <v>2558.1579999999999</v>
      </c>
      <c r="F51" s="334">
        <f t="shared" si="12"/>
        <v>23161.666000000001</v>
      </c>
      <c r="G51" s="334">
        <f t="shared" si="12"/>
        <v>2758.5860000000002</v>
      </c>
      <c r="H51" s="24">
        <f t="shared" si="12"/>
        <v>80.044999999999987</v>
      </c>
      <c r="I51" s="334">
        <f t="shared" si="12"/>
        <v>3466.3670000000002</v>
      </c>
      <c r="J51" s="101">
        <f t="shared" si="12"/>
        <v>897.00600000000009</v>
      </c>
      <c r="K51" s="141"/>
      <c r="L51" s="340">
        <f>SUM(L46:L50)</f>
        <v>9169.5029999999988</v>
      </c>
      <c r="M51" s="334">
        <f t="shared" si="12"/>
        <v>19892.587</v>
      </c>
      <c r="N51" s="24">
        <f t="shared" ref="N51:V51" si="13">SUM(N46:N50)</f>
        <v>307.137</v>
      </c>
      <c r="O51" s="24">
        <f t="shared" si="13"/>
        <v>3698.7830000000004</v>
      </c>
      <c r="P51" s="101">
        <f t="shared" si="13"/>
        <v>134227.087</v>
      </c>
      <c r="Q51" s="46"/>
      <c r="R51" s="340">
        <f t="shared" si="13"/>
        <v>9646.6169999999984</v>
      </c>
      <c r="S51" s="334">
        <f t="shared" si="13"/>
        <v>21.222000000000001</v>
      </c>
      <c r="T51" s="101">
        <f>SUM(T46:T50)</f>
        <v>8088.9329999999991</v>
      </c>
      <c r="U51" s="46"/>
      <c r="V51" s="113">
        <f t="shared" si="13"/>
        <v>13853.800999999999</v>
      </c>
      <c r="W51" s="373">
        <f t="shared" si="11"/>
        <v>31610.572999999997</v>
      </c>
      <c r="X51" s="53"/>
      <c r="Y51" s="897">
        <v>119740.19500000001</v>
      </c>
      <c r="Z51" s="1537">
        <f>(P51-W51)*1000/invanare</f>
        <v>9692.0404884531217</v>
      </c>
      <c r="AA51" s="1538">
        <f>Y51*1000/invanare</f>
        <v>11309.357264224276</v>
      </c>
      <c r="AB51" s="1538">
        <v>10975.166999999999</v>
      </c>
      <c r="AC51" s="2218">
        <f>IF(ISERROR((AA51-AB51)/AB51)," ",((AA51-AB51)/AB51))</f>
        <v>3.0449674635864465E-2</v>
      </c>
      <c r="AD51" s="2110"/>
      <c r="AE51" s="2244">
        <f>IF(ISERROR(F51/(AA51/1000*invanare)),"",(F51/(AA51/100000*invanare)))</f>
        <v>19.343267313035529</v>
      </c>
      <c r="AF51" s="2263">
        <v>102616.515</v>
      </c>
      <c r="AG51" s="2252">
        <v>97131.581999999995</v>
      </c>
      <c r="AH51" s="1706">
        <f>W51-V51-SUM(Motpart!Y13:Z16)</f>
        <v>17123.677999999996</v>
      </c>
    </row>
    <row r="52" spans="1:34" ht="44.25" customHeight="1" thickBot="1">
      <c r="A52" s="1930"/>
      <c r="B52" s="797" t="s">
        <v>83</v>
      </c>
      <c r="C52" s="438"/>
      <c r="D52" s="437"/>
      <c r="E52" s="435"/>
      <c r="F52" s="435"/>
      <c r="G52" s="435"/>
      <c r="H52" s="437"/>
      <c r="I52" s="435"/>
      <c r="J52" s="436"/>
      <c r="K52" s="29"/>
      <c r="L52" s="434"/>
      <c r="M52" s="435"/>
      <c r="N52" s="437"/>
      <c r="O52" s="453"/>
      <c r="P52" s="436"/>
      <c r="Q52" s="47"/>
      <c r="R52" s="434"/>
      <c r="S52" s="435"/>
      <c r="T52" s="436"/>
      <c r="U52" s="47"/>
      <c r="V52" s="432"/>
      <c r="W52" s="433"/>
      <c r="X52" s="29"/>
      <c r="Y52" s="1521" t="s">
        <v>595</v>
      </c>
      <c r="Z52" s="2572"/>
      <c r="AA52" s="2570"/>
      <c r="AB52" s="2570"/>
      <c r="AC52" s="2571"/>
      <c r="AD52" s="2110"/>
      <c r="AE52" s="2240">
        <f>IF(ISERROR(F51/(AA51/1000*invanare)),"",(SUM(Motpart!D13:D16,Motpart!F13:F16)/(AA51/100000*invanare)))</f>
        <v>18.706951329083775</v>
      </c>
      <c r="AF52" s="2270"/>
      <c r="AG52" s="2257"/>
      <c r="AH52" s="1711"/>
    </row>
    <row r="53" spans="1:34">
      <c r="A53" s="1913" t="s">
        <v>382</v>
      </c>
      <c r="B53" s="783" t="s">
        <v>466</v>
      </c>
      <c r="C53" s="18">
        <v>3455.0709999999999</v>
      </c>
      <c r="D53" s="19">
        <v>1570.846</v>
      </c>
      <c r="E53" s="18">
        <v>219.006</v>
      </c>
      <c r="F53" s="18">
        <v>1341.7249999999999</v>
      </c>
      <c r="G53" s="18">
        <v>365.43799999999999</v>
      </c>
      <c r="H53" s="19">
        <v>1.196</v>
      </c>
      <c r="I53" s="18">
        <v>505.76499999999999</v>
      </c>
      <c r="J53" s="96">
        <v>66.167000000000002</v>
      </c>
      <c r="K53" s="29"/>
      <c r="L53" s="99">
        <v>972.97400000000005</v>
      </c>
      <c r="M53" s="18">
        <v>1873.433</v>
      </c>
      <c r="N53" s="19">
        <v>32.298000000000002</v>
      </c>
      <c r="O53" s="339">
        <v>302.69200000000001</v>
      </c>
      <c r="P53" s="338">
        <f>SUM(C53:O53)</f>
        <v>10706.611000000001</v>
      </c>
      <c r="Q53" s="46"/>
      <c r="R53" s="99">
        <v>0.874</v>
      </c>
      <c r="S53" s="18">
        <v>0.22900000000000001</v>
      </c>
      <c r="T53" s="96">
        <v>534.375</v>
      </c>
      <c r="U53" s="47"/>
      <c r="V53" s="109">
        <v>1295.231</v>
      </c>
      <c r="W53" s="373">
        <f>SUM(R53:V53)</f>
        <v>1830.7089999999998</v>
      </c>
      <c r="X53" s="53"/>
      <c r="Y53" s="1385">
        <v>9352.3739999999998</v>
      </c>
      <c r="Z53" s="1774"/>
      <c r="AA53" s="1775"/>
      <c r="AB53" s="1776"/>
      <c r="AC53" s="2219"/>
      <c r="AD53" s="2110"/>
      <c r="AE53" s="2240"/>
      <c r="AF53" s="2269">
        <v>8875.9050000000007</v>
      </c>
      <c r="AG53" s="2256">
        <v>8068.4589999999998</v>
      </c>
      <c r="AH53" s="1710">
        <f>W53-V53-SUM(Motpart!Y17:Z17)</f>
        <v>476.46999999999986</v>
      </c>
    </row>
    <row r="54" spans="1:34">
      <c r="A54" s="1913" t="s">
        <v>465</v>
      </c>
      <c r="B54" s="781" t="s">
        <v>364</v>
      </c>
      <c r="C54" s="18">
        <v>61560.087</v>
      </c>
      <c r="D54" s="19">
        <v>28429.922999999999</v>
      </c>
      <c r="E54" s="21">
        <v>5067.2629999999999</v>
      </c>
      <c r="F54" s="21">
        <v>24367.498</v>
      </c>
      <c r="G54" s="21">
        <v>9631.4830000000002</v>
      </c>
      <c r="H54" s="22">
        <v>50.871000000000002</v>
      </c>
      <c r="I54" s="21">
        <v>4528.1270000000004</v>
      </c>
      <c r="J54" s="97">
        <v>1937.4159999999999</v>
      </c>
      <c r="K54" s="29"/>
      <c r="L54" s="100">
        <v>12558.664000000001</v>
      </c>
      <c r="M54" s="21">
        <v>24511.142</v>
      </c>
      <c r="N54" s="19">
        <v>445.42399999999998</v>
      </c>
      <c r="O54" s="339">
        <v>5335.8549999999996</v>
      </c>
      <c r="P54" s="338">
        <f>SUM(C54:O54)</f>
        <v>178423.753</v>
      </c>
      <c r="Q54" s="46"/>
      <c r="R54" s="100">
        <v>40.213000000000001</v>
      </c>
      <c r="S54" s="21">
        <v>23.771999999999998</v>
      </c>
      <c r="T54" s="97">
        <v>16021.897999999999</v>
      </c>
      <c r="U54" s="47"/>
      <c r="V54" s="110">
        <v>17317.081999999999</v>
      </c>
      <c r="W54" s="373">
        <f>SUM(R54:V54)</f>
        <v>33402.964999999997</v>
      </c>
      <c r="X54" s="53"/>
      <c r="Y54" s="1385">
        <v>159445.79800000001</v>
      </c>
      <c r="Z54" s="1534"/>
      <c r="AA54" s="1535"/>
      <c r="AB54" s="1777"/>
      <c r="AC54" s="2206"/>
      <c r="AD54" s="2110"/>
      <c r="AE54" s="2240"/>
      <c r="AF54" s="2263">
        <v>145020.78899999999</v>
      </c>
      <c r="AG54" s="2252">
        <v>136688.30100000001</v>
      </c>
      <c r="AH54" s="1710">
        <f>W54-V54-SUM(Motpart!Y18:Z18)</f>
        <v>14425.011999999999</v>
      </c>
    </row>
    <row r="55" spans="1:34">
      <c r="A55" s="1913" t="s">
        <v>238</v>
      </c>
      <c r="B55" s="2275" t="s">
        <v>1181</v>
      </c>
      <c r="C55" s="18">
        <v>4226.6009999999997</v>
      </c>
      <c r="D55" s="19">
        <v>1953.117</v>
      </c>
      <c r="E55" s="21">
        <v>159.67099999999999</v>
      </c>
      <c r="F55" s="21">
        <v>753.22400000000005</v>
      </c>
      <c r="G55" s="21">
        <v>952.65499999999997</v>
      </c>
      <c r="H55" s="22">
        <v>0.39400000000000002</v>
      </c>
      <c r="I55" s="21">
        <v>214.75899999999999</v>
      </c>
      <c r="J55" s="97">
        <v>42.643999999999998</v>
      </c>
      <c r="K55" s="29"/>
      <c r="L55" s="100">
        <v>453.87099999999998</v>
      </c>
      <c r="M55" s="21">
        <v>1375.9259999999999</v>
      </c>
      <c r="N55" s="19">
        <v>21.231000000000002</v>
      </c>
      <c r="O55" s="339">
        <v>325.887</v>
      </c>
      <c r="P55" s="338">
        <f>SUM(C55:O55)</f>
        <v>10479.98</v>
      </c>
      <c r="Q55" s="46"/>
      <c r="R55" s="100">
        <v>4.819</v>
      </c>
      <c r="S55" s="21">
        <v>6.4000000000000001E-2</v>
      </c>
      <c r="T55" s="97">
        <v>547.96900000000005</v>
      </c>
      <c r="U55" s="47"/>
      <c r="V55" s="110">
        <v>1092.6400000000001</v>
      </c>
      <c r="W55" s="373">
        <f>SUM(R55:V55)</f>
        <v>1645.4920000000002</v>
      </c>
      <c r="X55" s="53"/>
      <c r="Y55" s="1385">
        <v>9057.0419999999995</v>
      </c>
      <c r="Z55" s="1534"/>
      <c r="AA55" s="1535"/>
      <c r="AB55" s="1777"/>
      <c r="AC55" s="2206"/>
      <c r="AD55" s="2110"/>
      <c r="AE55" s="2240"/>
      <c r="AF55" s="2263">
        <v>8834.491</v>
      </c>
      <c r="AG55" s="2252">
        <v>8633.7240000000002</v>
      </c>
      <c r="AH55" s="1710">
        <f>W55-V55-SUM(Motpart!Y19:Z19)</f>
        <v>222.5510000000001</v>
      </c>
    </row>
    <row r="56" spans="1:34">
      <c r="A56" s="1913" t="s">
        <v>239</v>
      </c>
      <c r="B56" s="791" t="s">
        <v>84</v>
      </c>
      <c r="C56" s="18">
        <v>15305.797</v>
      </c>
      <c r="D56" s="19">
        <v>7030.99</v>
      </c>
      <c r="E56" s="21">
        <v>1616.2829999999999</v>
      </c>
      <c r="F56" s="21">
        <v>26638.52</v>
      </c>
      <c r="G56" s="21">
        <v>3633.1219999999998</v>
      </c>
      <c r="H56" s="22">
        <v>272.32100000000003</v>
      </c>
      <c r="I56" s="21">
        <v>1313.655</v>
      </c>
      <c r="J56" s="97">
        <v>520.82299999999998</v>
      </c>
      <c r="K56" s="29"/>
      <c r="L56" s="100">
        <v>3540.585</v>
      </c>
      <c r="M56" s="21">
        <v>6360.3090000000002</v>
      </c>
      <c r="N56" s="19">
        <v>130.31100000000001</v>
      </c>
      <c r="O56" s="339">
        <v>1289.01</v>
      </c>
      <c r="P56" s="338">
        <f>SUM(C56:O56)</f>
        <v>67651.725999999995</v>
      </c>
      <c r="Q56" s="46"/>
      <c r="R56" s="100">
        <v>37.698</v>
      </c>
      <c r="S56" s="21">
        <v>32.860999999999997</v>
      </c>
      <c r="T56" s="97">
        <v>11829.161</v>
      </c>
      <c r="U56" s="47"/>
      <c r="V56" s="110">
        <v>4480.7950000000001</v>
      </c>
      <c r="W56" s="373">
        <f>SUM(R56:V56)</f>
        <v>16380.514999999999</v>
      </c>
      <c r="X56" s="53"/>
      <c r="Y56" s="1385">
        <v>54575.127999999997</v>
      </c>
      <c r="Z56" s="1206"/>
      <c r="AA56" s="1536"/>
      <c r="AB56" s="699"/>
      <c r="AC56" s="2206"/>
      <c r="AD56" s="2110"/>
      <c r="AE56" s="2240"/>
      <c r="AF56" s="2263">
        <v>51271.211000000003</v>
      </c>
      <c r="AG56" s="2252">
        <v>36260.089</v>
      </c>
      <c r="AH56" s="1710">
        <f>W56-V56-SUM(Motpart!Y20:Z20)</f>
        <v>3303.9169999999995</v>
      </c>
    </row>
    <row r="57" spans="1:34">
      <c r="A57" s="1913" t="s">
        <v>240</v>
      </c>
      <c r="B57" s="2275" t="s">
        <v>1182</v>
      </c>
      <c r="C57" s="18">
        <v>1645.5160000000001</v>
      </c>
      <c r="D57" s="19">
        <v>762.28099999999995</v>
      </c>
      <c r="E57" s="21">
        <v>76.072999999999993</v>
      </c>
      <c r="F57" s="21">
        <v>1372.2080000000001</v>
      </c>
      <c r="G57" s="21">
        <v>444.50400000000002</v>
      </c>
      <c r="H57" s="22">
        <v>3.3620000000000001</v>
      </c>
      <c r="I57" s="21">
        <v>94.504999999999995</v>
      </c>
      <c r="J57" s="97">
        <v>17.289000000000001</v>
      </c>
      <c r="K57" s="29"/>
      <c r="L57" s="100">
        <v>210.25399999999999</v>
      </c>
      <c r="M57" s="21">
        <v>491.96100000000001</v>
      </c>
      <c r="N57" s="19">
        <v>11.247999999999999</v>
      </c>
      <c r="O57" s="339">
        <v>120.68600000000001</v>
      </c>
      <c r="P57" s="338">
        <f>SUM(C57:O57)</f>
        <v>5249.8869999999997</v>
      </c>
      <c r="Q57" s="46"/>
      <c r="R57" s="100">
        <v>1.831</v>
      </c>
      <c r="S57" s="21">
        <v>9.5000000000000001E-2</v>
      </c>
      <c r="T57" s="97">
        <v>972.55600000000004</v>
      </c>
      <c r="U57" s="47"/>
      <c r="V57" s="110">
        <v>363.48899999999998</v>
      </c>
      <c r="W57" s="373">
        <f>SUM(R57:V57)</f>
        <v>1337.971</v>
      </c>
      <c r="X57" s="53"/>
      <c r="Y57" s="917">
        <v>4045.06</v>
      </c>
      <c r="Z57" s="1206"/>
      <c r="AA57" s="1502"/>
      <c r="AB57" s="699"/>
      <c r="AC57" s="2206"/>
      <c r="AD57" s="2110"/>
      <c r="AE57" s="2240"/>
      <c r="AF57" s="2263">
        <v>3911.9189999999999</v>
      </c>
      <c r="AG57" s="2252">
        <v>3510.8290000000002</v>
      </c>
      <c r="AH57" s="1710">
        <f>W57-V57-SUM(Motpart!Y21:Z21)</f>
        <v>133.13999999999999</v>
      </c>
    </row>
    <row r="58" spans="1:34">
      <c r="A58" s="1913" t="s">
        <v>241</v>
      </c>
      <c r="B58" s="791" t="s">
        <v>85</v>
      </c>
      <c r="C58" s="334">
        <f t="shared" ref="C58:J58" si="14">SUM(C53:C57)</f>
        <v>86193.072</v>
      </c>
      <c r="D58" s="24">
        <f t="shared" si="14"/>
        <v>39747.156999999999</v>
      </c>
      <c r="E58" s="334">
        <f t="shared" si="14"/>
        <v>7138.2960000000003</v>
      </c>
      <c r="F58" s="334">
        <f t="shared" si="14"/>
        <v>54473.174999999996</v>
      </c>
      <c r="G58" s="334">
        <f t="shared" si="14"/>
        <v>15027.202000000001</v>
      </c>
      <c r="H58" s="24">
        <f t="shared" si="14"/>
        <v>328.14400000000006</v>
      </c>
      <c r="I58" s="334">
        <f t="shared" si="14"/>
        <v>6656.8110000000006</v>
      </c>
      <c r="J58" s="101">
        <f t="shared" si="14"/>
        <v>2584.3389999999999</v>
      </c>
      <c r="K58" s="141"/>
      <c r="L58" s="340">
        <f>SUM(L53:L57)</f>
        <v>17736.348000000002</v>
      </c>
      <c r="M58" s="334">
        <f>SUM(M53:M57)</f>
        <v>34612.771000000001</v>
      </c>
      <c r="N58" s="24">
        <f>SUM(N53:N57)</f>
        <v>640.51200000000006</v>
      </c>
      <c r="O58" s="24">
        <f>SUM(O53:O57)</f>
        <v>7374.1299999999992</v>
      </c>
      <c r="P58" s="101">
        <f>SUM(P53:P57)</f>
        <v>272511.95699999999</v>
      </c>
      <c r="Q58" s="46"/>
      <c r="R58" s="340">
        <f>SUM(R53:R57)</f>
        <v>85.435000000000016</v>
      </c>
      <c r="S58" s="334">
        <f>SUM(S53:S57)</f>
        <v>57.020999999999994</v>
      </c>
      <c r="T58" s="101">
        <f>SUM(T53:T57)</f>
        <v>29905.959000000003</v>
      </c>
      <c r="U58" s="46"/>
      <c r="V58" s="113">
        <f>SUM(V53:V57)</f>
        <v>24549.237000000001</v>
      </c>
      <c r="W58" s="114">
        <f>SUM(W53:W57)</f>
        <v>54597.651999999995</v>
      </c>
      <c r="X58" s="53"/>
      <c r="Y58" s="1539">
        <v>236475.40599999999</v>
      </c>
      <c r="Z58" s="1517"/>
      <c r="AA58" s="1502"/>
      <c r="AB58" s="1503"/>
      <c r="AC58" s="2206"/>
      <c r="AD58" s="2110"/>
      <c r="AE58" s="2240"/>
      <c r="AF58" s="2263">
        <v>217914.318</v>
      </c>
      <c r="AG58" s="2252">
        <v>193161.40700000001</v>
      </c>
      <c r="AH58" s="1706">
        <f>W58-V58-SUM(Motpart!Y17:Z21)</f>
        <v>18561.089999999993</v>
      </c>
    </row>
    <row r="59" spans="1:34" ht="13.5" customHeight="1">
      <c r="A59" s="1931"/>
      <c r="B59" s="800" t="s">
        <v>86</v>
      </c>
      <c r="C59" s="455"/>
      <c r="D59" s="456"/>
      <c r="E59" s="457"/>
      <c r="F59" s="458"/>
      <c r="G59" s="457"/>
      <c r="H59" s="459"/>
      <c r="I59" s="457"/>
      <c r="J59" s="460"/>
      <c r="K59" s="30"/>
      <c r="L59" s="461"/>
      <c r="M59" s="457"/>
      <c r="N59" s="456"/>
      <c r="O59" s="456"/>
      <c r="P59" s="460"/>
      <c r="Q59" s="196"/>
      <c r="R59" s="461"/>
      <c r="S59" s="457"/>
      <c r="T59" s="460"/>
      <c r="U59" s="196"/>
      <c r="V59" s="462"/>
      <c r="W59" s="463"/>
      <c r="X59" s="30"/>
      <c r="Y59" s="1540"/>
      <c r="Z59" s="1541"/>
      <c r="AA59" s="1541"/>
      <c r="AB59" s="1541"/>
      <c r="AC59" s="2220"/>
      <c r="AD59" s="2110"/>
      <c r="AE59" s="2240"/>
      <c r="AF59" s="2263"/>
      <c r="AG59" s="2252"/>
      <c r="AH59" s="1706"/>
    </row>
    <row r="60" spans="1:34">
      <c r="A60" s="1932" t="s">
        <v>473</v>
      </c>
      <c r="B60" s="801" t="s">
        <v>365</v>
      </c>
      <c r="C60" s="454">
        <v>613.90099999999995</v>
      </c>
      <c r="D60" s="19">
        <v>279.60300000000001</v>
      </c>
      <c r="E60" s="18">
        <v>28.13</v>
      </c>
      <c r="F60" s="18">
        <v>402.12400000000002</v>
      </c>
      <c r="G60" s="18">
        <v>79.391999999999996</v>
      </c>
      <c r="H60" s="19">
        <v>1.6659999999999999</v>
      </c>
      <c r="I60" s="18">
        <v>51.865000000000002</v>
      </c>
      <c r="J60" s="96">
        <v>11.47</v>
      </c>
      <c r="K60" s="29"/>
      <c r="L60" s="99">
        <v>103.663</v>
      </c>
      <c r="M60" s="18">
        <v>132.87299999999999</v>
      </c>
      <c r="N60" s="19">
        <v>5.1529999999999996</v>
      </c>
      <c r="O60" s="339">
        <v>48.877000000000002</v>
      </c>
      <c r="P60" s="338">
        <f>SUM(C60:O60)</f>
        <v>1758.7169999999999</v>
      </c>
      <c r="Q60" s="46"/>
      <c r="R60" s="99">
        <v>1.1319999999999999</v>
      </c>
      <c r="S60" s="18">
        <v>0.51700000000000002</v>
      </c>
      <c r="T60" s="96">
        <v>170.21799999999999</v>
      </c>
      <c r="U60" s="47"/>
      <c r="V60" s="109">
        <v>91.808999999999997</v>
      </c>
      <c r="W60" s="373">
        <f t="shared" ref="W60:W66" si="15">SUM(R60:V60)</f>
        <v>263.67599999999999</v>
      </c>
      <c r="X60" s="53"/>
      <c r="Y60" s="917">
        <v>1598.59</v>
      </c>
      <c r="Z60" s="1517"/>
      <c r="AA60" s="1502"/>
      <c r="AB60" s="1503"/>
      <c r="AC60" s="2206"/>
      <c r="AD60" s="2110"/>
      <c r="AE60" s="2240"/>
      <c r="AF60" s="2263">
        <v>1495.04</v>
      </c>
      <c r="AG60" s="2252">
        <v>1263.1189999999999</v>
      </c>
      <c r="AH60" s="1706">
        <f>W60-V60-SUM(Motpart!Y22:Z22)</f>
        <v>103.54799999999999</v>
      </c>
    </row>
    <row r="61" spans="1:34">
      <c r="A61" s="1926" t="s">
        <v>474</v>
      </c>
      <c r="B61" s="802" t="s">
        <v>366</v>
      </c>
      <c r="C61" s="20">
        <v>1943.914</v>
      </c>
      <c r="D61" s="19">
        <v>890.06799999999998</v>
      </c>
      <c r="E61" s="18">
        <v>131.46</v>
      </c>
      <c r="F61" s="18">
        <v>2243.248</v>
      </c>
      <c r="G61" s="18">
        <v>287.12200000000001</v>
      </c>
      <c r="H61" s="19">
        <v>17.285</v>
      </c>
      <c r="I61" s="18">
        <v>142.45599999999999</v>
      </c>
      <c r="J61" s="96">
        <v>34.274000000000001</v>
      </c>
      <c r="K61" s="464"/>
      <c r="L61" s="99">
        <v>281.01900000000001</v>
      </c>
      <c r="M61" s="18">
        <v>450.61399999999998</v>
      </c>
      <c r="N61" s="19">
        <v>15.824</v>
      </c>
      <c r="O61" s="339">
        <v>150.34299999999999</v>
      </c>
      <c r="P61" s="338">
        <f>SUM(C61:O61)</f>
        <v>6587.6270000000004</v>
      </c>
      <c r="Q61" s="46"/>
      <c r="R61" s="100">
        <v>22.524999999999999</v>
      </c>
      <c r="S61" s="21">
        <v>1.502</v>
      </c>
      <c r="T61" s="97">
        <v>3070.1559999999999</v>
      </c>
      <c r="U61" s="47"/>
      <c r="V61" s="110">
        <v>318.50799999999998</v>
      </c>
      <c r="W61" s="373">
        <f t="shared" si="15"/>
        <v>3412.6909999999998</v>
      </c>
      <c r="X61" s="53"/>
      <c r="Y61" s="917">
        <v>5833.0730000000003</v>
      </c>
      <c r="Z61" s="1501"/>
      <c r="AA61" s="1502"/>
      <c r="AB61" s="1503"/>
      <c r="AC61" s="2206"/>
      <c r="AD61" s="2110"/>
      <c r="AE61" s="2240"/>
      <c r="AF61" s="2263">
        <v>3174.9369999999999</v>
      </c>
      <c r="AG61" s="2252">
        <v>4008.5880000000002</v>
      </c>
      <c r="AH61" s="1706">
        <f>W61-V61-SUM(Motpart!Y23:Z23)</f>
        <v>2658.134</v>
      </c>
    </row>
    <row r="62" spans="1:34">
      <c r="A62" s="2274">
        <v>476</v>
      </c>
      <c r="B62" s="2276" t="s">
        <v>1191</v>
      </c>
      <c r="C62" s="20">
        <v>1481.9970000000001</v>
      </c>
      <c r="D62" s="19">
        <v>673.91200000000003</v>
      </c>
      <c r="E62" s="18">
        <v>56.756999999999998</v>
      </c>
      <c r="F62" s="18">
        <v>852.399</v>
      </c>
      <c r="G62" s="18">
        <v>127.38800000000001</v>
      </c>
      <c r="H62" s="19">
        <v>2.0760000000000001</v>
      </c>
      <c r="I62" s="18">
        <v>121.461</v>
      </c>
      <c r="J62" s="96">
        <v>17.364999999999998</v>
      </c>
      <c r="K62" s="464"/>
      <c r="L62" s="99">
        <v>205.79599999999999</v>
      </c>
      <c r="M62" s="18">
        <v>230.71600000000001</v>
      </c>
      <c r="N62" s="19">
        <v>12.539</v>
      </c>
      <c r="O62" s="339">
        <v>111.279</v>
      </c>
      <c r="P62" s="338">
        <f>SUM(C62:O62)</f>
        <v>3893.6849999999995</v>
      </c>
      <c r="Q62" s="46"/>
      <c r="R62" s="100">
        <v>1.0640000000000001</v>
      </c>
      <c r="S62" s="21">
        <v>0.47799999999999998</v>
      </c>
      <c r="T62" s="97">
        <v>688.2</v>
      </c>
      <c r="U62" s="47"/>
      <c r="V62" s="110">
        <v>182.27099999999999</v>
      </c>
      <c r="W62" s="373">
        <f>SUM(R62:V62)</f>
        <v>872.01300000000003</v>
      </c>
      <c r="X62" s="53"/>
      <c r="Y62" s="1384">
        <v>3623.44</v>
      </c>
      <c r="Z62" s="1501"/>
      <c r="AA62" s="1502"/>
      <c r="AB62" s="1503"/>
      <c r="AC62" s="2206"/>
      <c r="AD62" s="2110"/>
      <c r="AE62" s="2240"/>
      <c r="AF62" s="2263">
        <v>3021.672</v>
      </c>
      <c r="AG62" s="2252">
        <v>2856.9389999999999</v>
      </c>
      <c r="AH62" s="1706">
        <f>W62-V62-SUM(Motpart!Y24:Z24)</f>
        <v>601.77100000000007</v>
      </c>
    </row>
    <row r="63" spans="1:34" ht="13.5" customHeight="1">
      <c r="A63" s="1928"/>
      <c r="B63" s="2277" t="s">
        <v>18</v>
      </c>
      <c r="C63" s="438"/>
      <c r="D63" s="437"/>
      <c r="E63" s="435"/>
      <c r="F63" s="458"/>
      <c r="G63" s="435"/>
      <c r="H63" s="459"/>
      <c r="I63" s="435"/>
      <c r="J63" s="436"/>
      <c r="K63" s="464"/>
      <c r="L63" s="434"/>
      <c r="M63" s="435"/>
      <c r="N63" s="437"/>
      <c r="O63" s="437"/>
      <c r="P63" s="436"/>
      <c r="Q63" s="47"/>
      <c r="R63" s="434"/>
      <c r="S63" s="435"/>
      <c r="T63" s="436"/>
      <c r="U63" s="47"/>
      <c r="V63" s="432"/>
      <c r="W63" s="433"/>
      <c r="X63" s="29"/>
      <c r="Y63" s="897"/>
      <c r="Z63" s="1518"/>
      <c r="AA63" s="1505"/>
      <c r="AB63" s="1505"/>
      <c r="AC63" s="2207"/>
      <c r="AD63" s="2110"/>
      <c r="AE63" s="2240"/>
      <c r="AF63" s="2263"/>
      <c r="AG63" s="2252"/>
      <c r="AH63" s="1706"/>
    </row>
    <row r="64" spans="1:34">
      <c r="A64" s="1913" t="s">
        <v>242</v>
      </c>
      <c r="B64" s="791" t="s">
        <v>1188</v>
      </c>
      <c r="C64" s="18">
        <v>151.35300000000001</v>
      </c>
      <c r="D64" s="19">
        <v>68.935000000000002</v>
      </c>
      <c r="E64" s="18">
        <v>6.2350000000000003</v>
      </c>
      <c r="F64" s="18">
        <v>35.088000000000001</v>
      </c>
      <c r="G64" s="18">
        <v>11.996</v>
      </c>
      <c r="H64" s="19">
        <v>0.25900000000000001</v>
      </c>
      <c r="I64" s="18">
        <v>12.852</v>
      </c>
      <c r="J64" s="96">
        <v>1.81</v>
      </c>
      <c r="K64" s="29"/>
      <c r="L64" s="99">
        <v>20.449000000000002</v>
      </c>
      <c r="M64" s="18">
        <v>16.175999999999998</v>
      </c>
      <c r="N64" s="19">
        <v>0.94899999999999995</v>
      </c>
      <c r="O64" s="339">
        <v>11.069000000000001</v>
      </c>
      <c r="P64" s="338">
        <f>SUM(C64:O64)</f>
        <v>337.17100000000005</v>
      </c>
      <c r="Q64" s="46"/>
      <c r="R64" s="99">
        <v>0.10199999999999999</v>
      </c>
      <c r="S64" s="18">
        <v>1.7000000000000001E-2</v>
      </c>
      <c r="T64" s="96">
        <v>42.975000000000001</v>
      </c>
      <c r="U64" s="47"/>
      <c r="V64" s="109">
        <v>8.5609999999999999</v>
      </c>
      <c r="W64" s="373">
        <f t="shared" si="15"/>
        <v>51.655000000000001</v>
      </c>
      <c r="X64" s="53"/>
      <c r="Y64" s="897">
        <v>312.61700000000002</v>
      </c>
      <c r="Z64" s="1504"/>
      <c r="AA64" s="1505"/>
      <c r="AB64" s="1505"/>
      <c r="AC64" s="2207"/>
      <c r="AD64" s="2110"/>
      <c r="AE64" s="2240"/>
      <c r="AF64" s="2263">
        <v>285.51799999999997</v>
      </c>
      <c r="AG64" s="2252">
        <v>293.26299999999998</v>
      </c>
      <c r="AH64" s="1706">
        <f>W64-V64-SUM(Motpart!Y25:Z25)</f>
        <v>27.099000000000004</v>
      </c>
    </row>
    <row r="65" spans="1:34">
      <c r="A65" s="1913" t="s">
        <v>243</v>
      </c>
      <c r="B65" s="791" t="s">
        <v>87</v>
      </c>
      <c r="C65" s="18">
        <v>447.28500000000003</v>
      </c>
      <c r="D65" s="19">
        <v>203.52699999999999</v>
      </c>
      <c r="E65" s="21">
        <v>44.780999999999999</v>
      </c>
      <c r="F65" s="21">
        <v>127.79600000000001</v>
      </c>
      <c r="G65" s="21">
        <v>223.208</v>
      </c>
      <c r="H65" s="22">
        <v>59.722000000000001</v>
      </c>
      <c r="I65" s="21">
        <v>56.860999999999997</v>
      </c>
      <c r="J65" s="97">
        <v>23.204999999999998</v>
      </c>
      <c r="K65" s="29"/>
      <c r="L65" s="100">
        <v>133.994</v>
      </c>
      <c r="M65" s="21">
        <v>53.04</v>
      </c>
      <c r="N65" s="19">
        <v>2.6</v>
      </c>
      <c r="O65" s="339">
        <v>41.475999999999999</v>
      </c>
      <c r="P65" s="338">
        <f>SUM(C65:O65)</f>
        <v>1417.4949999999999</v>
      </c>
      <c r="Q65" s="46"/>
      <c r="R65" s="100">
        <v>6.5220000000000002</v>
      </c>
      <c r="S65" s="21">
        <v>9.1760000000000002</v>
      </c>
      <c r="T65" s="97">
        <v>825.41</v>
      </c>
      <c r="U65" s="47"/>
      <c r="V65" s="110">
        <v>28.870999999999999</v>
      </c>
      <c r="W65" s="373">
        <f t="shared" si="15"/>
        <v>869.97899999999993</v>
      </c>
      <c r="X65" s="53"/>
      <c r="Y65" s="917">
        <v>1379.13</v>
      </c>
      <c r="Z65" s="1504"/>
      <c r="AA65" s="1505"/>
      <c r="AB65" s="1505"/>
      <c r="AC65" s="2207"/>
      <c r="AD65" s="2110"/>
      <c r="AE65" s="2240"/>
      <c r="AF65" s="2263">
        <v>547.51599999999996</v>
      </c>
      <c r="AG65" s="2252">
        <v>1201.106</v>
      </c>
      <c r="AH65" s="1706">
        <f>W65-V65-SUM(Motpart!Y26:Z26)</f>
        <v>831.6149999999999</v>
      </c>
    </row>
    <row r="66" spans="1:34">
      <c r="A66" s="1913" t="s">
        <v>244</v>
      </c>
      <c r="B66" s="799" t="s">
        <v>885</v>
      </c>
      <c r="C66" s="18">
        <v>135.13900000000001</v>
      </c>
      <c r="D66" s="19">
        <v>62.234999999999999</v>
      </c>
      <c r="E66" s="21">
        <v>8.7210000000000001</v>
      </c>
      <c r="F66" s="21">
        <v>11.109</v>
      </c>
      <c r="G66" s="21">
        <v>29.202999999999999</v>
      </c>
      <c r="H66" s="22">
        <v>1.5449999999999999</v>
      </c>
      <c r="I66" s="21">
        <v>5.9050000000000002</v>
      </c>
      <c r="J66" s="97">
        <v>3.113</v>
      </c>
      <c r="K66" s="29"/>
      <c r="L66" s="100">
        <v>10.547000000000001</v>
      </c>
      <c r="M66" s="21">
        <v>15.249000000000001</v>
      </c>
      <c r="N66" s="19">
        <v>1.0329999999999999</v>
      </c>
      <c r="O66" s="339">
        <v>11.571999999999999</v>
      </c>
      <c r="P66" s="338">
        <f>SUM(C66:O66)</f>
        <v>295.37100000000009</v>
      </c>
      <c r="Q66" s="46"/>
      <c r="R66" s="100">
        <v>1.8280000000000001</v>
      </c>
      <c r="S66" s="21">
        <v>0.62</v>
      </c>
      <c r="T66" s="97">
        <v>71.888000000000005</v>
      </c>
      <c r="U66" s="47"/>
      <c r="V66" s="110">
        <v>33.164000000000001</v>
      </c>
      <c r="W66" s="373">
        <f t="shared" si="15"/>
        <v>107.5</v>
      </c>
      <c r="X66" s="53"/>
      <c r="Y66" s="917">
        <v>260.82299999999998</v>
      </c>
      <c r="Z66" s="813" t="s">
        <v>93</v>
      </c>
      <c r="AA66" s="893"/>
      <c r="AB66" s="894"/>
      <c r="AC66" s="2211"/>
      <c r="AD66" s="2110"/>
      <c r="AE66" s="2240"/>
      <c r="AF66" s="2263">
        <v>187.87200000000001</v>
      </c>
      <c r="AG66" s="2252">
        <v>249.553</v>
      </c>
      <c r="AH66" s="1706">
        <f>W66-V66-SUM(Motpart!Y27:Z27)</f>
        <v>72.951999999999998</v>
      </c>
    </row>
    <row r="67" spans="1:34">
      <c r="A67" s="1913" t="s">
        <v>245</v>
      </c>
      <c r="B67" s="791" t="s">
        <v>19</v>
      </c>
      <c r="C67" s="334">
        <f t="shared" ref="C67:J67" si="16">SUM(C58,C60:C62,C64:C66)</f>
        <v>90966.661000000007</v>
      </c>
      <c r="D67" s="24">
        <f t="shared" si="16"/>
        <v>41925.436999999998</v>
      </c>
      <c r="E67" s="491">
        <f t="shared" si="16"/>
        <v>7414.3799999999992</v>
      </c>
      <c r="F67" s="334">
        <f t="shared" si="16"/>
        <v>58144.938999999998</v>
      </c>
      <c r="G67" s="334">
        <f t="shared" si="16"/>
        <v>15785.511</v>
      </c>
      <c r="H67" s="334">
        <f t="shared" si="16"/>
        <v>410.69700000000012</v>
      </c>
      <c r="I67" s="334">
        <f t="shared" si="16"/>
        <v>7048.2110000000002</v>
      </c>
      <c r="J67" s="101">
        <f t="shared" si="16"/>
        <v>2675.5759999999991</v>
      </c>
      <c r="K67" s="141"/>
      <c r="L67" s="340">
        <f>SUM(L58,L60:L62,L64:L66)</f>
        <v>18491.815999999999</v>
      </c>
      <c r="M67" s="334">
        <f>SUM(M58,M60:M62,M64:M66)</f>
        <v>35511.439000000006</v>
      </c>
      <c r="N67" s="24">
        <f>SUM(N58,N60:N62,N64:N66)</f>
        <v>678.61</v>
      </c>
      <c r="O67" s="343">
        <f>SUM(O58,O60:O62,O64:O66)</f>
        <v>7748.7459999999992</v>
      </c>
      <c r="P67" s="101">
        <f>SUM(P58,P60:P62,P64:P66)</f>
        <v>286802.02299999993</v>
      </c>
      <c r="Q67" s="46"/>
      <c r="R67" s="340">
        <f>SUM(R58,R60:R62,R64:R66)</f>
        <v>118.60800000000002</v>
      </c>
      <c r="S67" s="334">
        <f>SUM(S58,S60:S62,S64:S66)</f>
        <v>69.331000000000003</v>
      </c>
      <c r="T67" s="101">
        <f>SUM(T58,T60:T62,T64:T66)</f>
        <v>34774.806000000004</v>
      </c>
      <c r="U67" s="46"/>
      <c r="V67" s="113">
        <f>SUM(V58,V60:V62,V64:V66)</f>
        <v>25212.421000000006</v>
      </c>
      <c r="W67" s="114">
        <f>SUM(W58,W60:W62,W64:W66)</f>
        <v>60175.16599999999</v>
      </c>
      <c r="X67" s="53"/>
      <c r="Y67" s="897">
        <v>249483.09400000001</v>
      </c>
      <c r="Z67" s="900">
        <f>(P67-W67)*1000/invanare</f>
        <v>21404.709516977699</v>
      </c>
      <c r="AA67" s="901">
        <f>Y67*1000/invanare</f>
        <v>23563.461220603891</v>
      </c>
      <c r="AB67" s="901">
        <v>22485.648000000001</v>
      </c>
      <c r="AC67" s="2221">
        <f>IF(ISERROR((AA67-AB67)/AB67)," ",((AA67-AB67)/AB67))</f>
        <v>4.7933384913073883E-2</v>
      </c>
      <c r="AD67" s="2110"/>
      <c r="AE67" s="2244">
        <f>IF(ISERROR(F67/(AA67/1000*invanare)),"",(F67/(AA67/100000*invanare)))</f>
        <v>23.306163984001259</v>
      </c>
      <c r="AF67" s="2263">
        <v>226626.88500000001</v>
      </c>
      <c r="AG67" s="2252">
        <v>203033.992</v>
      </c>
      <c r="AH67" s="1706">
        <f>W67-V67-SUM(Motpart!Y17:Z27)</f>
        <v>22856.208999999981</v>
      </c>
    </row>
    <row r="68" spans="1:34" ht="12.75" customHeight="1" thickBot="1">
      <c r="A68" s="1924" t="s">
        <v>246</v>
      </c>
      <c r="B68" s="796" t="s">
        <v>94</v>
      </c>
      <c r="C68" s="345">
        <f t="shared" ref="C68:J68" si="17">SUM(C51,C67)</f>
        <v>137725.18</v>
      </c>
      <c r="D68" s="346">
        <f t="shared" si="17"/>
        <v>63404.167000000001</v>
      </c>
      <c r="E68" s="345">
        <f t="shared" si="17"/>
        <v>9972.5379999999986</v>
      </c>
      <c r="F68" s="345">
        <f t="shared" si="17"/>
        <v>81306.604999999996</v>
      </c>
      <c r="G68" s="345">
        <f t="shared" si="17"/>
        <v>18544.097000000002</v>
      </c>
      <c r="H68" s="346">
        <f t="shared" si="17"/>
        <v>490.74200000000008</v>
      </c>
      <c r="I68" s="345">
        <f t="shared" si="17"/>
        <v>10514.578000000001</v>
      </c>
      <c r="J68" s="347">
        <f t="shared" si="17"/>
        <v>3572.5819999999994</v>
      </c>
      <c r="K68" s="141"/>
      <c r="L68" s="348">
        <f>SUM(L51,L67)</f>
        <v>27661.318999999996</v>
      </c>
      <c r="M68" s="345">
        <f>SUM(M51,M67)</f>
        <v>55404.026000000005</v>
      </c>
      <c r="N68" s="346">
        <f>SUM(N51,N67)</f>
        <v>985.74700000000007</v>
      </c>
      <c r="O68" s="346">
        <f>SUM(O51,O67)</f>
        <v>11447.528999999999</v>
      </c>
      <c r="P68" s="347">
        <f>SUM(P51,P67)</f>
        <v>421029.10999999993</v>
      </c>
      <c r="Q68" s="46"/>
      <c r="R68" s="348">
        <f>SUM(R51,R67)</f>
        <v>9765.2249999999985</v>
      </c>
      <c r="S68" s="345">
        <f>SUM(S51,S67)</f>
        <v>90.552999999999997</v>
      </c>
      <c r="T68" s="347">
        <f>SUM(T51,T67)</f>
        <v>42863.739000000001</v>
      </c>
      <c r="U68" s="46"/>
      <c r="V68" s="375">
        <f>SUM(V51,V67)</f>
        <v>39066.222000000009</v>
      </c>
      <c r="W68" s="374">
        <f>SUM(W51,W67)</f>
        <v>91785.738999999987</v>
      </c>
      <c r="X68" s="53"/>
      <c r="Y68" s="924">
        <v>369223.29499999998</v>
      </c>
      <c r="Z68" s="902"/>
      <c r="AA68" s="903"/>
      <c r="AB68" s="904"/>
      <c r="AC68" s="2216"/>
      <c r="AD68" s="2110"/>
      <c r="AE68" s="2242">
        <f>IF(ISERROR(F67/(AA67/1000*invanare)),"",(SUM(Motpart!D17:D27,Motpart!F17:F27)/(AA67/100000*invanare)))</f>
        <v>16.567989973701383</v>
      </c>
      <c r="AF68" s="2264">
        <v>329243.40600000002</v>
      </c>
      <c r="AG68" s="2253">
        <v>300165.57699999999</v>
      </c>
      <c r="AH68" s="1708">
        <f>SUM(AH51,AH58,AH60:AH62,AH64:AH66)</f>
        <v>39979.886999999988</v>
      </c>
    </row>
    <row r="69" spans="1:34" ht="17.25" customHeight="1">
      <c r="A69" s="1928"/>
      <c r="B69" s="797" t="s">
        <v>95</v>
      </c>
      <c r="C69" s="465"/>
      <c r="D69" s="466"/>
      <c r="E69" s="467"/>
      <c r="F69" s="467"/>
      <c r="G69" s="467"/>
      <c r="H69" s="466"/>
      <c r="I69" s="467"/>
      <c r="J69" s="468"/>
      <c r="K69" s="36"/>
      <c r="L69" s="469"/>
      <c r="M69" s="467"/>
      <c r="N69" s="466"/>
      <c r="O69" s="466"/>
      <c r="P69" s="470"/>
      <c r="Q69" s="48"/>
      <c r="R69" s="469"/>
      <c r="S69" s="467"/>
      <c r="T69" s="468"/>
      <c r="U69" s="48"/>
      <c r="V69" s="471"/>
      <c r="W69" s="472"/>
      <c r="X69" s="36"/>
      <c r="Y69" s="1386"/>
      <c r="Z69" s="1528"/>
      <c r="AA69" s="1529"/>
      <c r="AB69" s="1530"/>
      <c r="AC69" s="2222"/>
      <c r="AD69" s="2110"/>
      <c r="AE69" s="2240"/>
      <c r="AF69" s="2265"/>
      <c r="AG69" s="2254"/>
      <c r="AH69" s="1707"/>
    </row>
    <row r="70" spans="1:34">
      <c r="A70" s="1913" t="s">
        <v>247</v>
      </c>
      <c r="B70" s="793" t="s">
        <v>96</v>
      </c>
      <c r="C70" s="18">
        <v>124.30500000000001</v>
      </c>
      <c r="D70" s="19">
        <v>68.909000000000006</v>
      </c>
      <c r="E70" s="18">
        <v>11.449</v>
      </c>
      <c r="F70" s="18">
        <v>63.046999999999997</v>
      </c>
      <c r="G70" s="18">
        <v>42.34</v>
      </c>
      <c r="H70" s="19">
        <v>5.6000000000000001E-2</v>
      </c>
      <c r="I70" s="18">
        <v>2.2240000000000002</v>
      </c>
      <c r="J70" s="96">
        <v>0.79900000000000004</v>
      </c>
      <c r="K70" s="29"/>
      <c r="L70" s="99">
        <v>20.248999999999999</v>
      </c>
      <c r="M70" s="18">
        <v>166.18</v>
      </c>
      <c r="N70" s="19">
        <v>0</v>
      </c>
      <c r="O70" s="339">
        <v>6.7320000000000002</v>
      </c>
      <c r="P70" s="338">
        <f>SUM(C70:O70)</f>
        <v>506.29000000000008</v>
      </c>
      <c r="Q70" s="46"/>
      <c r="R70" s="99">
        <v>17.001000000000001</v>
      </c>
      <c r="S70" s="18">
        <v>0.215</v>
      </c>
      <c r="T70" s="96">
        <v>37.652999999999999</v>
      </c>
      <c r="U70" s="47"/>
      <c r="V70" s="109">
        <v>170.68700000000001</v>
      </c>
      <c r="W70" s="373">
        <f>SUM(R70:V70)</f>
        <v>225.55600000000001</v>
      </c>
      <c r="X70" s="53"/>
      <c r="Y70" s="897">
        <v>321.89800000000002</v>
      </c>
      <c r="Z70" s="1531"/>
      <c r="AA70" s="1525"/>
      <c r="AB70" s="1525"/>
      <c r="AC70" s="2223"/>
      <c r="AD70" s="2110"/>
      <c r="AE70" s="2240"/>
      <c r="AF70" s="2263">
        <v>280.73399999999998</v>
      </c>
      <c r="AG70" s="2252">
        <v>272.5</v>
      </c>
      <c r="AH70" s="1706">
        <f>W70-V70-(IF(AND(Motpart!$Y$28="",Motpart!$Z$28=""),0,IF(AND(Motpart!$Y$28=0,Motpart!$Z$28=0),0,((T70/($T$70+$T$71))*(Motpart!$Y$28+Motpart!$Z$28)))))</f>
        <v>40.728866496964955</v>
      </c>
    </row>
    <row r="71" spans="1:34" ht="26.1" customHeight="1" thickBot="1">
      <c r="A71" s="1913" t="s">
        <v>248</v>
      </c>
      <c r="B71" s="1754" t="s">
        <v>982</v>
      </c>
      <c r="C71" s="21">
        <v>895.19500000000005</v>
      </c>
      <c r="D71" s="19">
        <v>497.01600000000002</v>
      </c>
      <c r="E71" s="21">
        <v>495.19600000000003</v>
      </c>
      <c r="F71" s="21">
        <v>347.88900000000001</v>
      </c>
      <c r="G71" s="21">
        <v>367.38900000000001</v>
      </c>
      <c r="H71" s="22">
        <v>1.169</v>
      </c>
      <c r="I71" s="21">
        <v>15.882</v>
      </c>
      <c r="J71" s="97">
        <v>29.463000000000001</v>
      </c>
      <c r="K71" s="29"/>
      <c r="L71" s="100">
        <v>130.38300000000001</v>
      </c>
      <c r="M71" s="21">
        <v>210.608</v>
      </c>
      <c r="N71" s="19">
        <v>1.64</v>
      </c>
      <c r="O71" s="339">
        <v>59</v>
      </c>
      <c r="P71" s="338">
        <f>SUM(C71:O71)</f>
        <v>3050.8300000000004</v>
      </c>
      <c r="Q71" s="46"/>
      <c r="R71" s="100">
        <v>54.621000000000002</v>
      </c>
      <c r="S71" s="21">
        <v>3.6070000000000002</v>
      </c>
      <c r="T71" s="97">
        <v>243.232</v>
      </c>
      <c r="U71" s="47"/>
      <c r="V71" s="110">
        <v>161.303</v>
      </c>
      <c r="W71" s="905">
        <f>SUM(R71:V71)</f>
        <v>462.76299999999998</v>
      </c>
      <c r="X71" s="53"/>
      <c r="Y71" s="917">
        <v>2797.7489999999998</v>
      </c>
      <c r="Z71" s="1526"/>
      <c r="AA71" s="1527"/>
      <c r="AB71" s="1527"/>
      <c r="AC71" s="2224"/>
      <c r="AD71" s="2110"/>
      <c r="AE71" s="2240"/>
      <c r="AF71" s="2263">
        <v>2588.0680000000002</v>
      </c>
      <c r="AG71" s="2252">
        <v>2540.4699999999998</v>
      </c>
      <c r="AH71" s="1706">
        <f>W71-V71-(IF(AND(Motpart!$Y$28="",Motpart!$Z$28=""),0,IF(AND(Motpart!$Y$28=0,Motpart!$Z$28=0),0,((T71/($T$70+$T$71))*(Motpart!$Y$28+Motpart!$Z$28)))))</f>
        <v>210.11713350303503</v>
      </c>
    </row>
    <row r="72" spans="1:34" ht="36" customHeight="1" thickBot="1">
      <c r="A72" s="1933"/>
      <c r="B72" s="1532" t="s">
        <v>98</v>
      </c>
      <c r="C72" s="438"/>
      <c r="D72" s="437"/>
      <c r="E72" s="435"/>
      <c r="F72" s="435"/>
      <c r="G72" s="435"/>
      <c r="H72" s="437"/>
      <c r="I72" s="435"/>
      <c r="J72" s="436"/>
      <c r="K72" s="29"/>
      <c r="L72" s="434"/>
      <c r="M72" s="435"/>
      <c r="N72" s="437"/>
      <c r="O72" s="437"/>
      <c r="P72" s="436"/>
      <c r="Q72" s="47"/>
      <c r="R72" s="434"/>
      <c r="S72" s="435"/>
      <c r="T72" s="436"/>
      <c r="U72" s="47"/>
      <c r="V72" s="432"/>
      <c r="W72" s="433"/>
      <c r="X72" s="29"/>
      <c r="Y72" s="1521" t="s">
        <v>918</v>
      </c>
      <c r="Z72" s="2572"/>
      <c r="AA72" s="2570"/>
      <c r="AB72" s="2570"/>
      <c r="AC72" s="2571"/>
      <c r="AD72" s="2110"/>
      <c r="AE72" s="2245">
        <f>IF(ISERROR((F73+F74)/((AA73+AA74)/1000*invanare)),"",((F73+F74)/((AA73+AA74)/100000*invanare)))</f>
        <v>16.16997645925905</v>
      </c>
      <c r="AF72" s="2263"/>
      <c r="AG72" s="2252"/>
      <c r="AH72" s="1706"/>
    </row>
    <row r="73" spans="1:34">
      <c r="A73" s="1913" t="s">
        <v>425</v>
      </c>
      <c r="B73" s="799" t="s">
        <v>476</v>
      </c>
      <c r="C73" s="18">
        <v>70086.099000000002</v>
      </c>
      <c r="D73" s="19">
        <v>32182.845000000001</v>
      </c>
      <c r="E73" s="18">
        <v>5486.5510000000004</v>
      </c>
      <c r="F73" s="18">
        <v>25764.39</v>
      </c>
      <c r="G73" s="18">
        <v>7336.2939999999999</v>
      </c>
      <c r="H73" s="19">
        <v>1232.1220000000001</v>
      </c>
      <c r="I73" s="18">
        <v>4664.6009999999997</v>
      </c>
      <c r="J73" s="96">
        <v>1478.7349999999999</v>
      </c>
      <c r="K73" s="29"/>
      <c r="L73" s="99">
        <v>7526.049</v>
      </c>
      <c r="M73" s="18">
        <v>21391.819</v>
      </c>
      <c r="N73" s="19">
        <v>442.06900000000002</v>
      </c>
      <c r="O73" s="339">
        <v>5334.3459999999995</v>
      </c>
      <c r="P73" s="338">
        <f>SUM(C73:O73)</f>
        <v>182925.91999999995</v>
      </c>
      <c r="Q73" s="46"/>
      <c r="R73" s="1761">
        <v>7275.73</v>
      </c>
      <c r="S73" s="18">
        <v>4982.4870000000001</v>
      </c>
      <c r="T73" s="96">
        <v>12589.026</v>
      </c>
      <c r="U73" s="47"/>
      <c r="V73" s="109">
        <v>16265.47</v>
      </c>
      <c r="W73" s="373">
        <f>SUM(R73:V73)</f>
        <v>41112.713000000003</v>
      </c>
      <c r="X73" s="53"/>
      <c r="Y73" s="897">
        <v>166088.4</v>
      </c>
      <c r="Z73" s="900">
        <f>(P73-W73)*1000/invanare</f>
        <v>13394.134047872481</v>
      </c>
      <c r="AA73" s="901">
        <f>Y73*1000/invanare</f>
        <v>15686.904911449219</v>
      </c>
      <c r="AB73" s="915">
        <v>14946.638999999999</v>
      </c>
      <c r="AC73" s="2214">
        <f>IF(ISERROR((AA73-AB73)/AB73)," ",((AA73-AB73)/AB73))</f>
        <v>4.9527248998869906E-2</v>
      </c>
      <c r="AD73" s="2110"/>
      <c r="AE73" s="2244"/>
      <c r="AF73" s="2263">
        <v>141813.20499999999</v>
      </c>
      <c r="AG73" s="2252">
        <v>139663.935</v>
      </c>
      <c r="AH73" s="1706">
        <f>W73-V73-SUM(Motpart!Y29:Z29)</f>
        <v>24275.197000000004</v>
      </c>
    </row>
    <row r="74" spans="1:34" ht="18.75">
      <c r="A74" s="1913" t="s">
        <v>424</v>
      </c>
      <c r="B74" s="803" t="s">
        <v>360</v>
      </c>
      <c r="C74" s="18">
        <v>6678.0969999999998</v>
      </c>
      <c r="D74" s="19">
        <v>3053.9780000000001</v>
      </c>
      <c r="E74" s="18">
        <v>348.125</v>
      </c>
      <c r="F74" s="18">
        <v>3923.1370000000002</v>
      </c>
      <c r="G74" s="18">
        <v>754.06600000000003</v>
      </c>
      <c r="H74" s="19">
        <v>455.07400000000001</v>
      </c>
      <c r="I74" s="18">
        <v>479.82499999999999</v>
      </c>
      <c r="J74" s="96">
        <v>75.418000000000006</v>
      </c>
      <c r="K74" s="29"/>
      <c r="L74" s="99">
        <v>544.04899999999998</v>
      </c>
      <c r="M74" s="18">
        <v>1959.902</v>
      </c>
      <c r="N74" s="19">
        <v>53.335000000000001</v>
      </c>
      <c r="O74" s="339">
        <v>488.31299999999999</v>
      </c>
      <c r="P74" s="338">
        <f>SUM(C74:O74)</f>
        <v>18813.319</v>
      </c>
      <c r="Q74" s="46"/>
      <c r="R74" s="1761">
        <v>386.52800000000002</v>
      </c>
      <c r="S74" s="18">
        <v>361.19799999999998</v>
      </c>
      <c r="T74" s="96">
        <v>1020.819</v>
      </c>
      <c r="U74" s="47"/>
      <c r="V74" s="109">
        <v>1258.463</v>
      </c>
      <c r="W74" s="373">
        <f>SUM(R74:V74)</f>
        <v>3027.0079999999998</v>
      </c>
      <c r="X74" s="53"/>
      <c r="Y74" s="897">
        <v>17508.2</v>
      </c>
      <c r="Z74" s="900">
        <f>(P74-W74)*1000/invanare</f>
        <v>1491.0033425547169</v>
      </c>
      <c r="AA74" s="901">
        <f>Y74*1000/invanare</f>
        <v>1653.6342608552748</v>
      </c>
      <c r="AB74" s="915">
        <v>1639.2449999999999</v>
      </c>
      <c r="AC74" s="2214">
        <f>IF(ISERROR((AA74-AB74)/AB74)," ",((AA74-AB74)/AB74))</f>
        <v>8.7779806284447228E-3</v>
      </c>
      <c r="AD74" s="2110"/>
      <c r="AE74" s="2243">
        <f>(Y77-Y76)*1000/invanare</f>
        <v>24954.596697491717</v>
      </c>
      <c r="AF74" s="2263">
        <v>15786.314</v>
      </c>
      <c r="AG74" s="2252">
        <v>13176.647000000001</v>
      </c>
      <c r="AH74" s="1706">
        <f>W74-V74-SUM(Motpart!Y30:Z30)</f>
        <v>1721.8879999999999</v>
      </c>
    </row>
    <row r="75" spans="1:34">
      <c r="A75" s="1913" t="s">
        <v>249</v>
      </c>
      <c r="B75" s="799" t="s">
        <v>361</v>
      </c>
      <c r="C75" s="2279">
        <v>32154.876</v>
      </c>
      <c r="D75" s="19">
        <v>14675.263999999999</v>
      </c>
      <c r="E75" s="21">
        <v>1270.279</v>
      </c>
      <c r="F75" s="2279">
        <v>16213.316999999999</v>
      </c>
      <c r="G75" s="21">
        <v>2196.8310000000001</v>
      </c>
      <c r="H75" s="22">
        <v>5271.8860000000004</v>
      </c>
      <c r="I75" s="21">
        <v>1859.171</v>
      </c>
      <c r="J75" s="97">
        <v>376.98700000000002</v>
      </c>
      <c r="K75" s="29"/>
      <c r="L75" s="100">
        <v>3161.2710000000002</v>
      </c>
      <c r="M75" s="2279">
        <v>6584.0169999999998</v>
      </c>
      <c r="N75" s="2290">
        <v>204.143</v>
      </c>
      <c r="O75" s="2292">
        <v>2159.0259999999998</v>
      </c>
      <c r="P75" s="338">
        <f>SUM(C75:O75)</f>
        <v>86127.067999999999</v>
      </c>
      <c r="Q75" s="46"/>
      <c r="R75" s="1759">
        <v>159.291</v>
      </c>
      <c r="S75" s="21">
        <v>1607.54</v>
      </c>
      <c r="T75" s="97">
        <v>7830.8090000000002</v>
      </c>
      <c r="U75" s="47"/>
      <c r="V75" s="2293">
        <v>5251.299</v>
      </c>
      <c r="W75" s="373">
        <f>SUM(R75:V75)</f>
        <v>14848.938999999998</v>
      </c>
      <c r="X75" s="53"/>
      <c r="Y75" s="897">
        <v>80615.432000000001</v>
      </c>
      <c r="Z75" s="900">
        <f>(P75-W75)*1000/invanare</f>
        <v>6732.1572842474916</v>
      </c>
      <c r="AA75" s="901">
        <f>Y75*1000/invanare</f>
        <v>7614.0574307380921</v>
      </c>
      <c r="AB75" s="915">
        <v>7245.817</v>
      </c>
      <c r="AC75" s="2214">
        <f>IF(ISERROR((AA75-AB75)/AB75)," ",((AA75-AB75)/AB75))</f>
        <v>5.0821105575546838E-2</v>
      </c>
      <c r="AD75" s="2110"/>
      <c r="AE75" s="2240"/>
      <c r="AF75" s="2263">
        <v>71278.125</v>
      </c>
      <c r="AG75" s="2252">
        <v>59390.565000000002</v>
      </c>
      <c r="AH75" s="1706">
        <f>W75-V75-SUM(Motpart!Y31:Z31)</f>
        <v>9337.3059999999987</v>
      </c>
    </row>
    <row r="76" spans="1:34">
      <c r="A76" s="1913" t="s">
        <v>250</v>
      </c>
      <c r="B76" s="791" t="s">
        <v>99</v>
      </c>
      <c r="C76" s="21">
        <v>136.374</v>
      </c>
      <c r="D76" s="19">
        <v>62.923999999999999</v>
      </c>
      <c r="E76" s="21">
        <v>2.6659999999999999</v>
      </c>
      <c r="F76" s="21">
        <v>2144.2370000000001</v>
      </c>
      <c r="G76" s="21">
        <v>520.79200000000003</v>
      </c>
      <c r="H76" s="22">
        <v>35.206000000000003</v>
      </c>
      <c r="I76" s="21">
        <v>1.74</v>
      </c>
      <c r="J76" s="97">
        <v>1.1559999999999999</v>
      </c>
      <c r="K76" s="29"/>
      <c r="L76" s="100">
        <v>6.7770000000000001</v>
      </c>
      <c r="M76" s="21">
        <v>130.67599999999999</v>
      </c>
      <c r="N76" s="19">
        <v>8.6289999999999996</v>
      </c>
      <c r="O76" s="339">
        <v>23.574999999999999</v>
      </c>
      <c r="P76" s="338">
        <f>SUM(C76:O76)</f>
        <v>3074.7519999999995</v>
      </c>
      <c r="Q76" s="46"/>
      <c r="R76" s="1759">
        <v>123.065</v>
      </c>
      <c r="S76" s="21">
        <v>8.9999999999999993E-3</v>
      </c>
      <c r="T76" s="97">
        <v>70.02</v>
      </c>
      <c r="U76" s="47"/>
      <c r="V76" s="110">
        <v>117.919</v>
      </c>
      <c r="W76" s="373">
        <f>SUM(R76:V76)</f>
        <v>311.01299999999998</v>
      </c>
      <c r="X76" s="53"/>
      <c r="Y76" s="897">
        <v>2947.5039999999999</v>
      </c>
      <c r="Z76" s="900">
        <f>(P76-W76)*1000/invanare</f>
        <v>261.03274456893888</v>
      </c>
      <c r="AA76" s="901">
        <f>Y76*1000/invanare</f>
        <v>278.38918897476418</v>
      </c>
      <c r="AB76" s="918">
        <v>263.173</v>
      </c>
      <c r="AC76" s="2214">
        <f>IF(ISERROR((AA76-AB76)/AB76)," ",((AA76-AB76)/AB76))</f>
        <v>5.78181993394618E-2</v>
      </c>
      <c r="AD76" s="2110"/>
      <c r="AE76" s="2243"/>
      <c r="AF76" s="2263">
        <v>2763.7379999999998</v>
      </c>
      <c r="AG76" s="2252">
        <v>777.39</v>
      </c>
      <c r="AH76" s="1706">
        <f>W76-V76-SUM(Motpart!Y32:Z32)</f>
        <v>183.76399999999998</v>
      </c>
    </row>
    <row r="77" spans="1:34">
      <c r="A77" s="1913" t="s">
        <v>487</v>
      </c>
      <c r="B77" s="791" t="s">
        <v>101</v>
      </c>
      <c r="C77" s="334">
        <f t="shared" ref="C77:J77" si="18">SUM(C73:C76)</f>
        <v>109055.446</v>
      </c>
      <c r="D77" s="24">
        <f t="shared" si="18"/>
        <v>49975.010999999999</v>
      </c>
      <c r="E77" s="334">
        <f t="shared" si="18"/>
        <v>7107.6210000000001</v>
      </c>
      <c r="F77" s="334">
        <f t="shared" si="18"/>
        <v>48045.080999999998</v>
      </c>
      <c r="G77" s="334">
        <f t="shared" si="18"/>
        <v>10807.982999999998</v>
      </c>
      <c r="H77" s="24">
        <f t="shared" si="18"/>
        <v>6994.2880000000005</v>
      </c>
      <c r="I77" s="334">
        <f t="shared" si="18"/>
        <v>7005.3369999999995</v>
      </c>
      <c r="J77" s="101">
        <f t="shared" si="18"/>
        <v>1932.2959999999998</v>
      </c>
      <c r="K77" s="141"/>
      <c r="L77" s="340">
        <f>SUM(L73:L76)</f>
        <v>11238.146000000001</v>
      </c>
      <c r="M77" s="334">
        <f>SUM(M73:M76)</f>
        <v>30066.413999999997</v>
      </c>
      <c r="N77" s="24">
        <f>SUM(N73:N76)</f>
        <v>708.17600000000004</v>
      </c>
      <c r="O77" s="24">
        <f>SUM(O73:O76)</f>
        <v>8005.2599999999993</v>
      </c>
      <c r="P77" s="101">
        <f>SUM(P73:P76)</f>
        <v>290941.05899999989</v>
      </c>
      <c r="Q77" s="46"/>
      <c r="R77" s="340">
        <f>SUM(R73:R76)</f>
        <v>7944.6139999999996</v>
      </c>
      <c r="S77" s="334">
        <f>SUM(S73:S76)</f>
        <v>6951.2340000000004</v>
      </c>
      <c r="T77" s="101">
        <f>SUM(T73:T76)</f>
        <v>21510.673999999999</v>
      </c>
      <c r="U77" s="46"/>
      <c r="V77" s="113">
        <f>SUM(V73:V76)</f>
        <v>22893.151000000002</v>
      </c>
      <c r="W77" s="114">
        <f>SUM(W73:W76)</f>
        <v>59299.673000000003</v>
      </c>
      <c r="X77" s="53"/>
      <c r="Y77" s="897">
        <v>267159.53700000001</v>
      </c>
      <c r="Z77" s="1543">
        <f>(P77-W77)*1000/invanare</f>
        <v>21878.327419243622</v>
      </c>
      <c r="AA77" s="918">
        <f>Y77*1000/invanare</f>
        <v>25232.985886466482</v>
      </c>
      <c r="AB77" s="1544">
        <v>24094.876</v>
      </c>
      <c r="AC77" s="2218">
        <f t="shared" ref="AC77:AC84" si="19">IF(ISERROR((AA77-AB77)/AB77)," ",((AA77-AB77)/AB77))</f>
        <v>4.7234519342057697E-2</v>
      </c>
      <c r="AD77" s="2110"/>
      <c r="AE77" s="2244">
        <f>IF(ISERROR(F77/(AA77/1000*invanare)),"",(F77/(AA77/100000*invanare)))</f>
        <v>17.983666815532771</v>
      </c>
      <c r="AF77" s="2263">
        <v>231641.38699999999</v>
      </c>
      <c r="AG77" s="2252">
        <v>213008.53899999999</v>
      </c>
      <c r="AH77" s="1706">
        <f>W77-V77-SUM(Motpart!Y29:Z32)</f>
        <v>35518.154999999999</v>
      </c>
    </row>
    <row r="78" spans="1:34" ht="13.5" customHeight="1">
      <c r="A78" s="1933"/>
      <c r="B78" s="804" t="s">
        <v>102</v>
      </c>
      <c r="C78" s="438"/>
      <c r="D78" s="437"/>
      <c r="E78" s="435"/>
      <c r="F78" s="435"/>
      <c r="G78" s="435"/>
      <c r="H78" s="437"/>
      <c r="I78" s="435"/>
      <c r="J78" s="436"/>
      <c r="K78" s="29"/>
      <c r="L78" s="434"/>
      <c r="M78" s="435"/>
      <c r="N78" s="437"/>
      <c r="O78" s="437"/>
      <c r="P78" s="436"/>
      <c r="Q78" s="47"/>
      <c r="R78" s="434"/>
      <c r="S78" s="435"/>
      <c r="T78" s="436"/>
      <c r="U78" s="47"/>
      <c r="V78" s="432"/>
      <c r="W78" s="433"/>
      <c r="X78" s="29"/>
      <c r="Y78" s="1519"/>
      <c r="Z78" s="1545"/>
      <c r="AA78" s="1559"/>
      <c r="AB78" s="1559"/>
      <c r="AC78" s="2225" t="str">
        <f t="shared" si="19"/>
        <v xml:space="preserve"> </v>
      </c>
      <c r="AD78" s="2110"/>
      <c r="AE78" s="2240">
        <f>IF(ISERROR(F77/(AA77/1000*invanare)),"",(SUM(Motpart!D29:D32,Motpart!F29:F32)/(AA77/100000*invanare)))</f>
        <v>16.308599531672343</v>
      </c>
      <c r="AF78" s="2263"/>
      <c r="AG78" s="2252"/>
      <c r="AH78" s="1706"/>
    </row>
    <row r="79" spans="1:34">
      <c r="A79" s="1913" t="s">
        <v>429</v>
      </c>
      <c r="B79" s="805" t="s">
        <v>195</v>
      </c>
      <c r="C79" s="18">
        <v>2882.723</v>
      </c>
      <c r="D79" s="19">
        <v>1321.029</v>
      </c>
      <c r="E79" s="18">
        <v>136.85599999999999</v>
      </c>
      <c r="F79" s="18">
        <v>3223.1959999999999</v>
      </c>
      <c r="G79" s="18">
        <v>506.74400000000003</v>
      </c>
      <c r="H79" s="19">
        <v>154.77099999999999</v>
      </c>
      <c r="I79" s="18">
        <v>504.58199999999999</v>
      </c>
      <c r="J79" s="96">
        <v>29.974</v>
      </c>
      <c r="K79" s="29"/>
      <c r="L79" s="99">
        <v>424.18900000000002</v>
      </c>
      <c r="M79" s="18">
        <v>400.92599999999999</v>
      </c>
      <c r="N79" s="19">
        <v>16.882000000000001</v>
      </c>
      <c r="O79" s="339">
        <v>228.80600000000001</v>
      </c>
      <c r="P79" s="338">
        <f>SUM(C79:O79)</f>
        <v>9830.6779999999999</v>
      </c>
      <c r="Q79" s="46"/>
      <c r="R79" s="99">
        <v>40.363</v>
      </c>
      <c r="S79" s="18">
        <v>327.23599999999999</v>
      </c>
      <c r="T79" s="96">
        <v>465.75599999999997</v>
      </c>
      <c r="U79" s="47"/>
      <c r="V79" s="109">
        <v>279.09199999999998</v>
      </c>
      <c r="W79" s="373">
        <f>SUM(R79:V79)</f>
        <v>1112.4470000000001</v>
      </c>
      <c r="X79" s="53"/>
      <c r="Y79" s="897">
        <v>9521.0949999999993</v>
      </c>
      <c r="Z79" s="900">
        <f t="shared" ref="Z79:Z84" si="20">(P79-W79)*1000/invanare</f>
        <v>823.42933457754327</v>
      </c>
      <c r="AA79" s="901">
        <f t="shared" ref="AA79:AA84" si="21">Y79*1000/invanare</f>
        <v>899.25914102294087</v>
      </c>
      <c r="AB79" s="901">
        <v>870.971</v>
      </c>
      <c r="AC79" s="2214">
        <f t="shared" si="19"/>
        <v>3.2478855235066224E-2</v>
      </c>
      <c r="AD79" s="2110"/>
      <c r="AE79" s="2243">
        <f>F85-F76-F71-F70</f>
        <v>60915.96</v>
      </c>
      <c r="AF79" s="2263">
        <v>8718.2369999999992</v>
      </c>
      <c r="AG79" s="2252">
        <v>6173.6220000000003</v>
      </c>
      <c r="AH79" s="1706">
        <f>W79-V79-SUM(Motpart!Y33:Z33)</f>
        <v>802.86200000000008</v>
      </c>
    </row>
    <row r="80" spans="1:34">
      <c r="A80" s="1913" t="s">
        <v>428</v>
      </c>
      <c r="B80" s="805" t="s">
        <v>103</v>
      </c>
      <c r="C80" s="18">
        <v>12150.294</v>
      </c>
      <c r="D80" s="19">
        <v>5200.5159999999996</v>
      </c>
      <c r="E80" s="18">
        <v>186.66300000000001</v>
      </c>
      <c r="F80" s="18">
        <v>10486.653</v>
      </c>
      <c r="G80" s="18">
        <v>2718.9</v>
      </c>
      <c r="H80" s="19">
        <v>135.53100000000001</v>
      </c>
      <c r="I80" s="18">
        <v>376.83600000000001</v>
      </c>
      <c r="J80" s="96">
        <v>56.847000000000001</v>
      </c>
      <c r="K80" s="29"/>
      <c r="L80" s="99">
        <v>624.39099999999996</v>
      </c>
      <c r="M80" s="18">
        <v>1018.949</v>
      </c>
      <c r="N80" s="19">
        <v>80.268000000000001</v>
      </c>
      <c r="O80" s="339">
        <v>855.8</v>
      </c>
      <c r="P80" s="338">
        <f>SUM(C80:O80)</f>
        <v>33891.647999999994</v>
      </c>
      <c r="Q80" s="46"/>
      <c r="R80" s="99">
        <v>72.748000000000005</v>
      </c>
      <c r="S80" s="18">
        <v>42.588999999999999</v>
      </c>
      <c r="T80" s="96">
        <v>1768.3040000000001</v>
      </c>
      <c r="U80" s="47"/>
      <c r="V80" s="109">
        <v>649.93499999999995</v>
      </c>
      <c r="W80" s="373">
        <f>SUM(R80:V80)</f>
        <v>2533.576</v>
      </c>
      <c r="X80" s="53"/>
      <c r="Y80" s="917">
        <v>33033.391000000003</v>
      </c>
      <c r="Z80" s="900">
        <f t="shared" si="20"/>
        <v>2961.7426242313018</v>
      </c>
      <c r="AA80" s="901">
        <f t="shared" si="21"/>
        <v>3119.9750465398097</v>
      </c>
      <c r="AB80" s="915">
        <v>2887.1840000000002</v>
      </c>
      <c r="AC80" s="2213">
        <f t="shared" si="19"/>
        <v>8.0629099683224029E-2</v>
      </c>
      <c r="AD80" s="2110"/>
      <c r="AE80" s="2243">
        <f>H85-H76-H71-H70</f>
        <v>18264.076000000001</v>
      </c>
      <c r="AF80" s="2263">
        <v>31358.072</v>
      </c>
      <c r="AG80" s="2252">
        <v>22619.53</v>
      </c>
      <c r="AH80" s="1706">
        <f>W80-V80-SUM(Motpart!Y35:Z35)</f>
        <v>1675.318</v>
      </c>
    </row>
    <row r="81" spans="1:34">
      <c r="A81" s="1913" t="s">
        <v>431</v>
      </c>
      <c r="B81" s="805" t="s">
        <v>164</v>
      </c>
      <c r="C81" s="18">
        <v>1069.3150000000001</v>
      </c>
      <c r="D81" s="19">
        <v>491.14</v>
      </c>
      <c r="E81" s="18">
        <v>39.338000000000001</v>
      </c>
      <c r="F81" s="18">
        <v>1046.1199999999999</v>
      </c>
      <c r="G81" s="18">
        <v>218.148</v>
      </c>
      <c r="H81" s="19">
        <v>318.245</v>
      </c>
      <c r="I81" s="18">
        <v>241.28899999999999</v>
      </c>
      <c r="J81" s="96">
        <v>16.146000000000001</v>
      </c>
      <c r="K81" s="29"/>
      <c r="L81" s="99">
        <v>239.18700000000001</v>
      </c>
      <c r="M81" s="18">
        <v>216.203</v>
      </c>
      <c r="N81" s="19">
        <v>9.0269999999999992</v>
      </c>
      <c r="O81" s="339">
        <v>90.165000000000006</v>
      </c>
      <c r="P81" s="338">
        <f>SUM(C81:O81)</f>
        <v>3994.3229999999994</v>
      </c>
      <c r="Q81" s="46"/>
      <c r="R81" s="99">
        <v>7.6109999999999998</v>
      </c>
      <c r="S81" s="18">
        <v>184.66499999999999</v>
      </c>
      <c r="T81" s="96">
        <v>383.85700000000003</v>
      </c>
      <c r="U81" s="47"/>
      <c r="V81" s="109">
        <v>126.02800000000001</v>
      </c>
      <c r="W81" s="373">
        <f>SUM(R81:V81)</f>
        <v>702.16100000000006</v>
      </c>
      <c r="X81" s="53"/>
      <c r="Y81" s="917">
        <v>3813.82</v>
      </c>
      <c r="Z81" s="900">
        <f t="shared" si="20"/>
        <v>310.94183728114956</v>
      </c>
      <c r="AA81" s="901">
        <f t="shared" si="21"/>
        <v>360.21198162775522</v>
      </c>
      <c r="AB81" s="915">
        <v>348.983</v>
      </c>
      <c r="AC81" s="2213">
        <f t="shared" si="19"/>
        <v>3.2176299784674949E-2</v>
      </c>
      <c r="AD81" s="2110"/>
      <c r="AE81" s="2240"/>
      <c r="AF81" s="2263">
        <v>3292.163</v>
      </c>
      <c r="AG81" s="2252">
        <v>2503.9299999999998</v>
      </c>
      <c r="AH81" s="1706">
        <f>W81-V81-IFO!G29</f>
        <v>521.65600000000006</v>
      </c>
    </row>
    <row r="82" spans="1:34">
      <c r="A82" s="1913" t="s">
        <v>430</v>
      </c>
      <c r="B82" s="805" t="s">
        <v>104</v>
      </c>
      <c r="C82" s="18">
        <v>2453.7370000000001</v>
      </c>
      <c r="D82" s="19">
        <v>1132.9570000000001</v>
      </c>
      <c r="E82" s="18">
        <v>39.820999999999998</v>
      </c>
      <c r="F82" s="18">
        <v>49.883000000000003</v>
      </c>
      <c r="G82" s="18">
        <v>389.46899999999999</v>
      </c>
      <c r="H82" s="19">
        <v>10691.96</v>
      </c>
      <c r="I82" s="18">
        <v>121.468</v>
      </c>
      <c r="J82" s="96">
        <v>20.539000000000001</v>
      </c>
      <c r="K82" s="29"/>
      <c r="L82" s="99">
        <v>143.77600000000001</v>
      </c>
      <c r="M82" s="18">
        <v>329.96499999999997</v>
      </c>
      <c r="N82" s="19">
        <v>24.358000000000001</v>
      </c>
      <c r="O82" s="339">
        <v>174.30799999999999</v>
      </c>
      <c r="P82" s="338">
        <f>SUM(C82:O82)</f>
        <v>15572.241000000002</v>
      </c>
      <c r="Q82" s="46"/>
      <c r="R82" s="99">
        <v>23.631</v>
      </c>
      <c r="S82" s="18">
        <v>31.521000000000001</v>
      </c>
      <c r="T82" s="96">
        <v>615.82899999999995</v>
      </c>
      <c r="U82" s="47"/>
      <c r="V82" s="109">
        <v>139.79300000000001</v>
      </c>
      <c r="W82" s="373">
        <f>SUM(R82:V82)</f>
        <v>810.774</v>
      </c>
      <c r="X82" s="53"/>
      <c r="Y82" s="917">
        <v>15406.626</v>
      </c>
      <c r="Z82" s="900">
        <f t="shared" si="20"/>
        <v>1394.2077181940197</v>
      </c>
      <c r="AA82" s="901">
        <f t="shared" si="21"/>
        <v>1455.1424245658411</v>
      </c>
      <c r="AB82" s="915">
        <v>1378.1</v>
      </c>
      <c r="AC82" s="2213">
        <f t="shared" si="19"/>
        <v>5.590481428476976E-2</v>
      </c>
      <c r="AD82" s="2110"/>
      <c r="AE82" s="2240"/>
      <c r="AF82" s="2263">
        <v>14761.464</v>
      </c>
      <c r="AG82" s="2252">
        <v>4690.6030000000001</v>
      </c>
      <c r="AH82" s="1706">
        <f>W82-V82-IFO!G30</f>
        <v>645.16099999999994</v>
      </c>
    </row>
    <row r="83" spans="1:34">
      <c r="A83" s="1913" t="s">
        <v>342</v>
      </c>
      <c r="B83" s="791" t="s">
        <v>105</v>
      </c>
      <c r="C83" s="334">
        <f>SUM(C79:C82)</f>
        <v>18556.069</v>
      </c>
      <c r="D83" s="24">
        <f t="shared" ref="D83:J83" si="22">SUM(D79:D82)</f>
        <v>8145.6420000000007</v>
      </c>
      <c r="E83" s="341">
        <f t="shared" si="22"/>
        <v>402.678</v>
      </c>
      <c r="F83" s="334">
        <f t="shared" si="22"/>
        <v>14805.852000000001</v>
      </c>
      <c r="G83" s="334">
        <f t="shared" si="22"/>
        <v>3833.2610000000004</v>
      </c>
      <c r="H83" s="24">
        <f t="shared" si="22"/>
        <v>11300.507</v>
      </c>
      <c r="I83" s="491">
        <f t="shared" si="22"/>
        <v>1244.175</v>
      </c>
      <c r="J83" s="101">
        <f t="shared" si="22"/>
        <v>123.506</v>
      </c>
      <c r="K83" s="141"/>
      <c r="L83" s="340">
        <f>SUM(L79:L82)</f>
        <v>1431.5429999999999</v>
      </c>
      <c r="M83" s="334">
        <f>SUM(M79:M82)</f>
        <v>1966.0429999999999</v>
      </c>
      <c r="N83" s="24">
        <f>SUM(N79:N82)</f>
        <v>130.535</v>
      </c>
      <c r="O83" s="349">
        <f t="shared" ref="O83" si="23">IF(I$120=0,0,(SUM(C83:E83,G83,I83:M83)-V83)/(SUM(C$110:E$110,G$110,I$110:M$110)-V$110)*I$120)</f>
        <v>1362.4332160501945</v>
      </c>
      <c r="P83" s="338">
        <f>SUM(P79:P82)</f>
        <v>63288.889999999992</v>
      </c>
      <c r="Q83" s="46"/>
      <c r="R83" s="340">
        <f>SUM(R79:R82)</f>
        <v>144.35300000000001</v>
      </c>
      <c r="S83" s="334">
        <f>SUM(S79:S82)</f>
        <v>586.01099999999997</v>
      </c>
      <c r="T83" s="101">
        <f>SUM(T79:T82)</f>
        <v>3233.7460000000001</v>
      </c>
      <c r="U83" s="46"/>
      <c r="V83" s="113">
        <f>SUM(V79:V82)</f>
        <v>1194.848</v>
      </c>
      <c r="W83" s="373">
        <f>SUM(W79:W82)</f>
        <v>5158.9580000000005</v>
      </c>
      <c r="X83" s="53"/>
      <c r="Y83" s="919">
        <v>61774.953000000001</v>
      </c>
      <c r="Z83" s="900">
        <f>(P83+P84-W83-W84)*1000/invanare</f>
        <v>5604.8534574520836</v>
      </c>
      <c r="AA83" s="901">
        <f>SUM(Y83:Y84)*1000/invanare</f>
        <v>5954.3603857680282</v>
      </c>
      <c r="AB83" s="901">
        <v>5594.585</v>
      </c>
      <c r="AC83" s="2213">
        <f t="shared" si="19"/>
        <v>6.4307787935660679E-2</v>
      </c>
      <c r="AD83" s="2110"/>
      <c r="AE83" s="2244">
        <f>IF(ISERROR((F83+F84)/((F83+F84)/1000*invanare)),"",((F83+F84)/(AA83/100000*invanare)))</f>
        <v>23.817245744855484</v>
      </c>
      <c r="AF83" s="2263">
        <v>58129.955999999998</v>
      </c>
      <c r="AG83" s="2252">
        <v>35987.707000000002</v>
      </c>
      <c r="AH83" s="1706">
        <f>W83-V83-IFO!G31</f>
        <v>3644.9970000000008</v>
      </c>
    </row>
    <row r="84" spans="1:34">
      <c r="A84" s="1913" t="s">
        <v>437</v>
      </c>
      <c r="B84" s="791" t="s">
        <v>106</v>
      </c>
      <c r="C84" s="21">
        <v>635.07600000000002</v>
      </c>
      <c r="D84" s="19">
        <v>288.452</v>
      </c>
      <c r="E84" s="21">
        <v>8.1609999999999996</v>
      </c>
      <c r="F84" s="21">
        <v>209.26400000000001</v>
      </c>
      <c r="G84" s="21">
        <v>104.517</v>
      </c>
      <c r="H84" s="22">
        <v>4.4870000000000001</v>
      </c>
      <c r="I84" s="21">
        <v>22.242000000000001</v>
      </c>
      <c r="J84" s="97">
        <v>3.597</v>
      </c>
      <c r="K84" s="28"/>
      <c r="L84" s="100">
        <v>37.465000000000003</v>
      </c>
      <c r="M84" s="21">
        <v>64.611999999999995</v>
      </c>
      <c r="N84" s="22">
        <v>3.8490000000000002</v>
      </c>
      <c r="O84" s="339">
        <v>43.610999999999997</v>
      </c>
      <c r="P84" s="338">
        <f>SUM(C84:O84)</f>
        <v>1425.3330000000001</v>
      </c>
      <c r="Q84" s="46"/>
      <c r="R84" s="100">
        <v>14.993</v>
      </c>
      <c r="S84" s="21">
        <v>0.81200000000000006</v>
      </c>
      <c r="T84" s="97">
        <v>152.84</v>
      </c>
      <c r="U84" s="197"/>
      <c r="V84" s="110">
        <v>44.057000000000002</v>
      </c>
      <c r="W84" s="373">
        <f>SUM(R84:V84)</f>
        <v>212.702</v>
      </c>
      <c r="X84" s="53"/>
      <c r="Y84" s="917">
        <v>1268.088</v>
      </c>
      <c r="Z84" s="900">
        <f t="shared" si="20"/>
        <v>114.5319431680694</v>
      </c>
      <c r="AA84" s="901">
        <f t="shared" si="21"/>
        <v>119.76980857994789</v>
      </c>
      <c r="AB84" s="915">
        <v>109.34699999999999</v>
      </c>
      <c r="AC84" s="2213">
        <f t="shared" si="19"/>
        <v>9.5318651448580191E-2</v>
      </c>
      <c r="AD84" s="2110"/>
      <c r="AE84" s="2240">
        <f>IF(ISERROR(F83+F84/(F83+F84/1000*invanare)),"",(SUM(Motpart!D33,Motpart!D35,Motpart!D37,Motpart!F33,Motpart!F35,Motpart!F37)/(AA83/100000*invanare)))</f>
        <v>20.012868668565652</v>
      </c>
      <c r="AF84" s="2263">
        <v>1212.633</v>
      </c>
      <c r="AG84" s="2252">
        <v>1167.5260000000001</v>
      </c>
      <c r="AH84" s="1706">
        <f>W84-V84-SUM(IFO!G33:G34)</f>
        <v>55.455999999999989</v>
      </c>
    </row>
    <row r="85" spans="1:34" ht="13.5" thickBot="1">
      <c r="A85" s="1924" t="s">
        <v>343</v>
      </c>
      <c r="B85" s="796" t="s">
        <v>107</v>
      </c>
      <c r="C85" s="345">
        <f t="shared" ref="C85:J85" si="24">SUM(C70:C71,C77,C83,C84)</f>
        <v>129266.091</v>
      </c>
      <c r="D85" s="346">
        <f t="shared" si="24"/>
        <v>58975.03</v>
      </c>
      <c r="E85" s="342">
        <f t="shared" si="24"/>
        <v>8025.1050000000005</v>
      </c>
      <c r="F85" s="345">
        <f t="shared" si="24"/>
        <v>63471.133000000002</v>
      </c>
      <c r="G85" s="345">
        <f t="shared" si="24"/>
        <v>15155.489999999998</v>
      </c>
      <c r="H85" s="346">
        <f t="shared" si="24"/>
        <v>18300.507000000001</v>
      </c>
      <c r="I85" s="345">
        <f t="shared" si="24"/>
        <v>8289.8599999999988</v>
      </c>
      <c r="J85" s="347">
        <f t="shared" si="24"/>
        <v>2089.6610000000001</v>
      </c>
      <c r="K85" s="141"/>
      <c r="L85" s="348">
        <f>SUM(L70:L71,L77,L83,L84)</f>
        <v>12857.786</v>
      </c>
      <c r="M85" s="345">
        <f>SUM(M70:M71,M77,M83,M84)</f>
        <v>32473.857</v>
      </c>
      <c r="N85" s="346">
        <f>SUM(N70:N71,N77,N83,N84)</f>
        <v>844.2</v>
      </c>
      <c r="O85" s="346">
        <f>SUM(O70:O71,O77,O83,O84)</f>
        <v>9477.0362160501936</v>
      </c>
      <c r="P85" s="347">
        <f>SUM(P70:P71,P77,P83,P84)</f>
        <v>359212.40199999989</v>
      </c>
      <c r="Q85" s="46"/>
      <c r="R85" s="348">
        <f>SUM(R70:R71,R77,R83,R84)</f>
        <v>8175.5820000000003</v>
      </c>
      <c r="S85" s="345">
        <f>SUM(S70:S71,S77,S83,S84)</f>
        <v>7541.8790000000008</v>
      </c>
      <c r="T85" s="347">
        <f>SUM(T70:T71,T77,T83,T84)</f>
        <v>25178.144999999997</v>
      </c>
      <c r="U85" s="46"/>
      <c r="V85" s="375">
        <f>SUM(V70:V71,V77,V83,V84)</f>
        <v>24464.046000000002</v>
      </c>
      <c r="W85" s="374">
        <f>SUM(W70:W71,W77,W83,W84)</f>
        <v>65359.652000000002</v>
      </c>
      <c r="X85" s="53"/>
      <c r="Y85" s="1387">
        <v>333322.223</v>
      </c>
      <c r="Z85" s="902"/>
      <c r="AA85" s="903"/>
      <c r="AB85" s="904"/>
      <c r="AC85" s="2216"/>
      <c r="AD85" s="2110"/>
      <c r="AE85" s="2246">
        <f>IF(ISERROR((F83)/((F83)/1000*invanare)),"",SUM(AA77,AA83)*100/AA90)</f>
        <v>39.637553106809115</v>
      </c>
      <c r="AF85" s="2264">
        <v>293852.77399999998</v>
      </c>
      <c r="AG85" s="2253">
        <v>252976.74100000001</v>
      </c>
      <c r="AH85" s="1708">
        <f>SUM(AH70,AH71,AH77,AH83,AH84)</f>
        <v>39469.453999999998</v>
      </c>
    </row>
    <row r="86" spans="1:34" ht="40.5" customHeight="1" thickBot="1">
      <c r="A86" s="1933"/>
      <c r="B86" s="800" t="s">
        <v>108</v>
      </c>
      <c r="C86" s="414"/>
      <c r="D86" s="413"/>
      <c r="E86" s="411"/>
      <c r="F86" s="411"/>
      <c r="G86" s="411"/>
      <c r="H86" s="413"/>
      <c r="I86" s="411"/>
      <c r="J86" s="412"/>
      <c r="K86" s="29"/>
      <c r="L86" s="410"/>
      <c r="M86" s="411"/>
      <c r="N86" s="413"/>
      <c r="O86" s="413"/>
      <c r="P86" s="412"/>
      <c r="Q86" s="47"/>
      <c r="R86" s="410"/>
      <c r="S86" s="411"/>
      <c r="T86" s="412"/>
      <c r="U86" s="47"/>
      <c r="V86" s="408"/>
      <c r="W86" s="409"/>
      <c r="X86" s="29"/>
      <c r="Y86" s="1521" t="s">
        <v>911</v>
      </c>
      <c r="Z86" s="2572"/>
      <c r="AA86" s="2570"/>
      <c r="AB86" s="2570"/>
      <c r="AC86" s="2571"/>
      <c r="AD86" s="2110"/>
      <c r="AE86" s="2247">
        <f>IF(ISERROR((F83)/((F83)/1000*invanare)),"",(F83/((AA83-AA84)/100000*invanare)))</f>
        <v>23.967403099440642</v>
      </c>
      <c r="AF86" s="2265"/>
      <c r="AG86" s="2254"/>
      <c r="AH86" s="1707"/>
    </row>
    <row r="87" spans="1:34">
      <c r="A87" s="1913" t="s">
        <v>251</v>
      </c>
      <c r="B87" s="793" t="s">
        <v>110</v>
      </c>
      <c r="C87" s="18">
        <v>915.423</v>
      </c>
      <c r="D87" s="19">
        <v>401.24400000000003</v>
      </c>
      <c r="E87" s="18">
        <v>61.31</v>
      </c>
      <c r="F87" s="18">
        <v>252.14699999999999</v>
      </c>
      <c r="G87" s="18">
        <v>244.00700000000001</v>
      </c>
      <c r="H87" s="19">
        <v>423.50900000000001</v>
      </c>
      <c r="I87" s="18">
        <v>652.30899999999997</v>
      </c>
      <c r="J87" s="96">
        <v>12.263999999999999</v>
      </c>
      <c r="K87" s="29"/>
      <c r="L87" s="99">
        <v>426.59100000000001</v>
      </c>
      <c r="M87" s="18">
        <v>226.458</v>
      </c>
      <c r="N87" s="19">
        <v>15.496</v>
      </c>
      <c r="O87" s="339">
        <v>110.292</v>
      </c>
      <c r="P87" s="338">
        <f>SUM(C87:O87)</f>
        <v>3741.0499999999997</v>
      </c>
      <c r="Q87" s="46"/>
      <c r="R87" s="99">
        <v>3.5459999999999998</v>
      </c>
      <c r="S87" s="18">
        <v>222.37200000000001</v>
      </c>
      <c r="T87" s="96">
        <v>3603.9319999999998</v>
      </c>
      <c r="U87" s="47"/>
      <c r="V87" s="109">
        <v>125.354</v>
      </c>
      <c r="W87" s="373">
        <f>SUM(R87:V87)</f>
        <v>3955.2039999999997</v>
      </c>
      <c r="X87" s="53"/>
      <c r="Y87" s="897">
        <v>3571.808</v>
      </c>
      <c r="Z87" s="900">
        <f>(P87-W87)*1000/invanare</f>
        <v>-20.226659022583732</v>
      </c>
      <c r="AA87" s="901">
        <f>Y87*1000/invanare</f>
        <v>337.35415873687515</v>
      </c>
      <c r="AB87" s="923">
        <v>387.12</v>
      </c>
      <c r="AC87" s="2214">
        <f>IF(ISERROR((AA87-AB87)/AB87)," ",((AA87-AB87)/AB87))</f>
        <v>-0.12855404335380466</v>
      </c>
      <c r="AD87" s="2110"/>
      <c r="AE87" s="2240"/>
      <c r="AF87" s="2263">
        <v>-214.15299999999999</v>
      </c>
      <c r="AG87" s="2252">
        <v>2940.0410000000002</v>
      </c>
      <c r="AH87" s="1706">
        <f>W87-V87-SUM(Motpart!Y38:Z38)</f>
        <v>3785.9569999999999</v>
      </c>
    </row>
    <row r="88" spans="1:34">
      <c r="A88" s="1913" t="s">
        <v>252</v>
      </c>
      <c r="B88" s="791" t="s">
        <v>111</v>
      </c>
      <c r="C88" s="21">
        <v>5482.951</v>
      </c>
      <c r="D88" s="19">
        <v>2517.7570000000001</v>
      </c>
      <c r="E88" s="21">
        <v>273.21199999999999</v>
      </c>
      <c r="F88" s="21">
        <v>187.82400000000001</v>
      </c>
      <c r="G88" s="21">
        <v>466.678</v>
      </c>
      <c r="H88" s="22">
        <v>175.90899999999999</v>
      </c>
      <c r="I88" s="21">
        <v>277.27300000000002</v>
      </c>
      <c r="J88" s="97">
        <v>40.033000000000001</v>
      </c>
      <c r="K88" s="29"/>
      <c r="L88" s="100">
        <v>306.60300000000001</v>
      </c>
      <c r="M88" s="21">
        <v>584.78700000000003</v>
      </c>
      <c r="N88" s="22">
        <v>35.426000000000002</v>
      </c>
      <c r="O88" s="339">
        <v>353.46899999999999</v>
      </c>
      <c r="P88" s="338">
        <f>SUM(C88:O88)</f>
        <v>10701.921999999997</v>
      </c>
      <c r="Q88" s="46"/>
      <c r="R88" s="100">
        <v>17.753</v>
      </c>
      <c r="S88" s="21">
        <v>40.823999999999998</v>
      </c>
      <c r="T88" s="97">
        <v>3282.2919999999999</v>
      </c>
      <c r="U88" s="47"/>
      <c r="V88" s="110">
        <v>664.55100000000004</v>
      </c>
      <c r="W88" s="373">
        <f>SUM(R88:V88)</f>
        <v>4005.4199999999996</v>
      </c>
      <c r="X88" s="53"/>
      <c r="Y88" s="1519">
        <v>9978.8119999999999</v>
      </c>
      <c r="Z88" s="900">
        <f>(P88-W88)*1000/invanare</f>
        <v>632.47878908659175</v>
      </c>
      <c r="AA88" s="901">
        <f>Y88*1000/invanare</f>
        <v>942.49011353729941</v>
      </c>
      <c r="AB88" s="923">
        <v>920.61099999999999</v>
      </c>
      <c r="AC88" s="2214">
        <f>IF(ISERROR((AA88-AB88)/AB88)," ",((AA88-AB88)/AB88))</f>
        <v>2.3765861517296032E-2</v>
      </c>
      <c r="AD88" s="2110"/>
      <c r="AE88" s="2240"/>
      <c r="AF88" s="2263">
        <v>6696.5</v>
      </c>
      <c r="AG88" s="2252">
        <v>9673.6360000000004</v>
      </c>
      <c r="AH88" s="1706">
        <f>W88-V88-SUM(Motpart!Y39:Z39)</f>
        <v>3282.3129999999996</v>
      </c>
    </row>
    <row r="89" spans="1:34" ht="12.75" customHeight="1" thickBot="1">
      <c r="A89" s="1924" t="s">
        <v>253</v>
      </c>
      <c r="B89" s="796" t="s">
        <v>112</v>
      </c>
      <c r="C89" s="351">
        <f>SUM(C87:C88)</f>
        <v>6398.3739999999998</v>
      </c>
      <c r="D89" s="352">
        <f t="shared" ref="D89:P89" si="25">SUM(D87:D88)</f>
        <v>2919.0010000000002</v>
      </c>
      <c r="E89" s="351">
        <f t="shared" si="25"/>
        <v>334.52199999999999</v>
      </c>
      <c r="F89" s="351">
        <f t="shared" si="25"/>
        <v>439.971</v>
      </c>
      <c r="G89" s="351">
        <f t="shared" si="25"/>
        <v>710.68499999999995</v>
      </c>
      <c r="H89" s="352">
        <f t="shared" si="25"/>
        <v>599.41800000000001</v>
      </c>
      <c r="I89" s="351">
        <f t="shared" si="25"/>
        <v>929.58199999999999</v>
      </c>
      <c r="J89" s="353">
        <f t="shared" si="25"/>
        <v>52.296999999999997</v>
      </c>
      <c r="K89" s="142"/>
      <c r="L89" s="350">
        <f>SUM(L87:L88)</f>
        <v>733.19399999999996</v>
      </c>
      <c r="M89" s="351">
        <f t="shared" si="25"/>
        <v>811.245</v>
      </c>
      <c r="N89" s="352">
        <f t="shared" si="25"/>
        <v>50.922000000000004</v>
      </c>
      <c r="O89" s="352">
        <f t="shared" si="25"/>
        <v>463.76099999999997</v>
      </c>
      <c r="P89" s="353">
        <f t="shared" si="25"/>
        <v>14442.971999999996</v>
      </c>
      <c r="Q89" s="49"/>
      <c r="R89" s="350">
        <f>SUM(R87:R88)</f>
        <v>21.298999999999999</v>
      </c>
      <c r="S89" s="351">
        <f>SUM(S87:S88)</f>
        <v>263.19600000000003</v>
      </c>
      <c r="T89" s="353">
        <f>SUM(T87:T88)</f>
        <v>6886.2240000000002</v>
      </c>
      <c r="U89" s="49"/>
      <c r="V89" s="377">
        <f>SUM(V87:V88)</f>
        <v>789.90500000000009</v>
      </c>
      <c r="W89" s="376">
        <f>SUM(W87:W88)</f>
        <v>7960.6239999999998</v>
      </c>
      <c r="X89" s="54"/>
      <c r="Y89" s="1519">
        <v>13550.623</v>
      </c>
      <c r="Z89" s="925">
        <f>(P89-W89)*1000/invanare</f>
        <v>612.25213006400793</v>
      </c>
      <c r="AA89" s="926">
        <f>Y89*1000/invanare</f>
        <v>1279.8445556215652</v>
      </c>
      <c r="AB89" s="898">
        <v>1307.731</v>
      </c>
      <c r="AC89" s="2226">
        <f>IF(ISERROR((AA89-AB89)/AB89)," ",((AA89-AB89)/AB89))</f>
        <v>-2.1324297105776966E-2</v>
      </c>
      <c r="AD89" s="2110"/>
      <c r="AE89" s="2240"/>
      <c r="AF89" s="2270">
        <v>6482.3530000000001</v>
      </c>
      <c r="AG89" s="2257">
        <v>12613.682000000001</v>
      </c>
      <c r="AH89" s="1711">
        <f>W89-V89-SUM(Motpart!Y38:Z39)</f>
        <v>7068.27</v>
      </c>
    </row>
    <row r="90" spans="1:34" ht="12.75" customHeight="1" thickBot="1">
      <c r="A90" s="1924" t="s">
        <v>254</v>
      </c>
      <c r="B90" s="796" t="s">
        <v>20</v>
      </c>
      <c r="C90" s="345">
        <f t="shared" ref="C90:J90" si="26">SUM(C17,C30,C43,C68,C85,C89)</f>
        <v>301706.00599999999</v>
      </c>
      <c r="D90" s="346">
        <f t="shared" si="26"/>
        <v>138158.50999999998</v>
      </c>
      <c r="E90" s="345">
        <f t="shared" si="26"/>
        <v>28650.754000000001</v>
      </c>
      <c r="F90" s="345">
        <f t="shared" si="26"/>
        <v>159179.27299999999</v>
      </c>
      <c r="G90" s="345">
        <f t="shared" si="26"/>
        <v>46638.900999999998</v>
      </c>
      <c r="H90" s="346">
        <f t="shared" si="26"/>
        <v>28782.722000000005</v>
      </c>
      <c r="I90" s="345">
        <f t="shared" si="26"/>
        <v>23858.421999999999</v>
      </c>
      <c r="J90" s="347">
        <f t="shared" si="26"/>
        <v>20748.771999999997</v>
      </c>
      <c r="K90" s="141"/>
      <c r="L90" s="348">
        <f>SUM(L17,L30,L43,L68,L85,L89)</f>
        <v>52172.176999999996</v>
      </c>
      <c r="M90" s="345">
        <f>SUM(M17,M30,M43,M68,M85,M89)</f>
        <v>97294.407000000007</v>
      </c>
      <c r="N90" s="346">
        <f>SUM(N17,N30,N43,N68,N85,N89)</f>
        <v>2361.1320000000001</v>
      </c>
      <c r="O90" s="346">
        <f>SUM(O17,O30,O43,O68,O85,O89)</f>
        <v>25058.529216050192</v>
      </c>
      <c r="P90" s="347">
        <f>SUM(P17,P30,P43,P68,P85,P89)</f>
        <v>924596.25099999981</v>
      </c>
      <c r="Q90" s="46"/>
      <c r="R90" s="348">
        <f>SUM(R17,R30,R43,R68,R85,R89)</f>
        <v>28712.248999999996</v>
      </c>
      <c r="S90" s="345">
        <f>SUM(S17,S30,S43,S68,S85,S89)</f>
        <v>8890.4000000000015</v>
      </c>
      <c r="T90" s="347">
        <f>SUM(T17,T30,T43,T68,T85,T89)</f>
        <v>87318.714999999997</v>
      </c>
      <c r="U90" s="46"/>
      <c r="V90" s="375">
        <f>SUM(V17,V30,V43,V68,V85,V89)</f>
        <v>73301.205000000016</v>
      </c>
      <c r="W90" s="374">
        <f>SUM(W17,W30,W43,W68,W85,W89)</f>
        <v>198222.56899999999</v>
      </c>
      <c r="X90" s="53"/>
      <c r="Y90" s="924">
        <v>836174.55</v>
      </c>
      <c r="Z90" s="925">
        <f>(P90-W90)*1000/invanare</f>
        <v>68605.362443814563</v>
      </c>
      <c r="AA90" s="926">
        <f>SUM(AA17,AA30,AA37,AA42,AA51,AA67,AA77,AA83,AA89)</f>
        <v>78681.310595020084</v>
      </c>
      <c r="AB90" s="898">
        <v>74985.119999999995</v>
      </c>
      <c r="AC90" s="2226">
        <f>IF(ISERROR((AA90-AB90)/AB90)," ",((AA90-AB90)/AB90))</f>
        <v>4.9292320863393822E-2</v>
      </c>
      <c r="AD90" s="2110"/>
      <c r="AE90" s="2248">
        <f>IF(ISERROR(F90/(AA90/1000*invanare)),"",(F90/(AA90/100000*invanare)))</f>
        <v>19.107897113513044</v>
      </c>
      <c r="AF90" s="2271">
        <v>726373.81400000001</v>
      </c>
      <c r="AG90" s="2258">
        <v>663333.18099999998</v>
      </c>
      <c r="AH90" s="1712">
        <f>SUM(AH17,AH30,AH43,AH51,AH67,AH85,AH89)</f>
        <v>109800.74099999997</v>
      </c>
    </row>
    <row r="91" spans="1:34" ht="38.25" customHeight="1" thickBot="1">
      <c r="A91" s="1928"/>
      <c r="B91" s="797" t="s">
        <v>113</v>
      </c>
      <c r="C91" s="418"/>
      <c r="D91" s="419"/>
      <c r="E91" s="420"/>
      <c r="F91" s="420"/>
      <c r="G91" s="420"/>
      <c r="H91" s="419"/>
      <c r="I91" s="420"/>
      <c r="J91" s="421"/>
      <c r="K91" s="29"/>
      <c r="L91" s="426"/>
      <c r="M91" s="420"/>
      <c r="N91" s="419"/>
      <c r="O91" s="419"/>
      <c r="P91" s="421"/>
      <c r="Q91" s="47"/>
      <c r="R91" s="426"/>
      <c r="S91" s="420"/>
      <c r="T91" s="421"/>
      <c r="U91" s="47"/>
      <c r="V91" s="428"/>
      <c r="W91" s="429"/>
      <c r="X91" s="29"/>
      <c r="Y91" s="1521" t="s">
        <v>914</v>
      </c>
      <c r="Z91" s="2572"/>
      <c r="AA91" s="2570"/>
      <c r="AB91" s="2570"/>
      <c r="AC91" s="2571"/>
      <c r="AD91" s="2110"/>
      <c r="AE91" s="2240">
        <f>IF(ISERROR(F90/(AA90/1000*invanare)),"",((SUM(Motpart!D42,Motpart!F42)-SUM(Motpart!D40,Motpart!D41,Motpart!F40,Motpart!F41))/(AA90/100000*invanare)))</f>
        <v>15.170738945501361</v>
      </c>
      <c r="AF91" s="2266"/>
      <c r="AG91" s="2255"/>
      <c r="AH91" s="1709"/>
    </row>
    <row r="92" spans="1:34">
      <c r="A92" s="1928"/>
      <c r="B92" s="797" t="s">
        <v>114</v>
      </c>
      <c r="C92" s="422"/>
      <c r="D92" s="423"/>
      <c r="E92" s="424"/>
      <c r="F92" s="424"/>
      <c r="G92" s="424"/>
      <c r="H92" s="423"/>
      <c r="I92" s="424"/>
      <c r="J92" s="425"/>
      <c r="K92" s="29"/>
      <c r="L92" s="427"/>
      <c r="M92" s="424"/>
      <c r="N92" s="423"/>
      <c r="O92" s="423"/>
      <c r="P92" s="425"/>
      <c r="Q92" s="47"/>
      <c r="R92" s="427"/>
      <c r="S92" s="424"/>
      <c r="T92" s="425"/>
      <c r="U92" s="47"/>
      <c r="V92" s="430"/>
      <c r="W92" s="431"/>
      <c r="X92" s="29"/>
      <c r="Y92" s="1384"/>
      <c r="Z92" s="893"/>
      <c r="AA92" s="893"/>
      <c r="AB92" s="894"/>
      <c r="AC92" s="2211"/>
      <c r="AD92" s="2110"/>
      <c r="AE92" s="2243">
        <f>(C113-C109+D113-D109)*1000/invanare</f>
        <v>45270.162669736899</v>
      </c>
      <c r="AF92" s="2269"/>
      <c r="AG92" s="2256"/>
      <c r="AH92" s="1710"/>
    </row>
    <row r="93" spans="1:34" s="497" customFormat="1">
      <c r="A93" s="1934" t="s">
        <v>255</v>
      </c>
      <c r="B93" s="806" t="s">
        <v>115</v>
      </c>
      <c r="C93" s="62">
        <v>134.96100000000001</v>
      </c>
      <c r="D93" s="1277">
        <v>89.620999999999995</v>
      </c>
      <c r="E93" s="62">
        <v>425.72899999999998</v>
      </c>
      <c r="F93" s="62">
        <v>34.817999999999998</v>
      </c>
      <c r="G93" s="62">
        <v>311.81400000000002</v>
      </c>
      <c r="H93" s="1277">
        <v>11.602</v>
      </c>
      <c r="I93" s="62">
        <v>211.375</v>
      </c>
      <c r="J93" s="95">
        <v>396.23700000000002</v>
      </c>
      <c r="K93" s="493"/>
      <c r="L93" s="404">
        <v>108.916</v>
      </c>
      <c r="M93" s="62">
        <v>140.375</v>
      </c>
      <c r="N93" s="1277">
        <v>1.1870000000000001</v>
      </c>
      <c r="O93" s="1278">
        <v>54.197000000000003</v>
      </c>
      <c r="P93" s="402">
        <f>SUM(C93:O93)</f>
        <v>1920.8319999999999</v>
      </c>
      <c r="Q93" s="494"/>
      <c r="R93" s="404">
        <v>21.503</v>
      </c>
      <c r="S93" s="62">
        <v>786.84699999999998</v>
      </c>
      <c r="T93" s="95">
        <v>2206.6759999999999</v>
      </c>
      <c r="U93" s="495"/>
      <c r="V93" s="1279">
        <v>341.68900000000002</v>
      </c>
      <c r="W93" s="1280">
        <f>SUM(R93:V93)</f>
        <v>3356.7149999999997</v>
      </c>
      <c r="X93" s="496"/>
      <c r="Y93" s="897">
        <v>1573.652</v>
      </c>
      <c r="Z93" s="927"/>
      <c r="AA93" s="928"/>
      <c r="AB93" s="928"/>
      <c r="AC93" s="2227"/>
      <c r="AD93" s="2110"/>
      <c r="AE93" s="2249">
        <f>IF(ISERROR(F90/(AA90/1000*invanare)),"",AE92*invanare/10/(P125-P109+J109))</f>
        <v>57.027900578762321</v>
      </c>
      <c r="AF93" s="2263">
        <v>-1435.883</v>
      </c>
      <c r="AG93" s="2252">
        <v>1532.7239999999999</v>
      </c>
      <c r="AH93" s="1706">
        <f>W93-V93-(IF(AND(Motpart!$Y$40="",Motpart!$Z$40=""),0,IF(AND(Motpart!$Y$40=0,Motpart!$Z$40=0),0,((T93/$T$109)*(Motpart!$Y$40+Motpart!$Z$40)))))</f>
        <v>2972.6154197571805</v>
      </c>
    </row>
    <row r="94" spans="1:34">
      <c r="A94" s="1913" t="s">
        <v>256</v>
      </c>
      <c r="B94" s="791" t="s">
        <v>21</v>
      </c>
      <c r="C94" s="21">
        <v>36.28</v>
      </c>
      <c r="D94" s="19">
        <v>16.047999999999998</v>
      </c>
      <c r="E94" s="21">
        <v>65.158000000000001</v>
      </c>
      <c r="F94" s="21">
        <v>24.683</v>
      </c>
      <c r="G94" s="21">
        <v>44.963999999999999</v>
      </c>
      <c r="H94" s="22">
        <v>0.19500000000000001</v>
      </c>
      <c r="I94" s="21">
        <v>2.907</v>
      </c>
      <c r="J94" s="97">
        <v>455.79500000000002</v>
      </c>
      <c r="K94" s="29"/>
      <c r="L94" s="100">
        <v>4.0369999999999999</v>
      </c>
      <c r="M94" s="21">
        <v>26.087</v>
      </c>
      <c r="N94" s="22">
        <v>5.6000000000000001E-2</v>
      </c>
      <c r="O94" s="339">
        <v>18.138000000000002</v>
      </c>
      <c r="P94" s="338">
        <f>SUM(C94:O94)</f>
        <v>694.34800000000007</v>
      </c>
      <c r="Q94" s="46"/>
      <c r="R94" s="100">
        <v>162.13999999999999</v>
      </c>
      <c r="S94" s="21">
        <v>27.925999999999998</v>
      </c>
      <c r="T94" s="97">
        <v>441.14</v>
      </c>
      <c r="U94" s="47"/>
      <c r="V94" s="110">
        <v>9.6069999999999993</v>
      </c>
      <c r="W94" s="373">
        <f>SUM(R94:V94)</f>
        <v>640.81299999999987</v>
      </c>
      <c r="X94" s="53"/>
      <c r="Y94" s="897">
        <v>667.99699999999996</v>
      </c>
      <c r="Z94" s="920"/>
      <c r="AA94" s="921"/>
      <c r="AB94" s="922"/>
      <c r="AC94" s="2228"/>
      <c r="AD94" s="2110"/>
      <c r="AE94" s="2240"/>
      <c r="AF94" s="2263">
        <v>53.534999999999997</v>
      </c>
      <c r="AG94" s="2252">
        <v>659.86300000000006</v>
      </c>
      <c r="AH94" s="1706">
        <f>W94-V94-(IF(AND(Motpart!$Y$40="",Motpart!$Z$40=""),0,IF(AND(Motpart!$Y$40=0,Motpart!$Z$40=0),0,((T94/$T$109)*(Motpart!$Y$40+Motpart!$Z$40)))))</f>
        <v>622.72763554218318</v>
      </c>
    </row>
    <row r="95" spans="1:34">
      <c r="A95" s="1913" t="s">
        <v>257</v>
      </c>
      <c r="B95" s="791" t="s">
        <v>22</v>
      </c>
      <c r="C95" s="21">
        <v>277.12200000000001</v>
      </c>
      <c r="D95" s="19">
        <v>122.738</v>
      </c>
      <c r="E95" s="21">
        <v>315.59500000000003</v>
      </c>
      <c r="F95" s="21">
        <v>81.290000000000006</v>
      </c>
      <c r="G95" s="21">
        <v>412.101</v>
      </c>
      <c r="H95" s="22">
        <v>28.327999999999999</v>
      </c>
      <c r="I95" s="21">
        <v>63.975000000000001</v>
      </c>
      <c r="J95" s="97">
        <v>422.63299999999998</v>
      </c>
      <c r="K95" s="29"/>
      <c r="L95" s="100">
        <v>38.801000000000002</v>
      </c>
      <c r="M95" s="21">
        <v>150.67099999999999</v>
      </c>
      <c r="N95" s="22">
        <v>5.1349999999999998</v>
      </c>
      <c r="O95" s="339">
        <v>47.908000000000001</v>
      </c>
      <c r="P95" s="338">
        <f>SUM(C95:O95)</f>
        <v>1966.2969999999998</v>
      </c>
      <c r="Q95" s="46"/>
      <c r="R95" s="100">
        <v>210.946</v>
      </c>
      <c r="S95" s="21">
        <v>292.42200000000003</v>
      </c>
      <c r="T95" s="97">
        <v>1681.481</v>
      </c>
      <c r="U95" s="47"/>
      <c r="V95" s="110">
        <v>483.40199999999999</v>
      </c>
      <c r="W95" s="373">
        <f>SUM(R95:V95)</f>
        <v>2668.2510000000002</v>
      </c>
      <c r="X95" s="53"/>
      <c r="Y95" s="897">
        <v>1441.2370000000001</v>
      </c>
      <c r="Z95" s="920"/>
      <c r="AA95" s="921"/>
      <c r="AB95" s="922"/>
      <c r="AC95" s="2228"/>
      <c r="AD95" s="2110"/>
      <c r="AE95" s="2240"/>
      <c r="AF95" s="2263">
        <v>-701.95</v>
      </c>
      <c r="AG95" s="2252">
        <v>1373.28</v>
      </c>
      <c r="AH95" s="1706">
        <f>W95-V95-(IF(AND(Motpart!$Y$40="",Motpart!$Z$40=""),0,IF(AND(Motpart!$Y$40=0,Motpart!$Z$40=0),0,((T95/$T$109)*(Motpart!$Y$40+Motpart!$Z$40)))))</f>
        <v>2152.5322553228134</v>
      </c>
    </row>
    <row r="96" spans="1:34">
      <c r="A96" s="1913" t="s">
        <v>258</v>
      </c>
      <c r="B96" s="791" t="s">
        <v>23</v>
      </c>
      <c r="C96" s="21">
        <v>214.54</v>
      </c>
      <c r="D96" s="19">
        <v>112.828</v>
      </c>
      <c r="E96" s="21">
        <v>538.21699999999998</v>
      </c>
      <c r="F96" s="21">
        <v>6.28</v>
      </c>
      <c r="G96" s="21">
        <v>365.988</v>
      </c>
      <c r="H96" s="22">
        <v>29.321999999999999</v>
      </c>
      <c r="I96" s="21">
        <v>481.00400000000002</v>
      </c>
      <c r="J96" s="97">
        <v>2542.623</v>
      </c>
      <c r="K96" s="29"/>
      <c r="L96" s="100">
        <v>72.39</v>
      </c>
      <c r="M96" s="21">
        <v>208.208</v>
      </c>
      <c r="N96" s="22">
        <v>1.9339999999999999</v>
      </c>
      <c r="O96" s="339">
        <v>216.577</v>
      </c>
      <c r="P96" s="338">
        <f>SUM(C96:O96)</f>
        <v>4789.9110000000001</v>
      </c>
      <c r="Q96" s="46"/>
      <c r="R96" s="100">
        <v>9.8279999999999994</v>
      </c>
      <c r="S96" s="21">
        <v>641.56399999999996</v>
      </c>
      <c r="T96" s="97">
        <v>2790.5030000000002</v>
      </c>
      <c r="U96" s="47"/>
      <c r="V96" s="110">
        <v>304.577</v>
      </c>
      <c r="W96" s="373">
        <f>SUM(R96:V96)</f>
        <v>3746.4719999999998</v>
      </c>
      <c r="X96" s="53"/>
      <c r="Y96" s="897">
        <v>4464.1769999999997</v>
      </c>
      <c r="Z96" s="920"/>
      <c r="AA96" s="921"/>
      <c r="AB96" s="922"/>
      <c r="AC96" s="2228"/>
      <c r="AD96" s="2110"/>
      <c r="AE96" s="2240"/>
      <c r="AF96" s="2263">
        <v>1043.4390000000001</v>
      </c>
      <c r="AG96" s="2252">
        <v>4449.732</v>
      </c>
      <c r="AH96" s="1706">
        <f>W96-V96-(IF(AND(Motpart!$Y$40="",Motpart!$Z$40=""),0,IF(AND(Motpart!$Y$40=0,Motpart!$Z$40=0),0,((T96/$T$109)*(Motpart!$Y$40+Motpart!$Z$40)))))</f>
        <v>3388.2637231839522</v>
      </c>
    </row>
    <row r="97" spans="1:34">
      <c r="A97" s="1913" t="s">
        <v>259</v>
      </c>
      <c r="B97" s="791" t="s">
        <v>24</v>
      </c>
      <c r="C97" s="334">
        <f>SUM(C93:C96)</f>
        <v>662.90300000000002</v>
      </c>
      <c r="D97" s="24">
        <f t="shared" ref="D97:P97" si="27">SUM(D93:D96)</f>
        <v>341.23500000000001</v>
      </c>
      <c r="E97" s="334">
        <f t="shared" si="27"/>
        <v>1344.6990000000001</v>
      </c>
      <c r="F97" s="334">
        <f t="shared" si="27"/>
        <v>147.071</v>
      </c>
      <c r="G97" s="334">
        <f t="shared" si="27"/>
        <v>1134.867</v>
      </c>
      <c r="H97" s="24">
        <f t="shared" si="27"/>
        <v>69.447000000000003</v>
      </c>
      <c r="I97" s="334">
        <f t="shared" si="27"/>
        <v>759.26099999999997</v>
      </c>
      <c r="J97" s="101">
        <f t="shared" si="27"/>
        <v>3817.288</v>
      </c>
      <c r="K97" s="141"/>
      <c r="L97" s="340">
        <f>SUM(L93:L96)</f>
        <v>224.14400000000001</v>
      </c>
      <c r="M97" s="334">
        <f t="shared" si="27"/>
        <v>525.34100000000001</v>
      </c>
      <c r="N97" s="24">
        <f t="shared" si="27"/>
        <v>8.3119999999999994</v>
      </c>
      <c r="O97" s="24">
        <f t="shared" si="27"/>
        <v>336.82</v>
      </c>
      <c r="P97" s="101">
        <f t="shared" si="27"/>
        <v>9371.387999999999</v>
      </c>
      <c r="Q97" s="46"/>
      <c r="R97" s="340">
        <f>SUM(R93:R96)</f>
        <v>404.41699999999992</v>
      </c>
      <c r="S97" s="334">
        <f>SUM(S93:S96)</f>
        <v>1748.759</v>
      </c>
      <c r="T97" s="101">
        <f>SUM(T93:T96)</f>
        <v>7119.7999999999993</v>
      </c>
      <c r="U97" s="47"/>
      <c r="V97" s="113">
        <f>SUM(V93:V96)</f>
        <v>1139.2750000000001</v>
      </c>
      <c r="W97" s="114">
        <f>SUM(W93:W96)</f>
        <v>10412.251</v>
      </c>
      <c r="X97" s="53"/>
      <c r="Y97" s="897">
        <v>8147.07</v>
      </c>
      <c r="Z97" s="920"/>
      <c r="AA97" s="921"/>
      <c r="AB97" s="922"/>
      <c r="AC97" s="2228"/>
      <c r="AD97" s="2110"/>
      <c r="AE97" s="2240"/>
      <c r="AF97" s="2263">
        <v>-1040.8499999999999</v>
      </c>
      <c r="AG97" s="2252">
        <v>8015.6090000000004</v>
      </c>
      <c r="AH97" s="1706">
        <f>SUM(AH93:AH96)</f>
        <v>9136.1390338061301</v>
      </c>
    </row>
    <row r="98" spans="1:34">
      <c r="A98" s="1933"/>
      <c r="B98" s="800" t="s">
        <v>116</v>
      </c>
      <c r="C98" s="438"/>
      <c r="D98" s="437"/>
      <c r="E98" s="435"/>
      <c r="F98" s="435"/>
      <c r="G98" s="435"/>
      <c r="H98" s="437"/>
      <c r="I98" s="435"/>
      <c r="J98" s="436"/>
      <c r="K98" s="29"/>
      <c r="L98" s="434"/>
      <c r="M98" s="435"/>
      <c r="N98" s="437"/>
      <c r="O98" s="437"/>
      <c r="P98" s="436"/>
      <c r="Q98" s="47"/>
      <c r="R98" s="434"/>
      <c r="S98" s="435"/>
      <c r="T98" s="436"/>
      <c r="U98" s="47"/>
      <c r="V98" s="432"/>
      <c r="W98" s="433"/>
      <c r="X98" s="29"/>
      <c r="Y98" s="897"/>
      <c r="Z98" s="920"/>
      <c r="AA98" s="921"/>
      <c r="AB98" s="922"/>
      <c r="AC98" s="2228"/>
      <c r="AD98" s="2110"/>
      <c r="AE98" s="2240"/>
      <c r="AF98" s="2263"/>
      <c r="AG98" s="2252"/>
      <c r="AH98" s="1706"/>
    </row>
    <row r="99" spans="1:34">
      <c r="A99" s="1913" t="s">
        <v>260</v>
      </c>
      <c r="B99" s="793" t="s">
        <v>117</v>
      </c>
      <c r="C99" s="18">
        <v>26.344999999999999</v>
      </c>
      <c r="D99" s="19">
        <v>12.317</v>
      </c>
      <c r="E99" s="18">
        <v>21.609000000000002</v>
      </c>
      <c r="F99" s="18">
        <v>11.638999999999999</v>
      </c>
      <c r="G99" s="18">
        <v>84.463999999999999</v>
      </c>
      <c r="H99" s="19">
        <v>187.55500000000001</v>
      </c>
      <c r="I99" s="18">
        <v>1.2999999999999999E-2</v>
      </c>
      <c r="J99" s="96">
        <v>32.954999999999998</v>
      </c>
      <c r="K99" s="29"/>
      <c r="L99" s="99">
        <v>1.6930000000000001</v>
      </c>
      <c r="M99" s="18">
        <v>2.4689999999999999</v>
      </c>
      <c r="N99" s="19">
        <v>0</v>
      </c>
      <c r="O99" s="339">
        <v>7.53</v>
      </c>
      <c r="P99" s="338">
        <f>SUM(C99:O99)</f>
        <v>388.58899999999988</v>
      </c>
      <c r="Q99" s="46"/>
      <c r="R99" s="99">
        <v>18.879000000000001</v>
      </c>
      <c r="S99" s="18">
        <v>5.9859999999999998</v>
      </c>
      <c r="T99" s="96">
        <v>119.867</v>
      </c>
      <c r="U99" s="47"/>
      <c r="V99" s="109">
        <v>1.905</v>
      </c>
      <c r="W99" s="373">
        <f>SUM(R99:V99)</f>
        <v>146.637</v>
      </c>
      <c r="X99" s="53"/>
      <c r="Y99" s="897">
        <v>385.25700000000001</v>
      </c>
      <c r="Z99" s="920"/>
      <c r="AA99" s="921"/>
      <c r="AB99" s="922"/>
      <c r="AC99" s="2228"/>
      <c r="AD99" s="2110"/>
      <c r="AE99" s="2240"/>
      <c r="AF99" s="2263">
        <v>241.952</v>
      </c>
      <c r="AG99" s="2252">
        <v>187.49100000000001</v>
      </c>
      <c r="AH99" s="1706">
        <f>W99-V99-(IF(AND(Motpart!$Y$40="",Motpart!$Z$40=""),0,IF(AND(Motpart!$Y$40=0,Motpart!$Z$40=0),0,((T99/$T$109)*(Motpart!$Y$40+Motpart!$Z$40)))))</f>
        <v>142.42825036844286</v>
      </c>
    </row>
    <row r="100" spans="1:34">
      <c r="A100" s="1913" t="s">
        <v>261</v>
      </c>
      <c r="B100" s="799" t="s">
        <v>798</v>
      </c>
      <c r="C100" s="21">
        <v>155.155</v>
      </c>
      <c r="D100" s="19">
        <v>76.09</v>
      </c>
      <c r="E100" s="21">
        <v>82.667000000000002</v>
      </c>
      <c r="F100" s="21">
        <v>1255.385</v>
      </c>
      <c r="G100" s="21">
        <v>341.97399999999999</v>
      </c>
      <c r="H100" s="22">
        <v>957.14</v>
      </c>
      <c r="I100" s="21">
        <v>34.104999999999997</v>
      </c>
      <c r="J100" s="97">
        <v>137.77600000000001</v>
      </c>
      <c r="K100" s="29"/>
      <c r="L100" s="100">
        <v>33.642000000000003</v>
      </c>
      <c r="M100" s="21">
        <v>75.896000000000001</v>
      </c>
      <c r="N100" s="22">
        <v>1.0249999999999999</v>
      </c>
      <c r="O100" s="339">
        <v>29.170999999999999</v>
      </c>
      <c r="P100" s="338">
        <f>SUM(C100:O100)</f>
        <v>3180.0259999999998</v>
      </c>
      <c r="Q100" s="46"/>
      <c r="R100" s="1759">
        <v>71.546999999999997</v>
      </c>
      <c r="S100" s="21">
        <v>3.9420000000000002</v>
      </c>
      <c r="T100" s="97">
        <v>145.33199999999999</v>
      </c>
      <c r="U100" s="47"/>
      <c r="V100" s="110">
        <v>54.302999999999997</v>
      </c>
      <c r="W100" s="373">
        <f>SUM(R100:V100)</f>
        <v>275.12400000000002</v>
      </c>
      <c r="X100" s="53"/>
      <c r="Y100" s="897">
        <v>3125.2660000000001</v>
      </c>
      <c r="Z100" s="929"/>
      <c r="AA100" s="921"/>
      <c r="AB100" s="922"/>
      <c r="AC100" s="2228"/>
      <c r="AD100" s="2110"/>
      <c r="AE100" s="2243"/>
      <c r="AF100" s="2263">
        <v>2904.9009999999998</v>
      </c>
      <c r="AG100" s="2252">
        <v>913.19799999999998</v>
      </c>
      <c r="AH100" s="1706">
        <f>W100-V100-(IF(AND(Motpart!$Y$40="",Motpart!$Z$40=""),0,IF(AND(Motpart!$Y$40=0,Motpart!$Z$40=0),0,((T100/$T$109)*(Motpart!$Y$40+Motpart!$Z$40)))))</f>
        <v>218.02783306119733</v>
      </c>
    </row>
    <row r="101" spans="1:34">
      <c r="A101" s="1913" t="s">
        <v>262</v>
      </c>
      <c r="B101" s="791" t="s">
        <v>25</v>
      </c>
      <c r="C101" s="21">
        <v>18.061</v>
      </c>
      <c r="D101" s="19">
        <v>8.2089999999999996</v>
      </c>
      <c r="E101" s="21">
        <v>3.3879999999999999</v>
      </c>
      <c r="F101" s="21">
        <v>108.89700000000001</v>
      </c>
      <c r="G101" s="21">
        <v>16.131</v>
      </c>
      <c r="H101" s="22">
        <v>19.157</v>
      </c>
      <c r="I101" s="21">
        <v>1.085</v>
      </c>
      <c r="J101" s="97">
        <v>5.3319999999999999</v>
      </c>
      <c r="K101" s="29"/>
      <c r="L101" s="100">
        <v>0.20599999999999999</v>
      </c>
      <c r="M101" s="21">
        <v>1.3360000000000001</v>
      </c>
      <c r="N101" s="22">
        <v>0</v>
      </c>
      <c r="O101" s="339">
        <v>1.8320000000000001</v>
      </c>
      <c r="P101" s="338">
        <f>SUM(C101:O101)</f>
        <v>183.63400000000001</v>
      </c>
      <c r="Q101" s="46"/>
      <c r="R101" s="100">
        <v>41.183999999999997</v>
      </c>
      <c r="S101" s="21">
        <v>0.14399999999999999</v>
      </c>
      <c r="T101" s="97">
        <v>75.135000000000005</v>
      </c>
      <c r="U101" s="47"/>
      <c r="V101" s="110">
        <v>6.3630000000000004</v>
      </c>
      <c r="W101" s="373">
        <f>SUM(R101:V101)</f>
        <v>122.82599999999999</v>
      </c>
      <c r="X101" s="53"/>
      <c r="Y101" s="897">
        <v>176.33799999999999</v>
      </c>
      <c r="Z101" s="920"/>
      <c r="AA101" s="921"/>
      <c r="AB101" s="922"/>
      <c r="AC101" s="2228"/>
      <c r="AD101" s="2110"/>
      <c r="AE101" s="2240"/>
      <c r="AF101" s="2263">
        <v>60.805999999999997</v>
      </c>
      <c r="AG101" s="2252">
        <v>49.215000000000003</v>
      </c>
      <c r="AH101" s="1706">
        <f>W101-V101-(IF(AND(Motpart!$Y$40="",Motpart!$Z$40=""),0,IF(AND(Motpart!$Y$40=0,Motpart!$Z$40=0),0,((T101/$T$109)*(Motpart!$Y$40+Motpart!$Z$40)))))</f>
        <v>115.01896428902828</v>
      </c>
    </row>
    <row r="102" spans="1:34">
      <c r="A102" s="1913" t="s">
        <v>263</v>
      </c>
      <c r="B102" s="791" t="s">
        <v>26</v>
      </c>
      <c r="C102" s="334">
        <f>SUM(C99:C101)</f>
        <v>199.56100000000001</v>
      </c>
      <c r="D102" s="24">
        <f t="shared" ref="D102:P102" si="28">SUM(D99:D101)</f>
        <v>96.616000000000014</v>
      </c>
      <c r="E102" s="334">
        <f t="shared" si="28"/>
        <v>107.66400000000002</v>
      </c>
      <c r="F102" s="334">
        <f t="shared" si="28"/>
        <v>1375.9209999999998</v>
      </c>
      <c r="G102" s="334">
        <f t="shared" si="28"/>
        <v>442.56899999999996</v>
      </c>
      <c r="H102" s="24">
        <f t="shared" si="28"/>
        <v>1163.8519999999999</v>
      </c>
      <c r="I102" s="334">
        <f t="shared" si="28"/>
        <v>35.202999999999996</v>
      </c>
      <c r="J102" s="101">
        <f t="shared" si="28"/>
        <v>176.06299999999999</v>
      </c>
      <c r="K102" s="141"/>
      <c r="L102" s="340">
        <f>SUM(L99:L101)</f>
        <v>35.541000000000004</v>
      </c>
      <c r="M102" s="334">
        <f t="shared" si="28"/>
        <v>79.700999999999993</v>
      </c>
      <c r="N102" s="24">
        <f t="shared" si="28"/>
        <v>1.0249999999999999</v>
      </c>
      <c r="O102" s="24">
        <f t="shared" si="28"/>
        <v>38.533000000000001</v>
      </c>
      <c r="P102" s="101">
        <f t="shared" si="28"/>
        <v>3752.2489999999998</v>
      </c>
      <c r="Q102" s="46"/>
      <c r="R102" s="340">
        <f>SUM(R99:R101)</f>
        <v>131.61000000000001</v>
      </c>
      <c r="S102" s="334">
        <f>SUM(S99:S101)</f>
        <v>10.072000000000001</v>
      </c>
      <c r="T102" s="101">
        <f>SUM(T99:T101)</f>
        <v>340.334</v>
      </c>
      <c r="U102" s="46"/>
      <c r="V102" s="113">
        <f>SUM(V99:V101)</f>
        <v>62.570999999999998</v>
      </c>
      <c r="W102" s="114">
        <f>SUM(W99:W101)</f>
        <v>544.58699999999999</v>
      </c>
      <c r="X102" s="53"/>
      <c r="Y102" s="897">
        <v>3686.8670000000002</v>
      </c>
      <c r="Z102" s="920"/>
      <c r="AA102" s="921"/>
      <c r="AB102" s="922"/>
      <c r="AC102" s="2228"/>
      <c r="AD102" s="2110"/>
      <c r="AE102" s="2240"/>
      <c r="AF102" s="2263">
        <v>3207.6640000000002</v>
      </c>
      <c r="AG102" s="2252">
        <v>1149.9090000000001</v>
      </c>
      <c r="AH102" s="1706">
        <f>SUM(AH99:AH101)</f>
        <v>475.47504771866852</v>
      </c>
    </row>
    <row r="103" spans="1:34">
      <c r="A103" s="1933"/>
      <c r="B103" s="800" t="s">
        <v>118</v>
      </c>
      <c r="C103" s="438"/>
      <c r="D103" s="437"/>
      <c r="E103" s="435"/>
      <c r="F103" s="435"/>
      <c r="G103" s="435"/>
      <c r="H103" s="437"/>
      <c r="I103" s="435"/>
      <c r="J103" s="436"/>
      <c r="K103" s="29"/>
      <c r="L103" s="434"/>
      <c r="M103" s="435"/>
      <c r="N103" s="437"/>
      <c r="O103" s="437"/>
      <c r="P103" s="436"/>
      <c r="Q103" s="47"/>
      <c r="R103" s="434"/>
      <c r="S103" s="435"/>
      <c r="T103" s="436"/>
      <c r="U103" s="47"/>
      <c r="V103" s="432"/>
      <c r="W103" s="433"/>
      <c r="X103" s="29"/>
      <c r="Y103" s="897"/>
      <c r="Z103" s="892"/>
      <c r="AA103" s="1557"/>
      <c r="AB103" s="1558"/>
      <c r="AC103" s="2229"/>
      <c r="AD103" s="2110"/>
      <c r="AE103" s="2240"/>
      <c r="AF103" s="2263"/>
      <c r="AG103" s="2252"/>
      <c r="AH103" s="1706"/>
    </row>
    <row r="104" spans="1:34">
      <c r="A104" s="1913" t="s">
        <v>264</v>
      </c>
      <c r="B104" s="793" t="s">
        <v>119</v>
      </c>
      <c r="C104" s="18">
        <v>5.3460000000000001</v>
      </c>
      <c r="D104" s="19">
        <v>2.0339999999999998</v>
      </c>
      <c r="E104" s="18">
        <v>153.346</v>
      </c>
      <c r="F104" s="18">
        <v>26.341000000000001</v>
      </c>
      <c r="G104" s="18">
        <v>49.607999999999997</v>
      </c>
      <c r="H104" s="19">
        <v>0.40100000000000002</v>
      </c>
      <c r="I104" s="18">
        <v>8.8999999999999996E-2</v>
      </c>
      <c r="J104" s="96">
        <v>98.57</v>
      </c>
      <c r="K104" s="29"/>
      <c r="L104" s="99">
        <v>0</v>
      </c>
      <c r="M104" s="18">
        <v>12.462999999999999</v>
      </c>
      <c r="N104" s="19">
        <v>0.124</v>
      </c>
      <c r="O104" s="339">
        <v>9.4779999999999998</v>
      </c>
      <c r="P104" s="338">
        <f>SUM(C104:O104)</f>
        <v>357.80000000000007</v>
      </c>
      <c r="Q104" s="46"/>
      <c r="R104" s="1761">
        <v>31.186</v>
      </c>
      <c r="S104" s="18">
        <v>0</v>
      </c>
      <c r="T104" s="96">
        <v>687.702</v>
      </c>
      <c r="U104" s="47"/>
      <c r="V104" s="109">
        <v>17.478999999999999</v>
      </c>
      <c r="W104" s="373">
        <f>SUM(R104:V104)</f>
        <v>736.36700000000008</v>
      </c>
      <c r="X104" s="53"/>
      <c r="Y104" s="897">
        <v>337.60500000000002</v>
      </c>
      <c r="Z104" s="1518"/>
      <c r="AA104" s="1505"/>
      <c r="AB104" s="1505"/>
      <c r="AC104" s="2207"/>
      <c r="AD104" s="2110"/>
      <c r="AE104" s="2240"/>
      <c r="AF104" s="2263">
        <v>-378.56700000000001</v>
      </c>
      <c r="AG104" s="2252">
        <v>313.57900000000001</v>
      </c>
      <c r="AH104" s="1706">
        <f>W104-V104-(IF(AND(Motpart!$Y$40="",Motpart!$Z$40=""),0,IF(AND(Motpart!$Y$40=0,Motpart!$Z$40=0),0,((T104/$T$109)*(Motpart!$Y$40+Motpart!$Z$40)))))</f>
        <v>705.67090747978079</v>
      </c>
    </row>
    <row r="105" spans="1:34">
      <c r="A105" s="1913" t="s">
        <v>265</v>
      </c>
      <c r="B105" s="791" t="s">
        <v>27</v>
      </c>
      <c r="C105" s="21">
        <v>8.0289999999999999</v>
      </c>
      <c r="D105" s="19">
        <v>3.7</v>
      </c>
      <c r="E105" s="21">
        <v>92.528000000000006</v>
      </c>
      <c r="F105" s="21">
        <v>0.17699999999999999</v>
      </c>
      <c r="G105" s="21">
        <v>14.648999999999999</v>
      </c>
      <c r="H105" s="22">
        <v>0</v>
      </c>
      <c r="I105" s="21">
        <v>2.8000000000000001E-2</v>
      </c>
      <c r="J105" s="97">
        <v>16.920000000000002</v>
      </c>
      <c r="K105" s="29"/>
      <c r="L105" s="100">
        <v>48.731999999999999</v>
      </c>
      <c r="M105" s="21">
        <v>27.984000000000002</v>
      </c>
      <c r="N105" s="22">
        <v>0.108</v>
      </c>
      <c r="O105" s="339">
        <v>6.8920000000000003</v>
      </c>
      <c r="P105" s="338">
        <f>SUM(C105:O105)</f>
        <v>219.74700000000001</v>
      </c>
      <c r="Q105" s="46"/>
      <c r="R105" s="1759">
        <v>100.768</v>
      </c>
      <c r="S105" s="21">
        <v>0</v>
      </c>
      <c r="T105" s="97">
        <v>9.8040000000000003</v>
      </c>
      <c r="U105" s="47"/>
      <c r="V105" s="110">
        <v>50.116999999999997</v>
      </c>
      <c r="W105" s="373">
        <f>SUM(R105:V105)</f>
        <v>160.68899999999999</v>
      </c>
      <c r="X105" s="53"/>
      <c r="Y105" s="897">
        <v>169.62700000000001</v>
      </c>
      <c r="Z105" s="1504"/>
      <c r="AA105" s="1505"/>
      <c r="AB105" s="1505"/>
      <c r="AC105" s="2207"/>
      <c r="AD105" s="2110"/>
      <c r="AE105" s="2240"/>
      <c r="AF105" s="2263">
        <v>59.055999999999997</v>
      </c>
      <c r="AG105" s="2252">
        <v>169.45099999999999</v>
      </c>
      <c r="AH105" s="1706">
        <f>W105-V105-(IF(AND(Motpart!$Y$40="",Motpart!$Z$40=""),0,IF(AND(Motpart!$Y$40=0,Motpart!$Z$40=0),0,((T105/$T$109)*(Motpart!$Y$40+Motpart!$Z$40)))))</f>
        <v>110.38357481719083</v>
      </c>
    </row>
    <row r="106" spans="1:34">
      <c r="A106" s="1913" t="s">
        <v>266</v>
      </c>
      <c r="B106" s="791" t="s">
        <v>28</v>
      </c>
      <c r="C106" s="21">
        <v>1760.4059999999999</v>
      </c>
      <c r="D106" s="19">
        <v>803.38</v>
      </c>
      <c r="E106" s="21">
        <v>2964.0210000000002</v>
      </c>
      <c r="F106" s="21">
        <v>2282.66</v>
      </c>
      <c r="G106" s="21">
        <v>1709.5740000000001</v>
      </c>
      <c r="H106" s="22">
        <v>4.8600000000000003</v>
      </c>
      <c r="I106" s="21">
        <v>52.447000000000003</v>
      </c>
      <c r="J106" s="97">
        <v>4219.817</v>
      </c>
      <c r="K106" s="29"/>
      <c r="L106" s="100">
        <v>87.015000000000001</v>
      </c>
      <c r="M106" s="21">
        <v>1257.8389999999999</v>
      </c>
      <c r="N106" s="22">
        <v>6.55</v>
      </c>
      <c r="O106" s="339">
        <v>496.76600000000002</v>
      </c>
      <c r="P106" s="338">
        <f>SUM(C106:O106)</f>
        <v>15645.334999999999</v>
      </c>
      <c r="Q106" s="46"/>
      <c r="R106" s="1759">
        <v>13286.578</v>
      </c>
      <c r="S106" s="21">
        <v>22.498000000000001</v>
      </c>
      <c r="T106" s="97">
        <v>719.23800000000006</v>
      </c>
      <c r="U106" s="47"/>
      <c r="V106" s="110">
        <v>1080.421</v>
      </c>
      <c r="W106" s="373">
        <f>SUM(R106:V106)</f>
        <v>15108.734999999999</v>
      </c>
      <c r="X106" s="53"/>
      <c r="Y106" s="897">
        <v>14485.388999999999</v>
      </c>
      <c r="Z106" s="1504"/>
      <c r="AA106" s="1505"/>
      <c r="AB106" s="1505"/>
      <c r="AC106" s="2207"/>
      <c r="AD106" s="2110"/>
      <c r="AE106" s="2240"/>
      <c r="AF106" s="2263">
        <v>536.59799999999996</v>
      </c>
      <c r="AG106" s="2252">
        <v>12277.394</v>
      </c>
      <c r="AH106" s="1706">
        <f>W106-V106-(IF(AND(Motpart!$Y$40="",Motpart!$Z$40=""),0,IF(AND(Motpart!$Y$40=0,Motpart!$Z$40=0),0,((T106/$T$109)*(Motpart!$Y$40+Motpart!$Z$40)))))</f>
        <v>14014.490810318919</v>
      </c>
    </row>
    <row r="107" spans="1:34">
      <c r="A107" s="1913" t="s">
        <v>267</v>
      </c>
      <c r="B107" s="791" t="s">
        <v>29</v>
      </c>
      <c r="C107" s="21">
        <v>643.94799999999998</v>
      </c>
      <c r="D107" s="19">
        <v>288.76499999999999</v>
      </c>
      <c r="E107" s="21">
        <v>452.47</v>
      </c>
      <c r="F107" s="21">
        <v>3526.6410000000001</v>
      </c>
      <c r="G107" s="21">
        <v>805.44399999999996</v>
      </c>
      <c r="H107" s="22">
        <v>31.65</v>
      </c>
      <c r="I107" s="21">
        <v>31.709</v>
      </c>
      <c r="J107" s="97">
        <v>346.34199999999998</v>
      </c>
      <c r="K107" s="29"/>
      <c r="L107" s="100">
        <v>33.262999999999998</v>
      </c>
      <c r="M107" s="21">
        <v>547.28099999999995</v>
      </c>
      <c r="N107" s="22">
        <v>4.4180000000000001</v>
      </c>
      <c r="O107" s="339">
        <v>113.64100000000001</v>
      </c>
      <c r="P107" s="338">
        <f>SUM(C107:O107)</f>
        <v>6825.5719999999983</v>
      </c>
      <c r="Q107" s="46"/>
      <c r="R107" s="1759">
        <v>4580.5559999999996</v>
      </c>
      <c r="S107" s="21">
        <v>4.3769999999999998</v>
      </c>
      <c r="T107" s="97">
        <v>1673.605</v>
      </c>
      <c r="U107" s="47"/>
      <c r="V107" s="110">
        <v>361.41399999999999</v>
      </c>
      <c r="W107" s="373">
        <f>SUM(R107:V107)</f>
        <v>6619.9520000000002</v>
      </c>
      <c r="X107" s="53"/>
      <c r="Y107" s="897">
        <v>6431.4949999999999</v>
      </c>
      <c r="Z107" s="1504"/>
      <c r="AA107" s="1505"/>
      <c r="AB107" s="1505"/>
      <c r="AC107" s="2207"/>
      <c r="AD107" s="2110"/>
      <c r="AE107" s="2240"/>
      <c r="AF107" s="2263">
        <v>205.62299999999999</v>
      </c>
      <c r="AG107" s="2252">
        <v>2905.8679999999999</v>
      </c>
      <c r="AH107" s="1706">
        <f>W107-V107-(IF(AND(Motpart!$Y$40="",Motpart!$Z$40=""),0,IF(AND(Motpart!$Y$40=0,Motpart!$Z$40=0),0,((T107/$T$109)*(Motpart!$Y$40+Motpart!$Z$40)))))</f>
        <v>6226.3726258593097</v>
      </c>
    </row>
    <row r="108" spans="1:34" ht="12.75" customHeight="1">
      <c r="A108" s="1913" t="s">
        <v>268</v>
      </c>
      <c r="B108" s="791" t="s">
        <v>120</v>
      </c>
      <c r="C108" s="334">
        <f>SUM(C104:C107)</f>
        <v>2417.7289999999998</v>
      </c>
      <c r="D108" s="24">
        <f t="shared" ref="D108:P108" si="29">SUM(D104:D107)</f>
        <v>1097.8789999999999</v>
      </c>
      <c r="E108" s="334">
        <f t="shared" si="29"/>
        <v>3662.3650000000007</v>
      </c>
      <c r="F108" s="334">
        <f t="shared" si="29"/>
        <v>5835.8189999999995</v>
      </c>
      <c r="G108" s="334">
        <f t="shared" si="29"/>
        <v>2579.2750000000001</v>
      </c>
      <c r="H108" s="24">
        <f t="shared" si="29"/>
        <v>36.911000000000001</v>
      </c>
      <c r="I108" s="334">
        <f t="shared" si="29"/>
        <v>84.272999999999996</v>
      </c>
      <c r="J108" s="101">
        <f t="shared" si="29"/>
        <v>4681.6489999999994</v>
      </c>
      <c r="K108" s="141"/>
      <c r="L108" s="340">
        <f>SUM(L104:L107)</f>
        <v>169.01000000000002</v>
      </c>
      <c r="M108" s="334">
        <f t="shared" si="29"/>
        <v>1845.567</v>
      </c>
      <c r="N108" s="24">
        <f t="shared" si="29"/>
        <v>11.2</v>
      </c>
      <c r="O108" s="24">
        <f t="shared" si="29"/>
        <v>626.77699999999993</v>
      </c>
      <c r="P108" s="101">
        <f t="shared" si="29"/>
        <v>23048.453999999998</v>
      </c>
      <c r="Q108" s="46"/>
      <c r="R108" s="340">
        <f>SUM(R104:R107)</f>
        <v>17999.088</v>
      </c>
      <c r="S108" s="334">
        <f>SUM(S104:S107)</f>
        <v>26.875</v>
      </c>
      <c r="T108" s="101">
        <f>SUM(T104:T107)</f>
        <v>3090.3490000000002</v>
      </c>
      <c r="U108" s="46"/>
      <c r="V108" s="113">
        <f>SUM(V104:V107)</f>
        <v>1509.431</v>
      </c>
      <c r="W108" s="114">
        <f>SUM(W104:W107)</f>
        <v>22625.742999999999</v>
      </c>
      <c r="X108" s="53"/>
      <c r="Y108" s="897">
        <v>21424.111000000001</v>
      </c>
      <c r="Z108" s="1504"/>
      <c r="AA108" s="1505"/>
      <c r="AB108" s="1505"/>
      <c r="AC108" s="2207"/>
      <c r="AD108" s="2110"/>
      <c r="AE108" s="2240"/>
      <c r="AF108" s="2263">
        <v>422.70600000000002</v>
      </c>
      <c r="AG108" s="2252">
        <v>15666.287</v>
      </c>
      <c r="AH108" s="1706">
        <f>SUM(AH104:AH107)</f>
        <v>21056.917918475199</v>
      </c>
    </row>
    <row r="109" spans="1:34" ht="12.75" customHeight="1">
      <c r="A109" s="1913" t="s">
        <v>269</v>
      </c>
      <c r="B109" s="791" t="s">
        <v>30</v>
      </c>
      <c r="C109" s="334">
        <f>SUM(C97,C102,C108)</f>
        <v>3280.1929999999998</v>
      </c>
      <c r="D109" s="24">
        <f t="shared" ref="D109:P109" si="30">SUM(D97,D102,D108)</f>
        <v>1535.73</v>
      </c>
      <c r="E109" s="334">
        <f t="shared" si="30"/>
        <v>5114.728000000001</v>
      </c>
      <c r="F109" s="334">
        <f t="shared" si="30"/>
        <v>7358.8109999999997</v>
      </c>
      <c r="G109" s="334">
        <f t="shared" si="30"/>
        <v>4156.7110000000002</v>
      </c>
      <c r="H109" s="24">
        <f t="shared" si="30"/>
        <v>1270.21</v>
      </c>
      <c r="I109" s="334">
        <f t="shared" si="30"/>
        <v>878.73699999999997</v>
      </c>
      <c r="J109" s="101">
        <f t="shared" si="30"/>
        <v>8675</v>
      </c>
      <c r="K109" s="141"/>
      <c r="L109" s="340">
        <f>SUM(L97,L102,L108)</f>
        <v>428.69500000000005</v>
      </c>
      <c r="M109" s="334">
        <f t="shared" si="30"/>
        <v>2450.6089999999999</v>
      </c>
      <c r="N109" s="24">
        <f t="shared" si="30"/>
        <v>20.536999999999999</v>
      </c>
      <c r="O109" s="24">
        <f t="shared" si="30"/>
        <v>1002.1299999999999</v>
      </c>
      <c r="P109" s="101">
        <f t="shared" si="30"/>
        <v>36172.091</v>
      </c>
      <c r="Q109" s="46"/>
      <c r="R109" s="340">
        <f>SUM(R97,R102,R108)</f>
        <v>18535.114999999998</v>
      </c>
      <c r="S109" s="334">
        <f>SUM(S97,S102,S108)</f>
        <v>1785.7059999999999</v>
      </c>
      <c r="T109" s="101">
        <f>SUM(T97,T102,T108)</f>
        <v>10550.483</v>
      </c>
      <c r="U109" s="46"/>
      <c r="V109" s="113">
        <f>SUM(V97,V102,V108)</f>
        <v>2711.277</v>
      </c>
      <c r="W109" s="114">
        <f>SUM(W97,W102,W108)</f>
        <v>33582.580999999998</v>
      </c>
      <c r="X109" s="53"/>
      <c r="Y109" s="897">
        <v>33258.042999999998</v>
      </c>
      <c r="Z109" s="900">
        <f>(P109-W109)*1000/invanare</f>
        <v>244.57696706842199</v>
      </c>
      <c r="AA109" s="901">
        <f>Y109*1000/invanare</f>
        <v>3141.1932325309249</v>
      </c>
      <c r="AB109" s="915">
        <v>2757.32</v>
      </c>
      <c r="AC109" s="2214">
        <f>IF(ISERROR((AA109-AB109)/AB109)," ",((AA109-AB109)/AB109))</f>
        <v>0.13921968887576514</v>
      </c>
      <c r="AD109" s="2110"/>
      <c r="AE109" s="2244">
        <f>IF(ISERROR(F109/(AA109/1000*invanare)),"",(F109/(AA109/100000*invanare)))</f>
        <v>22.126410143856031</v>
      </c>
      <c r="AF109" s="2263">
        <v>2589.5100000000002</v>
      </c>
      <c r="AG109" s="2252">
        <v>24831.794999999998</v>
      </c>
      <c r="AH109" s="1706">
        <f>W109-V109-SUM(Motpart!Y40:Z40)</f>
        <v>30668.531999999996</v>
      </c>
    </row>
    <row r="110" spans="1:34" ht="12.75" customHeight="1" thickBot="1">
      <c r="A110" s="1924" t="s">
        <v>270</v>
      </c>
      <c r="B110" s="791" t="s">
        <v>121</v>
      </c>
      <c r="C110" s="334">
        <f>SUM(C90,C109)</f>
        <v>304986.19900000002</v>
      </c>
      <c r="D110" s="354">
        <f t="shared" ref="D110:P110" si="31">SUM(D90,D109)</f>
        <v>139694.24</v>
      </c>
      <c r="E110" s="334">
        <f t="shared" si="31"/>
        <v>33765.482000000004</v>
      </c>
      <c r="F110" s="334">
        <f t="shared" si="31"/>
        <v>166538.08399999997</v>
      </c>
      <c r="G110" s="334">
        <f t="shared" si="31"/>
        <v>50795.612000000001</v>
      </c>
      <c r="H110" s="24">
        <f t="shared" si="31"/>
        <v>30052.932000000004</v>
      </c>
      <c r="I110" s="334">
        <f t="shared" si="31"/>
        <v>24737.159</v>
      </c>
      <c r="J110" s="101">
        <f t="shared" si="31"/>
        <v>29423.771999999997</v>
      </c>
      <c r="K110" s="141"/>
      <c r="L110" s="340">
        <f>SUM(L90,L109)</f>
        <v>52600.871999999996</v>
      </c>
      <c r="M110" s="334">
        <f t="shared" si="31"/>
        <v>99745.016000000003</v>
      </c>
      <c r="N110" s="346">
        <f t="shared" si="31"/>
        <v>2381.6689999999999</v>
      </c>
      <c r="O110" s="346">
        <f t="shared" si="31"/>
        <v>26060.659216050193</v>
      </c>
      <c r="P110" s="101">
        <f t="shared" si="31"/>
        <v>960768.34199999983</v>
      </c>
      <c r="Q110" s="46"/>
      <c r="R110" s="340">
        <f>SUM(R90,R109)</f>
        <v>47247.363999999994</v>
      </c>
      <c r="S110" s="334">
        <f>SUM(S90,S109)</f>
        <v>10676.106000000002</v>
      </c>
      <c r="T110" s="101">
        <f>SUM(T90,T109)</f>
        <v>97869.198000000004</v>
      </c>
      <c r="U110" s="46"/>
      <c r="V110" s="113">
        <f>SUM(V90,V109)</f>
        <v>76012.482000000018</v>
      </c>
      <c r="W110" s="114">
        <f>SUM(W90,W109)</f>
        <v>231805.15</v>
      </c>
      <c r="X110" s="53"/>
      <c r="Y110" s="919">
        <v>869432.59600000002</v>
      </c>
      <c r="Z110" s="925">
        <f>Z90+Z109</f>
        <v>68849.939410882987</v>
      </c>
      <c r="AA110" s="926">
        <f>AA90+AA109</f>
        <v>81822.503827551016</v>
      </c>
      <c r="AB110" s="926">
        <f>AB90+AB109</f>
        <v>77742.44</v>
      </c>
      <c r="AC110" s="2230"/>
      <c r="AD110" s="2110"/>
      <c r="AE110" s="2242">
        <f>IF(ISERROR(F109/(AA109/1000*invanare)),"",SUM(Motpart!D40,Motpart!F40)/(AA109/100000*invanare))</f>
        <v>12.756547341044692</v>
      </c>
      <c r="AF110" s="2272">
        <v>728963.32299999997</v>
      </c>
      <c r="AG110" s="2259">
        <v>688164.97600000002</v>
      </c>
      <c r="AH110" s="1713">
        <f>AH90+AH109</f>
        <v>140469.27299999996</v>
      </c>
    </row>
    <row r="111" spans="1:34">
      <c r="A111" s="1913" t="s">
        <v>271</v>
      </c>
      <c r="B111" s="807" t="s">
        <v>31</v>
      </c>
      <c r="C111" s="26">
        <v>3837.6390000000001</v>
      </c>
      <c r="D111" s="27">
        <v>1825.6690000000001</v>
      </c>
      <c r="E111" s="26">
        <v>10028.194</v>
      </c>
      <c r="F111" s="26">
        <v>324.00200000000001</v>
      </c>
      <c r="G111" s="26">
        <v>6307.5150000000003</v>
      </c>
      <c r="H111" s="27">
        <v>7.9539999999999997</v>
      </c>
      <c r="I111" s="26">
        <v>13521.698</v>
      </c>
      <c r="J111" s="98">
        <v>22050.829000000002</v>
      </c>
      <c r="K111" s="29"/>
      <c r="L111" s="102">
        <v>702.05799999999999</v>
      </c>
      <c r="M111" s="26">
        <v>4623.9639999999999</v>
      </c>
      <c r="N111" s="355">
        <v>0</v>
      </c>
      <c r="O111" s="356">
        <v>0</v>
      </c>
      <c r="P111" s="112">
        <f>SUM(C111:O111)</f>
        <v>63229.521999999997</v>
      </c>
      <c r="Q111" s="46"/>
      <c r="R111" s="102">
        <v>138.541</v>
      </c>
      <c r="S111" s="26">
        <v>4758.2520000000004</v>
      </c>
      <c r="T111" s="98">
        <v>1297.5840000000001</v>
      </c>
      <c r="U111" s="47"/>
      <c r="V111" s="111">
        <v>56677.612999999998</v>
      </c>
      <c r="W111" s="112">
        <f>SUM(R111:V111)</f>
        <v>62871.99</v>
      </c>
      <c r="X111" s="53"/>
      <c r="Y111" s="930"/>
      <c r="Z111" s="920"/>
      <c r="AA111" s="921"/>
      <c r="AB111" s="922"/>
      <c r="AC111" s="2228"/>
      <c r="AD111" s="2110"/>
      <c r="AE111" s="2237"/>
      <c r="AF111" s="2262"/>
      <c r="AG111" s="1472"/>
      <c r="AH111" s="1704"/>
    </row>
    <row r="112" spans="1:34" ht="13.5" thickBot="1">
      <c r="A112" s="1926" t="s">
        <v>272</v>
      </c>
      <c r="B112" s="791" t="s">
        <v>32</v>
      </c>
      <c r="C112" s="21">
        <v>23169.848000000002</v>
      </c>
      <c r="D112" s="19">
        <v>10609.682000000001</v>
      </c>
      <c r="E112" s="21">
        <v>6671.558</v>
      </c>
      <c r="F112" s="21">
        <v>755.16800000000001</v>
      </c>
      <c r="G112" s="21">
        <v>15652.248</v>
      </c>
      <c r="H112" s="22">
        <v>517.23900000000003</v>
      </c>
      <c r="I112" s="21">
        <v>836.37099999999998</v>
      </c>
      <c r="J112" s="97">
        <v>3942.125</v>
      </c>
      <c r="K112" s="29"/>
      <c r="L112" s="100">
        <v>2137.8330000000001</v>
      </c>
      <c r="M112" s="21">
        <v>8160.9</v>
      </c>
      <c r="N112" s="357"/>
      <c r="O112" s="358"/>
      <c r="P112" s="359">
        <f>SUM(C112:O112)</f>
        <v>72452.971999999994</v>
      </c>
      <c r="Q112" s="46"/>
      <c r="R112" s="103">
        <v>364.14499999999998</v>
      </c>
      <c r="S112" s="104">
        <v>154.87799999999999</v>
      </c>
      <c r="T112" s="105">
        <v>6751.8540000000003</v>
      </c>
      <c r="U112" s="47"/>
      <c r="V112" s="1763">
        <f>SUM(I118:I120)</f>
        <v>65182.094999999994</v>
      </c>
      <c r="W112" s="114">
        <f>SUM(R112:V112)</f>
        <v>72452.971999999994</v>
      </c>
      <c r="X112" s="53"/>
      <c r="Y112" s="896"/>
      <c r="Z112" s="931"/>
      <c r="AA112" s="903"/>
      <c r="AB112" s="904"/>
      <c r="AC112" s="2216"/>
      <c r="AD112" s="2110"/>
      <c r="AE112" s="2237"/>
      <c r="AF112" s="2262"/>
      <c r="AG112" s="1472"/>
      <c r="AH112" s="1704"/>
    </row>
    <row r="113" spans="1:34" ht="12.75" customHeight="1" thickBot="1">
      <c r="A113" s="1925" t="s">
        <v>273</v>
      </c>
      <c r="B113" s="808" t="s">
        <v>33</v>
      </c>
      <c r="C113" s="363">
        <f>SUM(C110:C112)</f>
        <v>331993.68600000005</v>
      </c>
      <c r="D113" s="362">
        <f t="shared" ref="D113:W113" si="32">SUM(D110:D112)</f>
        <v>152129.59099999999</v>
      </c>
      <c r="E113" s="361">
        <f t="shared" si="32"/>
        <v>50465.234000000004</v>
      </c>
      <c r="F113" s="361">
        <f t="shared" si="32"/>
        <v>167617.25399999999</v>
      </c>
      <c r="G113" s="361">
        <f t="shared" si="32"/>
        <v>72755.375</v>
      </c>
      <c r="H113" s="362">
        <f t="shared" si="32"/>
        <v>30578.125000000007</v>
      </c>
      <c r="I113" s="364">
        <f t="shared" si="32"/>
        <v>39095.228000000003</v>
      </c>
      <c r="J113" s="365">
        <f t="shared" si="32"/>
        <v>55416.725999999995</v>
      </c>
      <c r="K113" s="141"/>
      <c r="L113" s="360">
        <f>SUM(L110:L112)</f>
        <v>55440.762999999992</v>
      </c>
      <c r="M113" s="361">
        <f t="shared" si="32"/>
        <v>112529.88</v>
      </c>
      <c r="N113" s="362">
        <f t="shared" si="32"/>
        <v>2381.6689999999999</v>
      </c>
      <c r="O113" s="362">
        <f>SUM(O110:O112)</f>
        <v>26060.659216050193</v>
      </c>
      <c r="P113" s="1546">
        <f>SUM(P110:P112)</f>
        <v>1096450.8359999999</v>
      </c>
      <c r="Q113" s="46"/>
      <c r="R113" s="363">
        <f t="shared" si="32"/>
        <v>47750.049999999988</v>
      </c>
      <c r="S113" s="361">
        <f t="shared" si="32"/>
        <v>15589.236000000003</v>
      </c>
      <c r="T113" s="362">
        <f t="shared" si="32"/>
        <v>105918.63600000001</v>
      </c>
      <c r="U113" s="108"/>
      <c r="V113" s="378">
        <f t="shared" si="32"/>
        <v>197872.19000000003</v>
      </c>
      <c r="W113" s="1547">
        <f t="shared" si="32"/>
        <v>367130.11200000002</v>
      </c>
      <c r="X113" s="53"/>
      <c r="Y113" s="932"/>
      <c r="Z113" s="933"/>
      <c r="AA113" s="934"/>
      <c r="AB113" s="935"/>
      <c r="AC113" s="2231"/>
      <c r="AD113" s="2110"/>
      <c r="AE113" s="2250"/>
      <c r="AF113" s="2273"/>
      <c r="AG113" s="2260"/>
      <c r="AH113" s="1714"/>
    </row>
    <row r="114" spans="1:34">
      <c r="A114" s="1144"/>
      <c r="B114" s="1145"/>
      <c r="C114" s="1146"/>
      <c r="D114" s="1554"/>
      <c r="E114" s="12"/>
      <c r="F114" s="199"/>
      <c r="G114" s="28"/>
      <c r="H114" s="40"/>
      <c r="I114" s="2594" t="s">
        <v>519</v>
      </c>
      <c r="J114" s="2595"/>
      <c r="K114" s="2595"/>
      <c r="L114" s="2596"/>
      <c r="M114" s="366">
        <f>I118</f>
        <v>36753.008999999998</v>
      </c>
      <c r="N114" s="172"/>
      <c r="O114" s="30"/>
      <c r="P114" s="1831"/>
      <c r="Q114" s="196"/>
      <c r="R114" s="30"/>
      <c r="S114" s="30"/>
      <c r="T114" s="30"/>
      <c r="U114" s="196"/>
      <c r="V114" s="30"/>
      <c r="W114" s="30"/>
      <c r="X114" s="30"/>
      <c r="Y114" s="30"/>
      <c r="Z114" s="52"/>
      <c r="AA114" s="52"/>
      <c r="AB114" s="52"/>
      <c r="AC114" s="52"/>
      <c r="AD114" s="2110"/>
      <c r="AE114" s="384"/>
      <c r="AF114" s="164"/>
    </row>
    <row r="115" spans="1:34" ht="13.5" thickBot="1">
      <c r="A115" s="9"/>
      <c r="B115" s="39"/>
      <c r="C115" s="2110"/>
      <c r="D115" s="2110"/>
      <c r="E115" s="165"/>
      <c r="F115" s="165"/>
      <c r="G115" s="165"/>
      <c r="H115" s="30"/>
      <c r="I115" s="30"/>
      <c r="J115" s="32"/>
      <c r="K115" s="32"/>
      <c r="L115" s="201"/>
      <c r="M115" s="202"/>
      <c r="N115" s="202"/>
      <c r="O115" s="202"/>
      <c r="P115" s="2016" t="str">
        <f>IF(AND(L113&lt;&gt;0,P111=0),"Om interna lokalkostander finns, bör det även finnas kostnader för gemensamma lokaler. Stämmer uppgifterna?","")</f>
        <v/>
      </c>
      <c r="Q115" s="1424"/>
      <c r="R115" s="1425"/>
      <c r="S115" s="200"/>
      <c r="T115" s="30"/>
      <c r="U115" s="196"/>
      <c r="V115" s="30"/>
      <c r="W115" s="38"/>
      <c r="X115" s="1424"/>
      <c r="Y115" s="1425"/>
      <c r="Z115" s="178"/>
      <c r="AA115" s="178"/>
      <c r="AB115" s="5"/>
      <c r="AC115" s="10"/>
      <c r="AD115" s="2110"/>
      <c r="AE115" s="384"/>
      <c r="AF115" s="164"/>
    </row>
    <row r="116" spans="1:34" ht="16.5" thickBot="1">
      <c r="A116" s="2110"/>
      <c r="B116" s="2110"/>
      <c r="C116" s="2110"/>
      <c r="D116" s="2110"/>
      <c r="E116" s="34" t="s">
        <v>142</v>
      </c>
      <c r="F116" s="33"/>
      <c r="G116" s="30"/>
      <c r="H116" s="28"/>
      <c r="I116" s="28"/>
      <c r="J116" s="178"/>
      <c r="K116" s="178"/>
      <c r="L116" s="936">
        <v>960</v>
      </c>
      <c r="M116" s="949" t="s">
        <v>202</v>
      </c>
      <c r="N116" s="950"/>
      <c r="O116" s="950"/>
      <c r="P116" s="367">
        <f>-SUM(D113,J113)</f>
        <v>-207546.31699999998</v>
      </c>
      <c r="Q116" s="1282"/>
      <c r="R116" s="1283"/>
      <c r="S116" s="936">
        <v>970</v>
      </c>
      <c r="T116" s="937" t="s">
        <v>143</v>
      </c>
      <c r="U116" s="938"/>
      <c r="V116" s="939"/>
      <c r="W116" s="367">
        <f>-V113</f>
        <v>-197872.19000000003</v>
      </c>
      <c r="X116" s="1469"/>
      <c r="Y116" s="1233"/>
      <c r="AA116" s="1147"/>
      <c r="AB116" s="1147"/>
      <c r="AC116" s="1147"/>
      <c r="AD116" s="2110"/>
      <c r="AE116" s="384"/>
      <c r="AF116" s="164"/>
    </row>
    <row r="117" spans="1:34" ht="16.5" customHeight="1">
      <c r="A117" s="2110"/>
      <c r="B117" s="2110"/>
      <c r="C117" s="2110"/>
      <c r="D117" s="2110"/>
      <c r="E117" s="936">
        <v>922</v>
      </c>
      <c r="F117" s="950" t="s">
        <v>122</v>
      </c>
      <c r="G117" s="950"/>
      <c r="H117" s="950"/>
      <c r="I117" s="369">
        <f>P112-SUM(R112:T112)</f>
        <v>65182.094999999994</v>
      </c>
      <c r="J117" s="265"/>
      <c r="K117" s="178"/>
      <c r="L117" s="941">
        <v>965</v>
      </c>
      <c r="M117" s="951" t="s">
        <v>203</v>
      </c>
      <c r="N117" s="952"/>
      <c r="O117" s="953"/>
      <c r="P117" s="368">
        <f>-SUM(L113:O113)</f>
        <v>-196412.97121605018</v>
      </c>
      <c r="S117" s="941">
        <v>982</v>
      </c>
      <c r="T117" s="2564" t="s">
        <v>516</v>
      </c>
      <c r="U117" s="2565"/>
      <c r="V117" s="2566"/>
      <c r="W117" s="206">
        <v>7770.1670000000004</v>
      </c>
      <c r="Y117" s="1147"/>
      <c r="Z117" s="1147"/>
      <c r="AA117" s="1147"/>
      <c r="AB117" s="1147"/>
      <c r="AC117" s="1147"/>
      <c r="AD117" s="2110"/>
      <c r="AE117" s="384"/>
      <c r="AF117" s="164"/>
    </row>
    <row r="118" spans="1:34" ht="19.5" customHeight="1">
      <c r="A118" s="2110"/>
      <c r="B118" s="2110"/>
      <c r="C118" s="2110"/>
      <c r="D118" s="2110"/>
      <c r="E118" s="941">
        <v>924</v>
      </c>
      <c r="F118" s="2577" t="s">
        <v>1174</v>
      </c>
      <c r="G118" s="2578"/>
      <c r="H118" s="2579"/>
      <c r="I118" s="115">
        <v>36753.008999999998</v>
      </c>
      <c r="J118" s="1378"/>
      <c r="K118" s="178"/>
      <c r="L118" s="941">
        <v>975</v>
      </c>
      <c r="M118" s="2561" t="s">
        <v>1240</v>
      </c>
      <c r="N118" s="2562"/>
      <c r="O118" s="2563"/>
      <c r="P118" s="206">
        <v>157471.777</v>
      </c>
      <c r="S118" s="941">
        <v>985</v>
      </c>
      <c r="T118" s="1239" t="s">
        <v>887</v>
      </c>
      <c r="U118" s="1240"/>
      <c r="V118" s="1241"/>
      <c r="W118" s="206">
        <v>1682.694</v>
      </c>
      <c r="X118" s="1426"/>
      <c r="Y118" s="1426"/>
      <c r="Z118" s="1147"/>
      <c r="AB118" s="1147"/>
      <c r="AC118" s="1147"/>
      <c r="AD118" s="2110"/>
      <c r="AE118" s="384"/>
      <c r="AF118" s="164"/>
    </row>
    <row r="119" spans="1:34" ht="19.5" customHeight="1">
      <c r="A119" s="2110"/>
      <c r="B119" s="2110"/>
      <c r="C119" s="2110"/>
      <c r="D119" s="2110"/>
      <c r="E119" s="941">
        <v>926</v>
      </c>
      <c r="F119" s="955" t="s">
        <v>804</v>
      </c>
      <c r="G119" s="956"/>
      <c r="H119" s="956"/>
      <c r="I119" s="370">
        <f>N113</f>
        <v>2381.6689999999999</v>
      </c>
      <c r="J119" s="265"/>
      <c r="K119" s="178"/>
      <c r="L119" s="941">
        <v>980</v>
      </c>
      <c r="M119" s="2558" t="s">
        <v>1215</v>
      </c>
      <c r="N119" s="2559"/>
      <c r="O119" s="2560"/>
      <c r="P119" s="206">
        <v>14681.271000000001</v>
      </c>
      <c r="S119" s="941">
        <v>989</v>
      </c>
      <c r="T119" s="1239" t="s">
        <v>205</v>
      </c>
      <c r="U119" s="1240"/>
      <c r="V119" s="1241"/>
      <c r="W119" s="1836">
        <v>551.46600000000001</v>
      </c>
      <c r="X119" s="172"/>
      <c r="Y119" s="188"/>
      <c r="Z119" s="188"/>
      <c r="AA119" s="1148"/>
      <c r="AB119" s="1148"/>
      <c r="AC119" s="1148"/>
      <c r="AD119" s="2110"/>
      <c r="AE119" s="1148"/>
      <c r="AF119" s="164"/>
    </row>
    <row r="120" spans="1:34" ht="13.5" customHeight="1" thickBot="1">
      <c r="A120" s="2110"/>
      <c r="B120" s="2110"/>
      <c r="C120" s="2110"/>
      <c r="D120" s="2110"/>
      <c r="E120" s="945">
        <v>928</v>
      </c>
      <c r="F120" s="1281" t="s">
        <v>805</v>
      </c>
      <c r="G120" s="957"/>
      <c r="H120" s="958"/>
      <c r="I120" s="371">
        <f>I117-I118-I119</f>
        <v>26047.416999999994</v>
      </c>
      <c r="J120" s="265"/>
      <c r="K120" s="178"/>
      <c r="L120" s="941">
        <v>982</v>
      </c>
      <c r="M120" s="1239" t="s">
        <v>1175</v>
      </c>
      <c r="N120" s="1240"/>
      <c r="O120" s="1241"/>
      <c r="P120" s="206">
        <v>1195.0509999999999</v>
      </c>
      <c r="S120" s="941"/>
      <c r="T120" s="1398"/>
      <c r="U120" s="1368"/>
      <c r="V120" s="1369"/>
      <c r="W120" s="1811"/>
      <c r="X120" s="1158"/>
      <c r="Y120" s="1370"/>
      <c r="Z120" s="188"/>
      <c r="AA120" s="1148"/>
      <c r="AB120" s="1148"/>
      <c r="AC120" s="1148"/>
      <c r="AD120" s="2110"/>
      <c r="AE120" s="1148"/>
      <c r="AF120" s="164"/>
    </row>
    <row r="121" spans="1:34" ht="13.5" customHeight="1">
      <c r="A121" s="188"/>
      <c r="B121" s="188"/>
      <c r="C121" s="2110"/>
      <c r="D121" s="2110"/>
      <c r="E121" s="178"/>
      <c r="F121" s="2110"/>
      <c r="G121" s="2110"/>
      <c r="H121" s="2110"/>
      <c r="I121" s="1843"/>
      <c r="J121" s="178"/>
      <c r="K121" s="178"/>
      <c r="L121" s="941">
        <v>985</v>
      </c>
      <c r="M121" s="2287" t="s">
        <v>1210</v>
      </c>
      <c r="N121" s="2287"/>
      <c r="O121" s="2291"/>
      <c r="P121" s="169">
        <v>983.56600000000003</v>
      </c>
      <c r="Q121" s="2550"/>
      <c r="R121" s="2551"/>
      <c r="S121" s="940">
        <v>887</v>
      </c>
      <c r="T121" s="942" t="s">
        <v>439</v>
      </c>
      <c r="U121" s="943"/>
      <c r="V121" s="944"/>
      <c r="W121" s="372">
        <f>SUM(W113,W116:W119)</f>
        <v>179262.24899999995</v>
      </c>
      <c r="X121" s="1284"/>
      <c r="Y121" s="188"/>
      <c r="Z121" s="188"/>
      <c r="AA121" s="1148"/>
      <c r="AB121" s="1148"/>
      <c r="AC121" s="1148"/>
      <c r="AD121" s="2110"/>
      <c r="AE121" s="1148"/>
      <c r="AF121" s="164"/>
    </row>
    <row r="122" spans="1:34" ht="12.75" customHeight="1" thickBot="1">
      <c r="A122" s="188"/>
      <c r="B122" s="188"/>
      <c r="C122" s="2110"/>
      <c r="D122" s="2110"/>
      <c r="E122" s="178"/>
      <c r="F122" s="2110"/>
      <c r="G122" s="2110"/>
      <c r="H122" s="2110"/>
      <c r="I122" s="1856"/>
      <c r="J122" s="1844"/>
      <c r="K122" s="178"/>
      <c r="L122" s="2285">
        <v>988</v>
      </c>
      <c r="M122" s="2288" t="s">
        <v>1093</v>
      </c>
      <c r="N122" s="2289"/>
      <c r="O122" s="2291"/>
      <c r="P122" s="169">
        <v>1083.7670000000001</v>
      </c>
      <c r="Q122" s="172"/>
      <c r="R122" s="203"/>
      <c r="S122" s="945">
        <v>990</v>
      </c>
      <c r="T122" s="946" t="s">
        <v>91</v>
      </c>
      <c r="U122" s="947"/>
      <c r="V122" s="948"/>
      <c r="W122" s="116">
        <f>RR!C7</f>
        <v>179262.255</v>
      </c>
      <c r="X122" s="1284"/>
      <c r="Y122" s="188"/>
      <c r="Z122" s="178"/>
      <c r="AA122" s="178"/>
      <c r="AB122" s="5"/>
      <c r="AC122" s="5"/>
      <c r="AD122" s="2110"/>
      <c r="AE122" s="384"/>
      <c r="AF122" s="164"/>
    </row>
    <row r="123" spans="1:34">
      <c r="A123" s="188"/>
      <c r="B123" s="188"/>
      <c r="C123" s="2110"/>
      <c r="D123" s="2110"/>
      <c r="E123" s="203"/>
      <c r="F123" s="2110"/>
      <c r="G123" s="2110"/>
      <c r="H123" s="2110"/>
      <c r="I123" s="1845"/>
      <c r="J123" s="1844"/>
      <c r="K123" s="178"/>
      <c r="L123" s="941">
        <v>989</v>
      </c>
      <c r="M123" s="954" t="s">
        <v>204</v>
      </c>
      <c r="N123" s="1551"/>
      <c r="O123" s="1241"/>
      <c r="P123" s="1836">
        <v>55.439</v>
      </c>
      <c r="Q123" s="172"/>
      <c r="R123" s="188"/>
      <c r="S123" s="204"/>
      <c r="T123" s="204"/>
      <c r="U123" s="204"/>
      <c r="V123" s="204"/>
      <c r="W123" s="220"/>
      <c r="X123" s="188"/>
      <c r="Y123" s="188"/>
      <c r="Z123" s="178"/>
      <c r="AA123" s="178"/>
      <c r="AB123" s="5"/>
      <c r="AC123" s="5"/>
      <c r="AD123" s="2110"/>
      <c r="AE123" s="384"/>
      <c r="AF123" s="164"/>
    </row>
    <row r="124" spans="1:34">
      <c r="A124" s="287"/>
      <c r="B124" s="188"/>
      <c r="C124" s="188"/>
      <c r="D124" s="178"/>
      <c r="E124" s="178"/>
      <c r="F124" s="2110"/>
      <c r="G124" s="2110"/>
      <c r="H124" s="2110"/>
      <c r="I124" s="1845"/>
      <c r="J124" s="1844"/>
      <c r="K124" s="188"/>
      <c r="L124" s="940">
        <v>886</v>
      </c>
      <c r="M124" s="942" t="s">
        <v>439</v>
      </c>
      <c r="N124" s="943"/>
      <c r="O124" s="944"/>
      <c r="P124" s="372">
        <f>SUM(P110:P112,P116:P123)</f>
        <v>867962.41878394957</v>
      </c>
      <c r="Q124" s="1284"/>
      <c r="R124" s="188"/>
      <c r="S124" s="204"/>
      <c r="T124" s="204"/>
      <c r="U124" s="204"/>
      <c r="V124" s="204"/>
      <c r="W124" s="204"/>
      <c r="X124" s="188"/>
      <c r="Y124" s="188"/>
      <c r="Z124" s="178"/>
      <c r="AA124" s="178"/>
      <c r="AB124" s="5"/>
      <c r="AC124" s="5"/>
      <c r="AD124" s="2110"/>
      <c r="AE124" s="384"/>
      <c r="AF124" s="164"/>
    </row>
    <row r="125" spans="1:34" ht="22.5" customHeight="1" thickBot="1">
      <c r="A125" s="287"/>
      <c r="B125" s="188"/>
      <c r="C125" s="188"/>
      <c r="D125" s="178"/>
      <c r="E125" s="178"/>
      <c r="F125" s="2110"/>
      <c r="G125" s="2110"/>
      <c r="H125" s="2110"/>
      <c r="I125" s="1845"/>
      <c r="J125" s="1844"/>
      <c r="K125" s="188"/>
      <c r="L125" s="945">
        <v>990</v>
      </c>
      <c r="M125" s="946" t="s">
        <v>88</v>
      </c>
      <c r="N125" s="947"/>
      <c r="O125" s="948"/>
      <c r="P125" s="1810">
        <f>RR!C8</f>
        <v>867975.78500000003</v>
      </c>
      <c r="Q125" s="188"/>
      <c r="R125" s="188"/>
      <c r="S125" s="204"/>
      <c r="T125" s="204"/>
      <c r="U125" s="204"/>
      <c r="V125" s="204"/>
      <c r="W125" s="204"/>
      <c r="X125" s="188"/>
      <c r="Y125" s="188"/>
      <c r="Z125" s="178"/>
      <c r="AA125" s="178"/>
      <c r="AB125" s="5"/>
      <c r="AC125" s="5"/>
      <c r="AD125" s="2110"/>
      <c r="AE125" s="384"/>
      <c r="AF125" s="164"/>
    </row>
    <row r="126" spans="1:34" ht="31.5" customHeight="1">
      <c r="A126" s="204"/>
      <c r="B126" s="204"/>
      <c r="C126" s="204"/>
      <c r="D126" s="203"/>
      <c r="E126" s="203"/>
      <c r="F126" s="1846"/>
      <c r="G126" s="1846"/>
      <c r="H126" s="1846"/>
      <c r="I126" s="1845"/>
      <c r="J126" s="203"/>
      <c r="K126" s="188"/>
      <c r="L126" s="1548"/>
      <c r="M126" s="1549"/>
      <c r="N126" s="1550"/>
      <c r="O126" s="1550"/>
      <c r="P126" s="1564"/>
      <c r="Q126" s="178"/>
      <c r="R126" s="203"/>
      <c r="S126" s="204"/>
      <c r="T126" s="204"/>
      <c r="U126" s="188"/>
      <c r="V126" s="204"/>
      <c r="W126" s="204"/>
      <c r="X126" s="188"/>
      <c r="Y126" s="204"/>
      <c r="Z126" s="203"/>
      <c r="AA126" s="203"/>
      <c r="AB126" s="1"/>
      <c r="AC126" s="1"/>
      <c r="AD126" s="2110"/>
      <c r="AE126" s="385"/>
      <c r="AF126" s="164"/>
    </row>
    <row r="127" spans="1:34" hidden="1">
      <c r="L127" s="203"/>
      <c r="M127" s="203"/>
      <c r="N127" s="203"/>
      <c r="O127" s="203"/>
      <c r="P127" s="220"/>
    </row>
    <row r="129"/>
    <row r="303" spans="16:16" hidden="1">
      <c r="P303" s="205" t="str">
        <f>IF(P124&lt;&gt;P125,"Differens mot vht kostnader i RR, måste rättas!","")</f>
        <v>Differens mot vht kostnader i RR, måste rättas!</v>
      </c>
    </row>
  </sheetData>
  <sheetProtection algorithmName="SHA-512" hashValue="kPJ6FgYjaxca4YqJgwEhmf/9fNvz5l7mv2nH5csmi7RYhsyczHkWN5T9FDX2HbNPLqsiejlRa+/qJwSDQ52++w==" saltValue="+YlHogX/ElV72rDLbe0tGg==" spinCount="100000" sheet="1" objects="1" scenarios="1"/>
  <customSheetViews>
    <customSheetView guid="{97D6DB71-3F4C-4C5F-8C5B-51E3EBF78932}" showPageBreaks="1" showGridLines="0" hiddenRows="1" hiddenColumns="1">
      <pane xSplit="2" ySplit="12" topLeftCell="H13" activePane="bottomRight" state="frozen"/>
      <selection pane="bottomRight" activeCell="S6" sqref="S6"/>
      <rowBreaks count="1" manualBreakCount="1">
        <brk id="43" max="16383" man="1"/>
      </rowBreaks>
      <pageMargins left="0.70866141732283472" right="0.70866141732283472" top="0.74803149606299213" bottom="0" header="0.31496062992125984" footer="0.31496062992125984"/>
      <pageSetup paperSize="9" scale="75" orientation="landscape" r:id="rId1"/>
      <headerFooter>
        <oddHeader>&amp;L&amp;8Statistiska Centralbyrån
Offentlig ekonomi&amp;R&amp;P</oddHeader>
      </headerFooter>
    </customSheetView>
    <customSheetView guid="{99FBDEB7-DD08-4F57-81F4-3C180403E153}" showPageBreaks="1" showGridLines="0" hiddenRows="1" hiddenColumns="1">
      <pane xSplit="2" ySplit="12" topLeftCell="H13" activePane="bottomRight" state="frozen"/>
      <selection pane="bottomRight" activeCell="AD14" sqref="AD14"/>
      <rowBreaks count="1" manualBreakCount="1">
        <brk id="43" max="16383" man="1"/>
      </rowBreaks>
      <pageMargins left="0.70866141732283472" right="0.70866141732283472" top="0.74803149606299213" bottom="0" header="0.31496062992125984" footer="0.31496062992125984"/>
      <pageSetup paperSize="9" scale="75" orientation="landscape" r:id="rId2"/>
      <headerFooter>
        <oddHeader>&amp;L&amp;8Statistiska Centralbyrån
Offentlig ekonomi&amp;R&amp;P</oddHeader>
      </headerFooter>
    </customSheetView>
    <customSheetView guid="{27C9E95B-0E2B-454F-B637-1CECC9579A10}" showGridLines="0" hiddenRows="1" hiddenColumns="1" showRuler="0">
      <pane xSplit="2" ySplit="10" topLeftCell="E111" activePane="bottomRight" state="frozen"/>
      <selection pane="bottomRight" activeCell="P125" sqref="P125"/>
      <rowBreaks count="1" manualBreakCount="1">
        <brk id="43" max="16383" man="1"/>
      </rowBreaks>
      <pageMargins left="0.70866141732283472" right="0.70866141732283472" top="0.74803149606299213" bottom="0" header="0.31496062992125984" footer="0.31496062992125984"/>
      <pageSetup paperSize="9" scale="75" orientation="landscape" r:id="rId3"/>
      <headerFooter alignWithMargins="0">
        <oddHeader>&amp;L&amp;8Statistiska Centralbyrån
Offentlig ekonomi&amp;R&amp;P</oddHeader>
      </headerFooter>
    </customSheetView>
  </customSheetViews>
  <mergeCells count="26">
    <mergeCell ref="C4:D4"/>
    <mergeCell ref="E4:H4"/>
    <mergeCell ref="L4:O4"/>
    <mergeCell ref="I4:J4"/>
    <mergeCell ref="I114:L114"/>
    <mergeCell ref="F118:H118"/>
    <mergeCell ref="AH5:AH6"/>
    <mergeCell ref="Z44:AC44"/>
    <mergeCell ref="AG5:AG6"/>
    <mergeCell ref="AF5:AF6"/>
    <mergeCell ref="Z18:AC18"/>
    <mergeCell ref="Z11:AC11"/>
    <mergeCell ref="Q121:R121"/>
    <mergeCell ref="R4:T4"/>
    <mergeCell ref="Z4:AB4"/>
    <mergeCell ref="M119:O119"/>
    <mergeCell ref="M118:O118"/>
    <mergeCell ref="T117:V117"/>
    <mergeCell ref="Y5:Y6"/>
    <mergeCell ref="Z31:AC31"/>
    <mergeCell ref="Z72:AC72"/>
    <mergeCell ref="Z91:AC91"/>
    <mergeCell ref="Z45:AA45"/>
    <mergeCell ref="Z52:AC52"/>
    <mergeCell ref="N5:O5"/>
    <mergeCell ref="Z86:AC86"/>
  </mergeCells>
  <phoneticPr fontId="89" type="noConversion"/>
  <conditionalFormatting sqref="C17:W113 C13:W15 C16:J16 L16:W16 P120:P122">
    <cfRule type="cellIs" dxfId="103" priority="33" stopIfTrue="1" operator="lessThan">
      <formula>-1</formula>
    </cfRule>
  </conditionalFormatting>
  <conditionalFormatting sqref="H47">
    <cfRule type="cellIs" dxfId="102" priority="24" stopIfTrue="1" operator="greaterThan">
      <formula>$F$47</formula>
    </cfRule>
  </conditionalFormatting>
  <conditionalFormatting sqref="H50">
    <cfRule type="cellIs" dxfId="101" priority="22" stopIfTrue="1" operator="greaterThan">
      <formula>$F$50</formula>
    </cfRule>
  </conditionalFormatting>
  <conditionalFormatting sqref="J122:J125">
    <cfRule type="expression" dxfId="100" priority="1">
      <formula>(L119+L120-M120)/M120&gt;0.1</formula>
    </cfRule>
  </conditionalFormatting>
  <conditionalFormatting sqref="P13:P14 P23:P24">
    <cfRule type="expression" dxfId="99" priority="58" stopIfTrue="1">
      <formula>$P$124&lt;100000</formula>
    </cfRule>
    <cfRule type="cellIs" dxfId="98" priority="59" stopIfTrue="1" operator="lessThan">
      <formula>1</formula>
    </cfRule>
  </conditionalFormatting>
  <conditionalFormatting sqref="P111">
    <cfRule type="expression" dxfId="97" priority="53" stopIfTrue="1">
      <formula>ABS(P111-W111)&lt;10000</formula>
    </cfRule>
    <cfRule type="expression" dxfId="96" priority="54" stopIfTrue="1">
      <formula>ABS((P111-W111)/W111)&gt;0.05</formula>
    </cfRule>
  </conditionalFormatting>
  <conditionalFormatting sqref="P117">
    <cfRule type="expression" dxfId="95" priority="49" stopIfTrue="1">
      <formula>ABS(P117-W116)&lt;10000</formula>
    </cfRule>
    <cfRule type="expression" dxfId="94" priority="50" stopIfTrue="1">
      <formula>ABS((P117-W116)/W116)&gt;0.05</formula>
    </cfRule>
  </conditionalFormatting>
  <conditionalFormatting sqref="R48">
    <cfRule type="expression" dxfId="93" priority="9" stopIfTrue="1">
      <formula>AND(C48&gt;5000,R48&lt;50)</formula>
    </cfRule>
  </conditionalFormatting>
  <conditionalFormatting sqref="R53">
    <cfRule type="cellIs" dxfId="92" priority="21" stopIfTrue="1" operator="greaterThan">
      <formula>100</formula>
    </cfRule>
  </conditionalFormatting>
  <conditionalFormatting sqref="R73:R74">
    <cfRule type="expression" dxfId="91" priority="10" stopIfTrue="1">
      <formula>AND(C73&gt;5000,R73&lt;50)</formula>
    </cfRule>
  </conditionalFormatting>
  <conditionalFormatting sqref="R76">
    <cfRule type="expression" dxfId="90" priority="12" stopIfTrue="1">
      <formula>AND(C76&gt;5000,R76&lt;50)</formula>
    </cfRule>
  </conditionalFormatting>
  <conditionalFormatting sqref="R100">
    <cfRule type="expression" dxfId="89" priority="17" stopIfTrue="1">
      <formula>AND(C100&gt;5000,R100&lt;50)</formula>
    </cfRule>
  </conditionalFormatting>
  <conditionalFormatting sqref="R104:R107">
    <cfRule type="expression" dxfId="88" priority="13" stopIfTrue="1">
      <formula>AND(C104&gt;5000,R104&lt;50)</formula>
    </cfRule>
  </conditionalFormatting>
  <conditionalFormatting sqref="T51">
    <cfRule type="expression" dxfId="87" priority="48" stopIfTrue="1">
      <formula>T51-SUM(AB53:AB55)&lt;0</formula>
    </cfRule>
  </conditionalFormatting>
  <conditionalFormatting sqref="W111">
    <cfRule type="expression" dxfId="86" priority="75" stopIfTrue="1">
      <formula>ABS(P111-W111)&lt;10000</formula>
    </cfRule>
    <cfRule type="expression" dxfId="85" priority="76" stopIfTrue="1">
      <formula>ABS((P111-W111)/W111)&gt;0.05</formula>
    </cfRule>
  </conditionalFormatting>
  <conditionalFormatting sqref="W116">
    <cfRule type="expression" dxfId="84" priority="51" stopIfTrue="1">
      <formula>ABS(P117-W116)&lt;10000</formula>
    </cfRule>
    <cfRule type="expression" dxfId="83" priority="52" stopIfTrue="1">
      <formula>ABS((P117-W116)/W116)&gt;0.05</formula>
    </cfRule>
  </conditionalFormatting>
  <conditionalFormatting sqref="W117:W118 I118 P118">
    <cfRule type="cellIs" dxfId="82" priority="32" stopIfTrue="1" operator="lessThan">
      <formula>-500</formula>
    </cfRule>
  </conditionalFormatting>
  <dataValidations count="1">
    <dataValidation type="decimal" operator="lessThan" allowBlank="1" showInputMessage="1" showErrorMessage="1" error="Beloppet ska vara i 1000 tal kr" sqref="V111 R111:U112 R93:V96 C93:N96 R99:V101 R84:V84 G114 R104:V107 C99:N101 C104:N107 C87:N88 C84:N84 I118 C79:N82 R79:V82 C111:O112 C70:N71 C73:N76 R73:V76 R70:V71 C13:N16 C19:N29 C33:N36 C39:N41 C46:N50 C53:N57 R53:V57 R46:V50 R39:V41 R33:V36 R19:V29 R13:V16 R60:V62 C60:N62 R87:V88 W117:W120 P118:P123 R64:V66 C64:N66" xr:uid="{00000000-0002-0000-0600-000000000000}">
      <formula1>99999999</formula1>
    </dataValidation>
  </dataValidations>
  <pageMargins left="0.43307086614173229" right="0.70866141732283472" top="0.43307086614173229" bottom="0" header="7.874015748031496E-2" footer="3.937007874015748E-2"/>
  <pageSetup paperSize="9" scale="83" orientation="landscape" r:id="rId4"/>
  <headerFooter>
    <oddHeader>&amp;LStatistiska Centralbyrån
Offentlig ekonomi</oddHeader>
  </headerFooter>
  <rowBreaks count="3" manualBreakCount="3">
    <brk id="43" max="16383" man="1"/>
    <brk id="68" max="16383" man="1"/>
    <brk id="90" max="16383" man="1"/>
  </rowBreaks>
  <colBreaks count="1" manualBreakCount="1">
    <brk id="16" max="1048575" man="1"/>
  </colBreaks>
  <ignoredErrors>
    <ignoredError sqref="A63:A113 A13:A61" numberStoredAsText="1"/>
  </ignoredErrors>
  <legacyDrawing r:id="rId5"/>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tabColor rgb="FFFFFF00"/>
  </sheetPr>
  <dimension ref="A1:AD58"/>
  <sheetViews>
    <sheetView showGridLines="0" zoomScaleNormal="100" workbookViewId="0">
      <pane xSplit="2" ySplit="8" topLeftCell="C9" activePane="bottomRight" state="frozen"/>
      <selection activeCell="F36" sqref="F36"/>
      <selection pane="topRight" activeCell="F36" sqref="F36"/>
      <selection pane="bottomLeft" activeCell="F36" sqref="F36"/>
      <selection pane="bottomRight" activeCell="C8" sqref="C8"/>
    </sheetView>
  </sheetViews>
  <sheetFormatPr defaultColWidth="0" defaultRowHeight="9" zeroHeight="1"/>
  <cols>
    <col min="1" max="1" width="5.42578125" style="138" customWidth="1"/>
    <col min="2" max="2" width="30.5703125" style="138" customWidth="1"/>
    <col min="3" max="3" width="8.5703125" style="138" customWidth="1"/>
    <col min="4" max="13" width="9.42578125" style="138" customWidth="1"/>
    <col min="14" max="14" width="8.42578125" style="138" customWidth="1"/>
    <col min="15" max="23" width="9.42578125" style="138" customWidth="1"/>
    <col min="24" max="24" width="8.42578125" style="138" customWidth="1"/>
    <col min="25" max="29" width="9.42578125" style="138" customWidth="1"/>
    <col min="30" max="30" width="25.5703125" style="138" customWidth="1"/>
    <col min="31" max="16384" width="0" style="138" hidden="1"/>
  </cols>
  <sheetData>
    <row r="1" spans="1:30" s="163" customFormat="1" ht="18.75" customHeight="1">
      <c r="A1" s="162"/>
      <c r="B1" s="74"/>
      <c r="C1" s="73" t="str">
        <f>"Motpartsredovisning "&amp;År&amp;", miljoner kr"</f>
        <v>Motpartsredovisning 2024, miljoner kr</v>
      </c>
      <c r="D1" s="74"/>
      <c r="E1" s="162"/>
      <c r="F1" s="162"/>
      <c r="G1" s="162"/>
      <c r="H1" s="162"/>
      <c r="I1" s="162"/>
      <c r="J1" s="475" t="s">
        <v>446</v>
      </c>
      <c r="K1" s="476" t="str">
        <f>Information!A2</f>
        <v>RIKSTOTAL</v>
      </c>
      <c r="L1" s="162"/>
      <c r="M1" s="162"/>
      <c r="N1" s="73"/>
      <c r="O1" s="162"/>
      <c r="P1" s="162"/>
      <c r="Q1" s="162"/>
      <c r="R1" s="162"/>
      <c r="S1" s="73" t="str">
        <f>"Motpartsredovisning "&amp;År&amp;", miljoner kr"</f>
        <v>Motpartsredovisning 2024, miljoner kr</v>
      </c>
      <c r="T1" s="162"/>
      <c r="U1" s="162"/>
      <c r="V1" s="162"/>
      <c r="W1" s="162"/>
      <c r="X1" s="162"/>
      <c r="Y1" s="162"/>
      <c r="Z1" s="475" t="s">
        <v>446</v>
      </c>
      <c r="AA1" s="476" t="str">
        <f>Information!A2</f>
        <v>RIKSTOTAL</v>
      </c>
      <c r="AB1" s="162"/>
      <c r="AC1" s="162"/>
      <c r="AD1" s="2110"/>
    </row>
    <row r="2" spans="1:30" s="163" customFormat="1" ht="11.25" customHeight="1">
      <c r="A2" s="2110"/>
      <c r="B2" s="2110"/>
      <c r="C2" s="2110"/>
      <c r="D2" s="2110"/>
      <c r="E2" s="2110"/>
      <c r="F2" s="2110"/>
      <c r="G2" s="2110"/>
      <c r="H2" s="2110"/>
      <c r="I2" s="2110"/>
      <c r="J2" s="2110"/>
      <c r="K2" s="2110"/>
      <c r="L2" s="2110"/>
      <c r="M2" s="2110"/>
      <c r="N2" s="2110"/>
      <c r="O2" s="2110"/>
      <c r="P2" s="2110"/>
      <c r="Q2" s="2110"/>
      <c r="R2" s="2110"/>
      <c r="S2" s="2110"/>
      <c r="T2" s="2110"/>
      <c r="U2" s="2110"/>
      <c r="V2" s="2110"/>
      <c r="W2" s="2110"/>
      <c r="X2" s="2110"/>
      <c r="Y2" s="2110"/>
      <c r="Z2" s="2110"/>
      <c r="AA2" s="2110"/>
      <c r="AB2" s="2110"/>
      <c r="AC2" s="2110"/>
      <c r="AD2" s="2110"/>
    </row>
    <row r="3" spans="1:30" ht="11.25" customHeight="1" thickBot="1">
      <c r="A3" s="2110"/>
      <c r="B3" s="2110"/>
      <c r="C3" s="2110"/>
      <c r="D3" s="2110"/>
      <c r="E3" s="2110"/>
      <c r="F3" s="2110"/>
      <c r="G3" s="2110"/>
      <c r="H3" s="2110"/>
      <c r="I3" s="2110"/>
      <c r="J3" s="2110"/>
      <c r="K3" s="2110"/>
      <c r="L3" s="2110"/>
      <c r="M3" s="2110"/>
      <c r="N3" s="2110"/>
      <c r="O3" s="2110"/>
      <c r="P3" s="2110"/>
      <c r="Q3" s="2110"/>
      <c r="R3" s="2110"/>
      <c r="S3" s="2110"/>
      <c r="T3" s="2110"/>
      <c r="U3" s="2110"/>
      <c r="V3" s="2110"/>
      <c r="W3" s="2110"/>
      <c r="X3" s="2110"/>
      <c r="Y3" s="2110"/>
      <c r="Z3" s="2110"/>
      <c r="AA3" s="2110"/>
      <c r="AB3" s="2110"/>
      <c r="AC3" s="2110"/>
      <c r="AD3" s="2110"/>
    </row>
    <row r="4" spans="1:30" s="1201" customFormat="1" ht="18" customHeight="1">
      <c r="A4" s="1194" t="s">
        <v>603</v>
      </c>
      <c r="B4" s="1195" t="s">
        <v>13</v>
      </c>
      <c r="C4" s="1184"/>
      <c r="D4" s="1202" t="s">
        <v>768</v>
      </c>
      <c r="E4" s="1195"/>
      <c r="F4" s="1195"/>
      <c r="G4" s="1195"/>
      <c r="H4" s="1195"/>
      <c r="I4" s="1195"/>
      <c r="J4" s="1195"/>
      <c r="K4" s="1195"/>
      <c r="L4" s="1195"/>
      <c r="M4" s="1196"/>
      <c r="N4" s="1202" t="s">
        <v>746</v>
      </c>
      <c r="O4" s="1195"/>
      <c r="P4" s="1195"/>
      <c r="Q4" s="1195"/>
      <c r="R4" s="1195"/>
      <c r="S4" s="1195"/>
      <c r="T4" s="1195"/>
      <c r="U4" s="1195"/>
      <c r="V4" s="1195"/>
      <c r="W4" s="1195"/>
      <c r="X4" s="1197"/>
      <c r="Y4" s="1203" t="s">
        <v>530</v>
      </c>
      <c r="Z4" s="1198"/>
      <c r="AA4" s="1199"/>
      <c r="AB4" s="1199"/>
      <c r="AC4" s="1200"/>
      <c r="AD4" s="2110"/>
    </row>
    <row r="5" spans="1:30" ht="36.75" customHeight="1">
      <c r="A5" s="722" t="s">
        <v>605</v>
      </c>
      <c r="B5" s="967"/>
      <c r="C5" s="1302" t="s">
        <v>490</v>
      </c>
      <c r="D5" s="968" t="s">
        <v>457</v>
      </c>
      <c r="E5" s="962" t="s">
        <v>482</v>
      </c>
      <c r="F5" s="962" t="s">
        <v>458</v>
      </c>
      <c r="G5" s="962" t="s">
        <v>123</v>
      </c>
      <c r="H5" s="962" t="s">
        <v>1011</v>
      </c>
      <c r="I5" s="962" t="s">
        <v>459</v>
      </c>
      <c r="J5" s="962" t="s">
        <v>785</v>
      </c>
      <c r="K5" s="962" t="s">
        <v>1061</v>
      </c>
      <c r="L5" s="962" t="s">
        <v>148</v>
      </c>
      <c r="M5" s="964" t="s">
        <v>498</v>
      </c>
      <c r="N5" s="1271" t="s">
        <v>490</v>
      </c>
      <c r="O5" s="962" t="s">
        <v>457</v>
      </c>
      <c r="P5" s="1185" t="s">
        <v>482</v>
      </c>
      <c r="Q5" s="1185" t="s">
        <v>458</v>
      </c>
      <c r="R5" s="1185" t="s">
        <v>123</v>
      </c>
      <c r="S5" s="1185" t="s">
        <v>1011</v>
      </c>
      <c r="T5" s="1185" t="s">
        <v>1061</v>
      </c>
      <c r="U5" s="1185" t="s">
        <v>786</v>
      </c>
      <c r="V5" s="1185" t="s">
        <v>785</v>
      </c>
      <c r="W5" s="1185" t="s">
        <v>148</v>
      </c>
      <c r="X5" s="961" t="s">
        <v>498</v>
      </c>
      <c r="Y5" s="1962" t="s">
        <v>1176</v>
      </c>
      <c r="Z5" s="962" t="s">
        <v>1065</v>
      </c>
      <c r="AA5" s="963" t="s">
        <v>1177</v>
      </c>
      <c r="AB5" s="963" t="s">
        <v>460</v>
      </c>
      <c r="AC5" s="964" t="s">
        <v>461</v>
      </c>
      <c r="AD5" s="2110"/>
    </row>
    <row r="6" spans="1:30" ht="40.5" customHeight="1">
      <c r="A6" s="1033"/>
      <c r="B6" s="2042" t="str">
        <f>"BAS "&amp;År-2000&amp;""</f>
        <v>BAS 24</v>
      </c>
      <c r="C6" s="1270"/>
      <c r="D6" s="1443" t="s">
        <v>747</v>
      </c>
      <c r="E6" s="1444" t="s">
        <v>748</v>
      </c>
      <c r="F6" s="1444" t="s">
        <v>749</v>
      </c>
      <c r="G6" s="1444" t="s">
        <v>750</v>
      </c>
      <c r="H6" s="1444" t="s">
        <v>751</v>
      </c>
      <c r="I6" s="1444" t="s">
        <v>752</v>
      </c>
      <c r="J6" s="1444" t="s">
        <v>753</v>
      </c>
      <c r="K6" s="1444" t="s">
        <v>754</v>
      </c>
      <c r="L6" s="1444" t="s">
        <v>755</v>
      </c>
      <c r="M6" s="965"/>
      <c r="N6" s="1272"/>
      <c r="O6" s="1443" t="s">
        <v>747</v>
      </c>
      <c r="P6" s="1444" t="s">
        <v>748</v>
      </c>
      <c r="Q6" s="1444" t="s">
        <v>749</v>
      </c>
      <c r="R6" s="1444" t="s">
        <v>750</v>
      </c>
      <c r="S6" s="1444" t="s">
        <v>751</v>
      </c>
      <c r="T6" s="1444" t="s">
        <v>754</v>
      </c>
      <c r="U6" s="1444" t="s">
        <v>752</v>
      </c>
      <c r="V6" s="1444" t="s">
        <v>753</v>
      </c>
      <c r="W6" s="1444" t="s">
        <v>755</v>
      </c>
      <c r="X6" s="965"/>
      <c r="Y6" s="1963" t="s">
        <v>1012</v>
      </c>
      <c r="Z6" s="1448" t="s">
        <v>756</v>
      </c>
      <c r="AA6" s="1444" t="s">
        <v>757</v>
      </c>
      <c r="AB6" s="1444" t="s">
        <v>131</v>
      </c>
      <c r="AC6" s="2320" t="s">
        <v>1094</v>
      </c>
      <c r="AD6" s="2110"/>
    </row>
    <row r="7" spans="1:30" ht="4.5" customHeight="1">
      <c r="A7" s="970"/>
      <c r="B7" s="1445"/>
      <c r="C7" s="1446"/>
      <c r="D7" s="1438"/>
      <c r="E7" s="1439"/>
      <c r="F7" s="1439"/>
      <c r="G7" s="1439"/>
      <c r="H7" s="1439"/>
      <c r="I7" s="1439"/>
      <c r="J7" s="1439"/>
      <c r="K7" s="1439"/>
      <c r="L7" s="1447"/>
      <c r="M7" s="965"/>
      <c r="N7" s="1437"/>
      <c r="O7" s="1438"/>
      <c r="P7" s="1439"/>
      <c r="Q7" s="1439"/>
      <c r="R7" s="1439"/>
      <c r="S7" s="1439"/>
      <c r="T7" s="1439"/>
      <c r="U7" s="1440"/>
      <c r="V7" s="1439"/>
      <c r="W7" s="516"/>
      <c r="X7" s="965"/>
      <c r="Y7" s="1449"/>
      <c r="Z7" s="2315"/>
      <c r="AA7" s="2316"/>
      <c r="AB7" s="1450"/>
      <c r="AC7" s="1451"/>
      <c r="AD7" s="2110"/>
    </row>
    <row r="8" spans="1:30" ht="12" hidden="1" customHeight="1">
      <c r="A8" s="969"/>
      <c r="B8" s="1441"/>
      <c r="C8" s="1442"/>
      <c r="D8" s="1427"/>
      <c r="E8" s="1428"/>
      <c r="F8" s="1428"/>
      <c r="G8" s="1428"/>
      <c r="H8" s="1428"/>
      <c r="I8" s="1428"/>
      <c r="J8" s="1428"/>
      <c r="K8" s="1428"/>
      <c r="L8" s="1429"/>
      <c r="M8" s="966"/>
      <c r="N8" s="1430"/>
      <c r="O8" s="1427"/>
      <c r="P8" s="1428"/>
      <c r="Q8" s="1428"/>
      <c r="R8" s="1428"/>
      <c r="S8" s="1428"/>
      <c r="T8" s="1428"/>
      <c r="U8" s="1431"/>
      <c r="V8" s="1428"/>
      <c r="W8" s="1432"/>
      <c r="X8" s="966"/>
      <c r="Y8" s="1433"/>
      <c r="Z8" s="1434"/>
      <c r="AA8" s="1434"/>
      <c r="AB8" s="1435"/>
      <c r="AC8" s="1436"/>
      <c r="AD8" s="2110"/>
    </row>
    <row r="9" spans="1:30" ht="14.25" customHeight="1">
      <c r="A9" s="1376">
        <v>190</v>
      </c>
      <c r="B9" s="972" t="s">
        <v>15</v>
      </c>
      <c r="C9" s="79">
        <f>Drift!F17</f>
        <v>285.08499999999998</v>
      </c>
      <c r="D9" s="62">
        <v>2.665</v>
      </c>
      <c r="E9" s="62">
        <v>0.246</v>
      </c>
      <c r="F9" s="62">
        <v>15.534000000000001</v>
      </c>
      <c r="G9" s="62">
        <v>242.62299999999999</v>
      </c>
      <c r="H9" s="62">
        <v>3.5750000000000002</v>
      </c>
      <c r="I9" s="62">
        <v>0.111</v>
      </c>
      <c r="J9" s="1130">
        <v>0</v>
      </c>
      <c r="K9" s="179">
        <v>20.212</v>
      </c>
      <c r="L9" s="179">
        <v>0.12</v>
      </c>
      <c r="M9" s="402">
        <f>C9-SUM(D9:L9)</f>
        <v>-9.9999999997635314E-4</v>
      </c>
      <c r="N9" s="403">
        <f>Drift!H17</f>
        <v>714.17600000000004</v>
      </c>
      <c r="O9" s="62">
        <v>573.62599999999998</v>
      </c>
      <c r="P9" s="62">
        <v>7.7</v>
      </c>
      <c r="Q9" s="62">
        <v>47.91</v>
      </c>
      <c r="R9" s="62">
        <v>8.907</v>
      </c>
      <c r="S9" s="62">
        <v>21.786000000000001</v>
      </c>
      <c r="T9" s="62">
        <v>45.796999999999997</v>
      </c>
      <c r="U9" s="62">
        <v>1.9650000000000001</v>
      </c>
      <c r="V9" s="62">
        <v>6.423</v>
      </c>
      <c r="W9" s="62">
        <v>6.2E-2</v>
      </c>
      <c r="X9" s="402">
        <f>N9-SUM(O9:W9)</f>
        <v>0</v>
      </c>
      <c r="Y9" s="404">
        <v>205.369</v>
      </c>
      <c r="Z9" s="62">
        <v>1E-3</v>
      </c>
      <c r="AA9" s="62">
        <v>92.61</v>
      </c>
      <c r="AB9" s="62">
        <v>1.867</v>
      </c>
      <c r="AC9" s="95">
        <v>38.195</v>
      </c>
      <c r="AD9" s="2110"/>
    </row>
    <row r="10" spans="1:30" ht="13.35" customHeight="1">
      <c r="A10" s="512" t="s">
        <v>221</v>
      </c>
      <c r="B10" s="518" t="s">
        <v>147</v>
      </c>
      <c r="C10" s="79">
        <f>Drift!F30</f>
        <v>12511.296999999999</v>
      </c>
      <c r="D10" s="50">
        <v>122.842</v>
      </c>
      <c r="E10" s="50">
        <v>1918.3119999999999</v>
      </c>
      <c r="F10" s="50">
        <v>5024.4049999999997</v>
      </c>
      <c r="G10" s="50">
        <v>586.71100000000001</v>
      </c>
      <c r="H10" s="50">
        <v>10.468999999999999</v>
      </c>
      <c r="I10" s="50">
        <v>59.564999999999998</v>
      </c>
      <c r="J10" s="1124">
        <v>0</v>
      </c>
      <c r="K10" s="51">
        <v>4780.5410000000002</v>
      </c>
      <c r="L10" s="179">
        <v>8.4540000000000006</v>
      </c>
      <c r="M10" s="402">
        <f t="shared" ref="M10:M40" si="0">C10-SUM(D10:L10)</f>
        <v>-2.0000000004074536E-3</v>
      </c>
      <c r="N10" s="403">
        <f>Drift!H30</f>
        <v>4495.5360000000001</v>
      </c>
      <c r="O10" s="50">
        <v>608.81600000000003</v>
      </c>
      <c r="P10" s="50">
        <v>666.18799999999999</v>
      </c>
      <c r="Q10" s="50">
        <v>453.35500000000002</v>
      </c>
      <c r="R10" s="50">
        <v>28.161000000000001</v>
      </c>
      <c r="S10" s="50">
        <v>5.6349999999999998</v>
      </c>
      <c r="T10" s="50">
        <v>664.28700000000003</v>
      </c>
      <c r="U10" s="50">
        <v>2027.3030000000001</v>
      </c>
      <c r="V10" s="50">
        <v>40.17</v>
      </c>
      <c r="W10" s="50">
        <v>1.617</v>
      </c>
      <c r="X10" s="402">
        <f t="shared" ref="X10:X41" si="1">N10-SUM(O10:W10)</f>
        <v>3.9999999999054126E-3</v>
      </c>
      <c r="Y10" s="405">
        <v>579.096</v>
      </c>
      <c r="Z10" s="50">
        <v>9.5809999999999995</v>
      </c>
      <c r="AA10" s="50">
        <v>2009.52</v>
      </c>
      <c r="AB10" s="50">
        <v>139.95500000000001</v>
      </c>
      <c r="AC10" s="171">
        <v>2101.2350000000001</v>
      </c>
      <c r="AD10" s="2110"/>
    </row>
    <row r="11" spans="1:30" ht="13.35" customHeight="1">
      <c r="A11" s="512">
        <v>339</v>
      </c>
      <c r="B11" s="518" t="s">
        <v>70</v>
      </c>
      <c r="C11" s="79">
        <f>Drift!F37</f>
        <v>284.59699999999998</v>
      </c>
      <c r="D11" s="62">
        <v>58.316000000000003</v>
      </c>
      <c r="E11" s="62">
        <v>60.072000000000003</v>
      </c>
      <c r="F11" s="62">
        <v>141.63499999999999</v>
      </c>
      <c r="G11" s="62">
        <v>7.4790000000000001</v>
      </c>
      <c r="H11" s="62">
        <v>0.90300000000000002</v>
      </c>
      <c r="I11" s="62">
        <v>0.53900000000000003</v>
      </c>
      <c r="J11" s="1130">
        <v>0</v>
      </c>
      <c r="K11" s="179">
        <v>14.808999999999999</v>
      </c>
      <c r="L11" s="179">
        <v>0.84399999999999997</v>
      </c>
      <c r="M11" s="402">
        <f t="shared" si="0"/>
        <v>0</v>
      </c>
      <c r="N11" s="403">
        <f>Drift!H37</f>
        <v>1989.6750000000002</v>
      </c>
      <c r="O11" s="62">
        <v>1204.0809999999999</v>
      </c>
      <c r="P11" s="62">
        <v>317.47000000000003</v>
      </c>
      <c r="Q11" s="62">
        <v>307.06900000000002</v>
      </c>
      <c r="R11" s="62">
        <v>1.675</v>
      </c>
      <c r="S11" s="62">
        <v>48.94</v>
      </c>
      <c r="T11" s="62">
        <v>51.607999999999997</v>
      </c>
      <c r="U11" s="62">
        <v>21.859000000000002</v>
      </c>
      <c r="V11" s="62">
        <v>36.332000000000001</v>
      </c>
      <c r="W11" s="62">
        <v>0.63900000000000001</v>
      </c>
      <c r="X11" s="402">
        <f t="shared" si="1"/>
        <v>2.0000000004074536E-3</v>
      </c>
      <c r="Y11" s="404">
        <v>23.074000000000002</v>
      </c>
      <c r="Z11" s="62">
        <v>3.363</v>
      </c>
      <c r="AA11" s="62">
        <v>545.42100000000005</v>
      </c>
      <c r="AB11" s="62">
        <v>7.4859999999999998</v>
      </c>
      <c r="AC11" s="95">
        <v>416.59899999999999</v>
      </c>
      <c r="AD11" s="2110"/>
    </row>
    <row r="12" spans="1:30" ht="13.35" customHeight="1">
      <c r="A12" s="512">
        <v>359</v>
      </c>
      <c r="B12" s="518" t="s">
        <v>132</v>
      </c>
      <c r="C12" s="79">
        <f>Drift!F42</f>
        <v>880.58500000000004</v>
      </c>
      <c r="D12" s="62">
        <v>240.65</v>
      </c>
      <c r="E12" s="62">
        <v>232.07400000000001</v>
      </c>
      <c r="F12" s="62">
        <v>378.62299999999999</v>
      </c>
      <c r="G12" s="62">
        <v>25.587</v>
      </c>
      <c r="H12" s="62">
        <v>0.3</v>
      </c>
      <c r="I12" s="62">
        <v>8.6999999999999994E-2</v>
      </c>
      <c r="J12" s="1130">
        <v>0</v>
      </c>
      <c r="K12" s="179">
        <v>2.9769999999999999</v>
      </c>
      <c r="L12" s="179">
        <v>0.28699999999999998</v>
      </c>
      <c r="M12" s="402">
        <f t="shared" si="0"/>
        <v>0</v>
      </c>
      <c r="N12" s="403">
        <f>Drift!H42</f>
        <v>2192.6680000000001</v>
      </c>
      <c r="O12" s="62">
        <v>1955.4490000000001</v>
      </c>
      <c r="P12" s="62">
        <v>112.816</v>
      </c>
      <c r="Q12" s="62">
        <v>109.31699999999999</v>
      </c>
      <c r="R12" s="62">
        <v>2.214</v>
      </c>
      <c r="S12" s="62">
        <v>0.16600000000000001</v>
      </c>
      <c r="T12" s="62">
        <v>0.81399999999999995</v>
      </c>
      <c r="U12" s="62">
        <v>1.3680000000000001</v>
      </c>
      <c r="V12" s="62">
        <v>10.375</v>
      </c>
      <c r="W12" s="62">
        <v>0.14899999999999999</v>
      </c>
      <c r="X12" s="402">
        <f t="shared" si="1"/>
        <v>0</v>
      </c>
      <c r="Y12" s="404">
        <v>30.123999999999999</v>
      </c>
      <c r="Z12" s="62">
        <v>1.784</v>
      </c>
      <c r="AA12" s="62">
        <v>164.14599999999999</v>
      </c>
      <c r="AB12" s="62">
        <v>12.722</v>
      </c>
      <c r="AC12" s="95">
        <v>151.041</v>
      </c>
      <c r="AD12" s="2110"/>
    </row>
    <row r="13" spans="1:30" ht="13.35" customHeight="1">
      <c r="A13" s="512">
        <v>407</v>
      </c>
      <c r="B13" s="518" t="s">
        <v>79</v>
      </c>
      <c r="C13" s="79">
        <f>Drift!F47</f>
        <v>19522.600999999999</v>
      </c>
      <c r="D13" s="50">
        <v>4771.5020000000004</v>
      </c>
      <c r="E13" s="50">
        <v>11.018000000000001</v>
      </c>
      <c r="F13" s="50">
        <v>14239.271000000001</v>
      </c>
      <c r="G13" s="50">
        <v>457.06099999999998</v>
      </c>
      <c r="H13" s="50">
        <v>1.919</v>
      </c>
      <c r="I13" s="50">
        <v>41.508000000000003</v>
      </c>
      <c r="J13" s="1124">
        <v>0</v>
      </c>
      <c r="K13" s="51">
        <v>0.27800000000000002</v>
      </c>
      <c r="L13" s="179">
        <v>4.4999999999999998E-2</v>
      </c>
      <c r="M13" s="1160">
        <f>C13-SUM(D13:L13)</f>
        <v>-1.0000000038417056E-3</v>
      </c>
      <c r="N13" s="403">
        <f>Drift!H47</f>
        <v>70.244</v>
      </c>
      <c r="O13" s="50">
        <v>10.941000000000001</v>
      </c>
      <c r="P13" s="50">
        <v>0.06</v>
      </c>
      <c r="Q13" s="50">
        <v>53.02</v>
      </c>
      <c r="R13" s="50">
        <v>0.49</v>
      </c>
      <c r="S13" s="50">
        <v>0.11700000000000001</v>
      </c>
      <c r="T13" s="50">
        <v>0.16300000000000001</v>
      </c>
      <c r="U13" s="50">
        <v>0.433</v>
      </c>
      <c r="V13" s="50">
        <v>3.5329999999999999</v>
      </c>
      <c r="W13" s="50">
        <v>1.486</v>
      </c>
      <c r="X13" s="402">
        <f t="shared" si="1"/>
        <v>9.9999999999056399E-4</v>
      </c>
      <c r="Y13" s="405">
        <v>449.42500000000001</v>
      </c>
      <c r="Z13" s="50">
        <v>5.1980000000000004</v>
      </c>
      <c r="AA13" s="50">
        <v>5109.0839999999998</v>
      </c>
      <c r="AB13" s="50">
        <v>12.832000000000001</v>
      </c>
      <c r="AC13" s="95">
        <v>1176.22</v>
      </c>
      <c r="AD13" s="2110"/>
    </row>
    <row r="14" spans="1:30" ht="13.35" customHeight="1">
      <c r="A14" s="512">
        <v>412</v>
      </c>
      <c r="B14" s="518" t="s">
        <v>80</v>
      </c>
      <c r="C14" s="79">
        <f>Drift!F48</f>
        <v>542.04</v>
      </c>
      <c r="D14" s="50">
        <v>71.744</v>
      </c>
      <c r="E14" s="50">
        <v>0</v>
      </c>
      <c r="F14" s="50">
        <v>464.89299999999997</v>
      </c>
      <c r="G14" s="50">
        <v>5.3949999999999996</v>
      </c>
      <c r="H14" s="50">
        <v>5.0000000000000001E-3</v>
      </c>
      <c r="I14" s="50">
        <v>3.0000000000000001E-3</v>
      </c>
      <c r="J14" s="1124">
        <v>0</v>
      </c>
      <c r="K14" s="51">
        <v>0</v>
      </c>
      <c r="L14" s="179">
        <v>0</v>
      </c>
      <c r="M14" s="1160">
        <f t="shared" si="0"/>
        <v>0</v>
      </c>
      <c r="N14" s="403">
        <f>Drift!H48</f>
        <v>0.434</v>
      </c>
      <c r="O14" s="50">
        <v>6.0000000000000001E-3</v>
      </c>
      <c r="P14" s="50">
        <v>1E-3</v>
      </c>
      <c r="Q14" s="50">
        <v>0.4</v>
      </c>
      <c r="R14" s="50">
        <v>1E-3</v>
      </c>
      <c r="S14" s="50">
        <v>8.9999999999999993E-3</v>
      </c>
      <c r="T14" s="50">
        <v>1E-3</v>
      </c>
      <c r="U14" s="50">
        <v>1.2999999999999999E-2</v>
      </c>
      <c r="V14" s="50">
        <v>3.0000000000000001E-3</v>
      </c>
      <c r="W14" s="50">
        <v>0</v>
      </c>
      <c r="X14" s="402">
        <f t="shared" si="1"/>
        <v>0</v>
      </c>
      <c r="Y14" s="405">
        <v>3.6909999999999998</v>
      </c>
      <c r="Z14" s="50">
        <v>0</v>
      </c>
      <c r="AA14" s="50">
        <v>21.207000000000001</v>
      </c>
      <c r="AB14" s="50">
        <v>2.9000000000000001E-2</v>
      </c>
      <c r="AC14" s="95">
        <v>26.231999999999999</v>
      </c>
      <c r="AD14" s="2110"/>
    </row>
    <row r="15" spans="1:30" ht="13.35" customHeight="1">
      <c r="A15" s="512">
        <v>425</v>
      </c>
      <c r="B15" s="518" t="s">
        <v>82</v>
      </c>
      <c r="C15" s="79">
        <f>Drift!F50</f>
        <v>3002.6109999999999</v>
      </c>
      <c r="D15" s="50">
        <v>760.04200000000003</v>
      </c>
      <c r="E15" s="50">
        <v>2.7509999999999999</v>
      </c>
      <c r="F15" s="50">
        <v>2000.153</v>
      </c>
      <c r="G15" s="50">
        <v>172.81899999999999</v>
      </c>
      <c r="H15" s="50">
        <v>1.04</v>
      </c>
      <c r="I15" s="50">
        <v>65.210999999999999</v>
      </c>
      <c r="J15" s="1124">
        <v>0</v>
      </c>
      <c r="K15" s="51">
        <v>0.55000000000000004</v>
      </c>
      <c r="L15" s="179">
        <v>4.5999999999999999E-2</v>
      </c>
      <c r="M15" s="1160">
        <f>C15-SUM(D15:L15)</f>
        <v>-9.9999999974897946E-4</v>
      </c>
      <c r="N15" s="403">
        <f>Drift!H50</f>
        <v>7.4880000000000004</v>
      </c>
      <c r="O15" s="50">
        <v>1.2849999999999999</v>
      </c>
      <c r="P15" s="50">
        <v>1.8839999999999999</v>
      </c>
      <c r="Q15" s="50">
        <v>0.55000000000000004</v>
      </c>
      <c r="R15" s="50">
        <v>-0.03</v>
      </c>
      <c r="S15" s="50">
        <v>2.1000000000000001E-2</v>
      </c>
      <c r="T15" s="50">
        <v>4.2000000000000003E-2</v>
      </c>
      <c r="U15" s="50">
        <v>3.351</v>
      </c>
      <c r="V15" s="50">
        <v>0.38400000000000001</v>
      </c>
      <c r="W15" s="50">
        <v>0</v>
      </c>
      <c r="X15" s="402">
        <f t="shared" si="1"/>
        <v>1.000000000000334E-3</v>
      </c>
      <c r="Y15" s="405">
        <v>171.92699999999999</v>
      </c>
      <c r="Z15" s="50">
        <v>2.5000000000000001E-2</v>
      </c>
      <c r="AA15" s="50">
        <v>721.81299999999999</v>
      </c>
      <c r="AB15" s="50">
        <v>1.986</v>
      </c>
      <c r="AC15" s="95">
        <v>166.815</v>
      </c>
      <c r="AD15" s="2110"/>
    </row>
    <row r="16" spans="1:30" ht="20.25" customHeight="1">
      <c r="A16" s="512">
        <v>419</v>
      </c>
      <c r="B16" s="518" t="s">
        <v>153</v>
      </c>
      <c r="C16" s="79">
        <f>SUM(Drift!F46,Drift!F49)</f>
        <v>94.414000000000001</v>
      </c>
      <c r="D16" s="50">
        <v>43.128</v>
      </c>
      <c r="E16" s="50">
        <v>0</v>
      </c>
      <c r="F16" s="50">
        <v>49.006999999999998</v>
      </c>
      <c r="G16" s="50">
        <v>1.9950000000000001</v>
      </c>
      <c r="H16" s="50">
        <v>0.27300000000000002</v>
      </c>
      <c r="I16" s="50">
        <v>1.0999999999999999E-2</v>
      </c>
      <c r="J16" s="1124">
        <v>0</v>
      </c>
      <c r="K16" s="51">
        <v>0</v>
      </c>
      <c r="L16" s="179">
        <v>0</v>
      </c>
      <c r="M16" s="1160">
        <f t="shared" si="0"/>
        <v>0</v>
      </c>
      <c r="N16" s="403">
        <f>SUM(Drift!H46,Drift!H49)</f>
        <v>1.879</v>
      </c>
      <c r="O16" s="50">
        <v>1.758</v>
      </c>
      <c r="P16" s="50">
        <v>0</v>
      </c>
      <c r="Q16" s="50">
        <v>0.10299999999999999</v>
      </c>
      <c r="R16" s="50">
        <v>0</v>
      </c>
      <c r="S16" s="50">
        <v>5.0000000000000001E-3</v>
      </c>
      <c r="T16" s="50">
        <v>1.0999999999999999E-2</v>
      </c>
      <c r="U16" s="50">
        <v>2E-3</v>
      </c>
      <c r="V16" s="50">
        <v>0</v>
      </c>
      <c r="W16" s="50">
        <v>0</v>
      </c>
      <c r="X16" s="402">
        <f t="shared" si="1"/>
        <v>0</v>
      </c>
      <c r="Y16" s="405">
        <v>1.488</v>
      </c>
      <c r="Z16" s="50">
        <v>1.34</v>
      </c>
      <c r="AA16" s="50">
        <v>20.457999999999998</v>
      </c>
      <c r="AB16" s="50">
        <v>2E-3</v>
      </c>
      <c r="AC16" s="95">
        <v>7.0910000000000002</v>
      </c>
      <c r="AD16" s="2110"/>
    </row>
    <row r="17" spans="1:30" ht="13.35" customHeight="1">
      <c r="A17" s="512">
        <v>435</v>
      </c>
      <c r="B17" s="518" t="s">
        <v>466</v>
      </c>
      <c r="C17" s="79">
        <f>Drift!F53</f>
        <v>1341.7249999999999</v>
      </c>
      <c r="D17" s="50">
        <v>352.31</v>
      </c>
      <c r="E17" s="50">
        <v>1.3879999999999999</v>
      </c>
      <c r="F17" s="50">
        <v>912.86099999999999</v>
      </c>
      <c r="G17" s="50">
        <v>60.822000000000003</v>
      </c>
      <c r="H17" s="50">
        <v>0.51800000000000002</v>
      </c>
      <c r="I17" s="50">
        <v>13.33</v>
      </c>
      <c r="J17" s="1124">
        <v>0</v>
      </c>
      <c r="K17" s="51">
        <v>0.318</v>
      </c>
      <c r="L17" s="179">
        <v>0.17799999999999999</v>
      </c>
      <c r="M17" s="1160">
        <f t="shared" si="0"/>
        <v>0</v>
      </c>
      <c r="N17" s="403">
        <f>Drift!H53</f>
        <v>1.196</v>
      </c>
      <c r="O17" s="50">
        <v>0.33700000000000002</v>
      </c>
      <c r="P17" s="50">
        <v>4.7E-2</v>
      </c>
      <c r="Q17" s="50">
        <v>0.42199999999999999</v>
      </c>
      <c r="R17" s="50">
        <v>-6.0000000000000001E-3</v>
      </c>
      <c r="S17" s="50">
        <v>1.7000000000000001E-2</v>
      </c>
      <c r="T17" s="50">
        <v>1.4E-2</v>
      </c>
      <c r="U17" s="50">
        <v>0.248</v>
      </c>
      <c r="V17" s="50">
        <v>0.11700000000000001</v>
      </c>
      <c r="W17" s="50">
        <v>0</v>
      </c>
      <c r="X17" s="402">
        <f t="shared" si="1"/>
        <v>0</v>
      </c>
      <c r="Y17" s="405">
        <v>59.005000000000003</v>
      </c>
      <c r="Z17" s="50">
        <v>3.0000000000000001E-3</v>
      </c>
      <c r="AA17" s="50">
        <v>376.286</v>
      </c>
      <c r="AB17" s="50">
        <v>0.80100000000000005</v>
      </c>
      <c r="AC17" s="95">
        <v>75.400999999999996</v>
      </c>
      <c r="AD17" s="2110"/>
    </row>
    <row r="18" spans="1:30" ht="13.35" customHeight="1">
      <c r="A18" s="512">
        <v>440</v>
      </c>
      <c r="B18" s="518" t="s">
        <v>364</v>
      </c>
      <c r="C18" s="79">
        <f>Drift!F54</f>
        <v>24367.498</v>
      </c>
      <c r="D18" s="50">
        <v>5013.42</v>
      </c>
      <c r="E18" s="50">
        <v>16.954999999999998</v>
      </c>
      <c r="F18" s="50">
        <v>17206.488000000001</v>
      </c>
      <c r="G18" s="50">
        <v>1661.5170000000001</v>
      </c>
      <c r="H18" s="50">
        <v>18.058</v>
      </c>
      <c r="I18" s="50">
        <v>438.22899999999998</v>
      </c>
      <c r="J18" s="1124">
        <v>0</v>
      </c>
      <c r="K18" s="51">
        <v>10.252000000000001</v>
      </c>
      <c r="L18" s="179">
        <v>2.5790000000000002</v>
      </c>
      <c r="M18" s="1160">
        <f t="shared" si="0"/>
        <v>0</v>
      </c>
      <c r="N18" s="403">
        <f>Drift!H54</f>
        <v>50.871000000000002</v>
      </c>
      <c r="O18" s="50">
        <v>15.401</v>
      </c>
      <c r="P18" s="50">
        <v>5.6040000000000001</v>
      </c>
      <c r="Q18" s="50">
        <v>13.551</v>
      </c>
      <c r="R18" s="50">
        <v>0.14399999999999999</v>
      </c>
      <c r="S18" s="50">
        <v>5.157</v>
      </c>
      <c r="T18" s="50">
        <v>0.90800000000000003</v>
      </c>
      <c r="U18" s="50">
        <v>4.0010000000000003</v>
      </c>
      <c r="V18" s="50">
        <v>6.1050000000000004</v>
      </c>
      <c r="W18" s="50">
        <v>0</v>
      </c>
      <c r="X18" s="402">
        <f t="shared" si="1"/>
        <v>0</v>
      </c>
      <c r="Y18" s="405">
        <v>1659.7819999999999</v>
      </c>
      <c r="Z18" s="50">
        <v>1.089</v>
      </c>
      <c r="AA18" s="50">
        <v>12305.802</v>
      </c>
      <c r="AB18" s="50">
        <v>55.505000000000003</v>
      </c>
      <c r="AC18" s="95">
        <v>1500.29</v>
      </c>
      <c r="AD18" s="2110"/>
    </row>
    <row r="19" spans="1:30" ht="13.35" customHeight="1">
      <c r="A19" s="512">
        <v>443</v>
      </c>
      <c r="B19" s="2142" t="s">
        <v>1181</v>
      </c>
      <c r="C19" s="79">
        <f>Drift!F55</f>
        <v>753.22400000000005</v>
      </c>
      <c r="D19" s="50">
        <v>100.164</v>
      </c>
      <c r="E19" s="50">
        <v>4.7E-2</v>
      </c>
      <c r="F19" s="50">
        <v>322.392</v>
      </c>
      <c r="G19" s="50">
        <v>317.363</v>
      </c>
      <c r="H19" s="50">
        <v>1.8979999999999999</v>
      </c>
      <c r="I19" s="50">
        <v>11.186</v>
      </c>
      <c r="J19" s="1124">
        <v>0</v>
      </c>
      <c r="K19" s="51">
        <v>0.17199999999999999</v>
      </c>
      <c r="L19" s="179">
        <v>3.0000000000000001E-3</v>
      </c>
      <c r="M19" s="1160">
        <f t="shared" si="0"/>
        <v>-1.00000000009004E-3</v>
      </c>
      <c r="N19" s="403">
        <f>Drift!H55</f>
        <v>0.39400000000000002</v>
      </c>
      <c r="O19" s="50">
        <v>0.114</v>
      </c>
      <c r="P19" s="50">
        <v>6.0000000000000001E-3</v>
      </c>
      <c r="Q19" s="50">
        <v>0.06</v>
      </c>
      <c r="R19" s="50">
        <v>1E-3</v>
      </c>
      <c r="S19" s="50">
        <v>1.4999999999999999E-2</v>
      </c>
      <c r="T19" s="50">
        <v>2.5000000000000001E-2</v>
      </c>
      <c r="U19" s="50">
        <v>0.06</v>
      </c>
      <c r="V19" s="50">
        <v>0.112</v>
      </c>
      <c r="W19" s="50">
        <v>0</v>
      </c>
      <c r="X19" s="402">
        <f t="shared" si="1"/>
        <v>1.0000000000000009E-3</v>
      </c>
      <c r="Y19" s="405">
        <v>330.29899999999998</v>
      </c>
      <c r="Z19" s="50">
        <v>2E-3</v>
      </c>
      <c r="AA19" s="50">
        <v>177.69399999999999</v>
      </c>
      <c r="AB19" s="50">
        <v>0.39500000000000002</v>
      </c>
      <c r="AC19" s="95">
        <v>28.577000000000002</v>
      </c>
      <c r="AD19" s="2110"/>
    </row>
    <row r="20" spans="1:30" ht="13.35" customHeight="1">
      <c r="A20" s="512">
        <v>450</v>
      </c>
      <c r="B20" s="518" t="s">
        <v>133</v>
      </c>
      <c r="C20" s="79">
        <f>Drift!F56</f>
        <v>26638.52</v>
      </c>
      <c r="D20" s="50">
        <v>1439.277</v>
      </c>
      <c r="E20" s="50">
        <v>38.231000000000002</v>
      </c>
      <c r="F20" s="50">
        <v>13136.871999999999</v>
      </c>
      <c r="G20" s="50">
        <v>8483.7900000000009</v>
      </c>
      <c r="H20" s="50">
        <v>512.13599999999997</v>
      </c>
      <c r="I20" s="50">
        <v>155.33500000000001</v>
      </c>
      <c r="J20" s="1124">
        <v>0</v>
      </c>
      <c r="K20" s="51">
        <v>2852.8319999999999</v>
      </c>
      <c r="L20" s="179">
        <v>20.047000000000001</v>
      </c>
      <c r="M20" s="1160">
        <f t="shared" si="0"/>
        <v>0</v>
      </c>
      <c r="N20" s="403">
        <f>Drift!H56</f>
        <v>272.32100000000003</v>
      </c>
      <c r="O20" s="50">
        <v>5.4790000000000001</v>
      </c>
      <c r="P20" s="50">
        <v>0.19</v>
      </c>
      <c r="Q20" s="50">
        <v>46.603000000000002</v>
      </c>
      <c r="R20" s="50">
        <v>3.43</v>
      </c>
      <c r="S20" s="50">
        <v>1.1240000000000001</v>
      </c>
      <c r="T20" s="50">
        <v>0.432</v>
      </c>
      <c r="U20" s="50">
        <v>5.085</v>
      </c>
      <c r="V20" s="50">
        <v>209.827</v>
      </c>
      <c r="W20" s="50">
        <v>0.151</v>
      </c>
      <c r="X20" s="402">
        <f t="shared" si="1"/>
        <v>0</v>
      </c>
      <c r="Y20" s="405">
        <v>8589.6859999999997</v>
      </c>
      <c r="Z20" s="50">
        <v>6.117</v>
      </c>
      <c r="AA20" s="50">
        <v>1651.123</v>
      </c>
      <c r="AB20" s="50">
        <v>83.305999999999997</v>
      </c>
      <c r="AC20" s="95">
        <v>986.77099999999996</v>
      </c>
      <c r="AD20" s="2110"/>
    </row>
    <row r="21" spans="1:30" ht="13.35" customHeight="1">
      <c r="A21" s="512">
        <v>453</v>
      </c>
      <c r="B21" s="2142" t="s">
        <v>1182</v>
      </c>
      <c r="C21" s="79">
        <f>Drift!F57</f>
        <v>1372.2080000000001</v>
      </c>
      <c r="D21" s="50">
        <v>59.462000000000003</v>
      </c>
      <c r="E21" s="50">
        <v>0.218</v>
      </c>
      <c r="F21" s="50">
        <v>260.81400000000002</v>
      </c>
      <c r="G21" s="50">
        <v>786.26</v>
      </c>
      <c r="H21" s="50">
        <v>54.768000000000001</v>
      </c>
      <c r="I21" s="50">
        <v>3.4140000000000001</v>
      </c>
      <c r="J21" s="1124">
        <v>0</v>
      </c>
      <c r="K21" s="51">
        <v>207.2</v>
      </c>
      <c r="L21" s="179">
        <v>7.1999999999999995E-2</v>
      </c>
      <c r="M21" s="1160">
        <f t="shared" si="0"/>
        <v>0</v>
      </c>
      <c r="N21" s="403">
        <f>Drift!H57</f>
        <v>3.3620000000000001</v>
      </c>
      <c r="O21" s="50">
        <v>3.4000000000000002E-2</v>
      </c>
      <c r="P21" s="50">
        <v>3.0000000000000001E-3</v>
      </c>
      <c r="Q21" s="50">
        <v>0.43099999999999999</v>
      </c>
      <c r="R21" s="50">
        <v>1.7000000000000001E-2</v>
      </c>
      <c r="S21" s="50">
        <v>1.409</v>
      </c>
      <c r="T21" s="50">
        <v>8.9999999999999993E-3</v>
      </c>
      <c r="U21" s="50">
        <v>1E-3</v>
      </c>
      <c r="V21" s="50">
        <v>1.458</v>
      </c>
      <c r="W21" s="50">
        <v>0</v>
      </c>
      <c r="X21" s="402">
        <f t="shared" si="1"/>
        <v>0</v>
      </c>
      <c r="Y21" s="405">
        <v>841.34100000000001</v>
      </c>
      <c r="Z21" s="50">
        <v>1E-3</v>
      </c>
      <c r="AA21" s="50">
        <v>91.447999999999993</v>
      </c>
      <c r="AB21" s="50">
        <v>0.315</v>
      </c>
      <c r="AC21" s="95">
        <v>21.792999999999999</v>
      </c>
      <c r="AD21" s="2110"/>
    </row>
    <row r="22" spans="1:30" ht="13.35" customHeight="1">
      <c r="A22" s="512" t="s">
        <v>473</v>
      </c>
      <c r="B22" s="518" t="s">
        <v>365</v>
      </c>
      <c r="C22" s="79">
        <f>Drift!F60</f>
        <v>402.12400000000002</v>
      </c>
      <c r="D22" s="50">
        <v>30.622</v>
      </c>
      <c r="E22" s="50">
        <v>2.8</v>
      </c>
      <c r="F22" s="50">
        <v>241.54900000000001</v>
      </c>
      <c r="G22" s="50">
        <v>63.122999999999998</v>
      </c>
      <c r="H22" s="50">
        <v>0.40799999999999997</v>
      </c>
      <c r="I22" s="50">
        <v>2.1000000000000001E-2</v>
      </c>
      <c r="J22" s="1124">
        <v>0</v>
      </c>
      <c r="K22" s="51">
        <v>63.6</v>
      </c>
      <c r="L22" s="179">
        <v>0</v>
      </c>
      <c r="M22" s="1160">
        <f t="shared" si="0"/>
        <v>9.9999999997635314E-4</v>
      </c>
      <c r="N22" s="403">
        <f>Drift!H60</f>
        <v>1.6659999999999999</v>
      </c>
      <c r="O22" s="50">
        <v>0.5</v>
      </c>
      <c r="P22" s="50">
        <v>0</v>
      </c>
      <c r="Q22" s="50">
        <v>7.0000000000000001E-3</v>
      </c>
      <c r="R22" s="50">
        <v>0.497</v>
      </c>
      <c r="S22" s="50">
        <v>1.4E-2</v>
      </c>
      <c r="T22" s="50">
        <v>0.54800000000000004</v>
      </c>
      <c r="U22" s="50">
        <v>3.5000000000000003E-2</v>
      </c>
      <c r="V22" s="50">
        <v>6.4000000000000001E-2</v>
      </c>
      <c r="W22" s="50">
        <v>0</v>
      </c>
      <c r="X22" s="402">
        <f t="shared" si="1"/>
        <v>9.9999999999988987E-4</v>
      </c>
      <c r="Y22" s="405">
        <v>68.319000000000003</v>
      </c>
      <c r="Z22" s="50">
        <v>0</v>
      </c>
      <c r="AA22" s="50">
        <v>57.676000000000002</v>
      </c>
      <c r="AB22" s="50">
        <v>1.9079999999999999</v>
      </c>
      <c r="AC22" s="95">
        <v>28.812999999999999</v>
      </c>
      <c r="AD22" s="2110"/>
    </row>
    <row r="23" spans="1:30" ht="13.35" customHeight="1">
      <c r="A23" s="512" t="s">
        <v>474</v>
      </c>
      <c r="B23" s="518" t="s">
        <v>366</v>
      </c>
      <c r="C23" s="79">
        <f>Drift!F61</f>
        <v>2243.248</v>
      </c>
      <c r="D23" s="50">
        <v>43.962000000000003</v>
      </c>
      <c r="E23" s="50">
        <v>15.789</v>
      </c>
      <c r="F23" s="50">
        <v>1492.5940000000001</v>
      </c>
      <c r="G23" s="50">
        <v>410.22500000000002</v>
      </c>
      <c r="H23" s="50">
        <v>22.056999999999999</v>
      </c>
      <c r="I23" s="50">
        <v>28.741</v>
      </c>
      <c r="J23" s="1124">
        <v>0</v>
      </c>
      <c r="K23" s="51">
        <v>229.87</v>
      </c>
      <c r="L23" s="179">
        <v>0.01</v>
      </c>
      <c r="M23" s="1160">
        <f t="shared" si="0"/>
        <v>0</v>
      </c>
      <c r="N23" s="403">
        <f>Drift!H61</f>
        <v>17.285</v>
      </c>
      <c r="O23" s="50">
        <v>0.94899999999999995</v>
      </c>
      <c r="P23" s="50">
        <v>0.49199999999999999</v>
      </c>
      <c r="Q23" s="50">
        <v>7.1529999999999996</v>
      </c>
      <c r="R23" s="50">
        <v>5.94</v>
      </c>
      <c r="S23" s="50">
        <v>0.123</v>
      </c>
      <c r="T23" s="50">
        <v>0.49199999999999999</v>
      </c>
      <c r="U23" s="50">
        <v>0.82799999999999996</v>
      </c>
      <c r="V23" s="50">
        <v>1.3080000000000001</v>
      </c>
      <c r="W23" s="50">
        <v>0</v>
      </c>
      <c r="X23" s="402">
        <f>N23-SUM(O23:W23)</f>
        <v>0</v>
      </c>
      <c r="Y23" s="405">
        <v>435.88</v>
      </c>
      <c r="Z23" s="50">
        <v>0.16900000000000001</v>
      </c>
      <c r="AA23" s="50">
        <v>2287.529</v>
      </c>
      <c r="AB23" s="50">
        <v>17.625</v>
      </c>
      <c r="AC23" s="95">
        <v>266.62400000000002</v>
      </c>
      <c r="AD23" s="2110"/>
    </row>
    <row r="24" spans="1:30" ht="13.35" customHeight="1">
      <c r="A24" s="2319">
        <v>476</v>
      </c>
      <c r="B24" s="2321" t="s">
        <v>92</v>
      </c>
      <c r="C24" s="79">
        <f>Drift!F62</f>
        <v>852.399</v>
      </c>
      <c r="D24" s="50">
        <v>211.16399999999999</v>
      </c>
      <c r="E24" s="50">
        <v>9.1579999999999995</v>
      </c>
      <c r="F24" s="50">
        <v>394.07600000000002</v>
      </c>
      <c r="G24" s="50">
        <v>96.733000000000004</v>
      </c>
      <c r="H24" s="50">
        <v>3.0569999999999999</v>
      </c>
      <c r="I24" s="50">
        <v>0.224</v>
      </c>
      <c r="J24" s="1124">
        <v>0</v>
      </c>
      <c r="K24" s="51">
        <v>137.98599999999999</v>
      </c>
      <c r="L24" s="179">
        <v>0</v>
      </c>
      <c r="M24" s="1160">
        <f t="shared" si="0"/>
        <v>9.999999998626663E-4</v>
      </c>
      <c r="N24" s="403">
        <f>Drift!H62</f>
        <v>2.0760000000000001</v>
      </c>
      <c r="O24" s="50">
        <v>0.43</v>
      </c>
      <c r="P24" s="50">
        <v>0</v>
      </c>
      <c r="Q24" s="50">
        <v>0.41799999999999998</v>
      </c>
      <c r="R24" s="50">
        <v>0.91700000000000004</v>
      </c>
      <c r="S24" s="50">
        <v>6.0000000000000001E-3</v>
      </c>
      <c r="T24" s="50">
        <v>0.127</v>
      </c>
      <c r="U24" s="50">
        <v>0.10199999999999999</v>
      </c>
      <c r="V24" s="50">
        <v>7.8E-2</v>
      </c>
      <c r="W24" s="50">
        <v>0</v>
      </c>
      <c r="X24" s="402">
        <f>N24-SUM(O24:W24)</f>
        <v>-1.9999999999997797E-3</v>
      </c>
      <c r="Y24" s="404">
        <v>87.971000000000004</v>
      </c>
      <c r="Z24" s="50">
        <v>0</v>
      </c>
      <c r="AA24" s="50">
        <v>496.14299999999997</v>
      </c>
      <c r="AB24" s="50">
        <v>20.760999999999999</v>
      </c>
      <c r="AC24" s="95">
        <v>58.819000000000003</v>
      </c>
      <c r="AD24" s="2110"/>
    </row>
    <row r="25" spans="1:30" ht="13.35" customHeight="1">
      <c r="A25" s="512">
        <v>474</v>
      </c>
      <c r="B25" s="518" t="s">
        <v>1188</v>
      </c>
      <c r="C25" s="79">
        <f>Drift!F64</f>
        <v>35.088000000000001</v>
      </c>
      <c r="D25" s="50">
        <v>0.28999999999999998</v>
      </c>
      <c r="E25" s="50">
        <v>5.1999999999999998E-2</v>
      </c>
      <c r="F25" s="50">
        <v>2.9540000000000002</v>
      </c>
      <c r="G25" s="50">
        <v>15.645</v>
      </c>
      <c r="H25" s="50">
        <v>1.0999999999999999E-2</v>
      </c>
      <c r="I25" s="50">
        <v>8.0000000000000002E-3</v>
      </c>
      <c r="J25" s="1124">
        <v>0</v>
      </c>
      <c r="K25" s="51">
        <v>16.128</v>
      </c>
      <c r="L25" s="179">
        <v>0</v>
      </c>
      <c r="M25" s="402">
        <f t="shared" si="0"/>
        <v>0</v>
      </c>
      <c r="N25" s="403">
        <f>Drift!H64</f>
        <v>0.25900000000000001</v>
      </c>
      <c r="O25" s="50">
        <v>0.17899999999999999</v>
      </c>
      <c r="P25" s="50">
        <v>0</v>
      </c>
      <c r="Q25" s="50">
        <v>0</v>
      </c>
      <c r="R25" s="50">
        <v>2.1000000000000001E-2</v>
      </c>
      <c r="S25" s="50">
        <v>1.0999999999999999E-2</v>
      </c>
      <c r="T25" s="50">
        <v>1.7000000000000001E-2</v>
      </c>
      <c r="U25" s="50">
        <v>0.03</v>
      </c>
      <c r="V25" s="50">
        <v>1E-3</v>
      </c>
      <c r="W25" s="50">
        <v>0</v>
      </c>
      <c r="X25" s="402">
        <f t="shared" si="1"/>
        <v>0</v>
      </c>
      <c r="Y25" s="404">
        <v>15.994999999999999</v>
      </c>
      <c r="Z25" s="50">
        <v>0</v>
      </c>
      <c r="AA25" s="50">
        <v>17.417000000000002</v>
      </c>
      <c r="AB25" s="50">
        <v>0.55800000000000005</v>
      </c>
      <c r="AC25" s="95">
        <v>1.347</v>
      </c>
      <c r="AD25" s="2110"/>
    </row>
    <row r="26" spans="1:30" ht="13.35" customHeight="1">
      <c r="A26" s="2319">
        <v>475</v>
      </c>
      <c r="B26" s="2321" t="s">
        <v>87</v>
      </c>
      <c r="C26" s="79">
        <f>Drift!F65</f>
        <v>127.79600000000001</v>
      </c>
      <c r="D26" s="50">
        <v>5.8010000000000002</v>
      </c>
      <c r="E26" s="50">
        <v>2.9489999999999998</v>
      </c>
      <c r="F26" s="50">
        <v>103.163</v>
      </c>
      <c r="G26" s="50">
        <v>4.4509999999999996</v>
      </c>
      <c r="H26" s="50">
        <v>0.91500000000000004</v>
      </c>
      <c r="I26" s="50">
        <v>2.0259999999999998</v>
      </c>
      <c r="J26" s="1124">
        <v>0</v>
      </c>
      <c r="K26" s="51">
        <v>8.0980000000000008</v>
      </c>
      <c r="L26" s="179">
        <v>0.39400000000000002</v>
      </c>
      <c r="M26" s="402">
        <f t="shared" si="0"/>
        <v>-9.9999999999056399E-4</v>
      </c>
      <c r="N26" s="403">
        <f>Drift!H65</f>
        <v>59.722000000000001</v>
      </c>
      <c r="O26" s="50">
        <v>10.755000000000001</v>
      </c>
      <c r="P26" s="50">
        <v>0</v>
      </c>
      <c r="Q26" s="50">
        <v>4.2549999999999999</v>
      </c>
      <c r="R26" s="50">
        <v>0.76100000000000001</v>
      </c>
      <c r="S26" s="50">
        <v>0</v>
      </c>
      <c r="T26" s="50">
        <v>0.21099999999999999</v>
      </c>
      <c r="U26" s="50">
        <v>43.024000000000001</v>
      </c>
      <c r="V26" s="50">
        <v>0.71499999999999997</v>
      </c>
      <c r="W26" s="50">
        <v>0</v>
      </c>
      <c r="X26" s="402">
        <f>N26-SUM(O26:W26)</f>
        <v>9.9999999999766942E-4</v>
      </c>
      <c r="Y26" s="404">
        <v>8.9939999999999998</v>
      </c>
      <c r="Z26" s="50">
        <v>0.499</v>
      </c>
      <c r="AA26" s="50">
        <v>716.63099999999997</v>
      </c>
      <c r="AB26" s="50">
        <v>5.5049999999999999</v>
      </c>
      <c r="AC26" s="95">
        <v>14.882</v>
      </c>
      <c r="AD26" s="2110"/>
    </row>
    <row r="27" spans="1:30" ht="13.35" customHeight="1">
      <c r="A27" s="2319">
        <v>478</v>
      </c>
      <c r="B27" s="2321" t="s">
        <v>885</v>
      </c>
      <c r="C27" s="79">
        <f>Drift!F66</f>
        <v>11.109</v>
      </c>
      <c r="D27" s="50">
        <v>0.65800000000000003</v>
      </c>
      <c r="E27" s="50">
        <v>6.4000000000000001E-2</v>
      </c>
      <c r="F27" s="50">
        <v>3.4409999999999998</v>
      </c>
      <c r="G27" s="50">
        <v>3.6789999999999998</v>
      </c>
      <c r="H27" s="50">
        <v>0.312</v>
      </c>
      <c r="I27" s="50">
        <v>0</v>
      </c>
      <c r="J27" s="1124">
        <v>0</v>
      </c>
      <c r="K27" s="51">
        <v>2.9550000000000001</v>
      </c>
      <c r="L27" s="179">
        <v>0</v>
      </c>
      <c r="M27" s="402">
        <f t="shared" si="0"/>
        <v>0</v>
      </c>
      <c r="N27" s="403">
        <f>Drift!H66</f>
        <v>1.5449999999999999</v>
      </c>
      <c r="O27" s="50">
        <v>0.65200000000000002</v>
      </c>
      <c r="P27" s="50">
        <v>2E-3</v>
      </c>
      <c r="Q27" s="50">
        <v>0.27400000000000002</v>
      </c>
      <c r="R27" s="50">
        <v>0</v>
      </c>
      <c r="S27" s="50">
        <v>1.2999999999999999E-2</v>
      </c>
      <c r="T27" s="50">
        <v>0.15</v>
      </c>
      <c r="U27" s="50">
        <v>1E-3</v>
      </c>
      <c r="V27" s="50">
        <v>0.45300000000000001</v>
      </c>
      <c r="W27" s="50">
        <v>0</v>
      </c>
      <c r="X27" s="402">
        <f t="shared" si="1"/>
        <v>0</v>
      </c>
      <c r="Y27" s="404">
        <v>1.125</v>
      </c>
      <c r="Z27" s="50">
        <v>0.25900000000000001</v>
      </c>
      <c r="AA27" s="50">
        <v>35.356999999999999</v>
      </c>
      <c r="AB27" s="50">
        <v>4.359</v>
      </c>
      <c r="AC27" s="95">
        <v>4.8559999999999999</v>
      </c>
      <c r="AD27" s="2110"/>
    </row>
    <row r="28" spans="1:30" ht="13.35" customHeight="1">
      <c r="A28" s="512">
        <v>509</v>
      </c>
      <c r="B28" s="518" t="s">
        <v>426</v>
      </c>
      <c r="C28" s="79">
        <f>SUM(Drift!F70,Drift!F71)</f>
        <v>410.93600000000004</v>
      </c>
      <c r="D28" s="62">
        <v>0.1</v>
      </c>
      <c r="E28" s="62">
        <v>0</v>
      </c>
      <c r="F28" s="62">
        <v>155.679</v>
      </c>
      <c r="G28" s="62">
        <v>0.18</v>
      </c>
      <c r="H28" s="62">
        <v>252.23699999999999</v>
      </c>
      <c r="I28" s="62">
        <v>0.189</v>
      </c>
      <c r="J28" s="1130">
        <v>0</v>
      </c>
      <c r="K28" s="179">
        <v>1.034</v>
      </c>
      <c r="L28" s="179">
        <v>1.5169999999999999</v>
      </c>
      <c r="M28" s="402">
        <f t="shared" si="0"/>
        <v>0</v>
      </c>
      <c r="N28" s="403">
        <f>SUM(Drift!H70,Drift!H71)</f>
        <v>1.2250000000000001</v>
      </c>
      <c r="O28" s="62">
        <v>0.14599999999999999</v>
      </c>
      <c r="P28" s="62">
        <v>0</v>
      </c>
      <c r="Q28" s="62">
        <v>0</v>
      </c>
      <c r="R28" s="62">
        <v>0</v>
      </c>
      <c r="S28" s="62">
        <v>0</v>
      </c>
      <c r="T28" s="62">
        <v>0</v>
      </c>
      <c r="U28" s="62">
        <v>0</v>
      </c>
      <c r="V28" s="62">
        <v>1.079</v>
      </c>
      <c r="W28" s="62">
        <v>0</v>
      </c>
      <c r="X28" s="402">
        <f t="shared" si="1"/>
        <v>0</v>
      </c>
      <c r="Y28" s="405">
        <v>20.763999999999999</v>
      </c>
      <c r="Z28" s="62">
        <v>84.718999999999994</v>
      </c>
      <c r="AA28" s="62">
        <v>103.85899999999999</v>
      </c>
      <c r="AB28" s="62">
        <v>0</v>
      </c>
      <c r="AC28" s="95">
        <v>39.683</v>
      </c>
      <c r="AD28" s="2110"/>
    </row>
    <row r="29" spans="1:30" ht="13.35" customHeight="1">
      <c r="A29" s="512">
        <v>510</v>
      </c>
      <c r="B29" s="518" t="s">
        <v>476</v>
      </c>
      <c r="C29" s="79">
        <f>Drift!F73</f>
        <v>25764.39</v>
      </c>
      <c r="D29" s="50">
        <v>2639.672</v>
      </c>
      <c r="E29" s="50">
        <v>636.23800000000006</v>
      </c>
      <c r="F29" s="50">
        <v>20915.705000000002</v>
      </c>
      <c r="G29" s="50">
        <v>344.68099999999998</v>
      </c>
      <c r="H29" s="50">
        <v>231.40600000000001</v>
      </c>
      <c r="I29" s="50">
        <v>2.4129999999999998</v>
      </c>
      <c r="J29" s="1124">
        <v>0</v>
      </c>
      <c r="K29" s="51">
        <v>994.22500000000002</v>
      </c>
      <c r="L29" s="179">
        <v>4.9000000000000002E-2</v>
      </c>
      <c r="M29" s="402">
        <f t="shared" si="0"/>
        <v>1.0000000002037268E-3</v>
      </c>
      <c r="N29" s="403">
        <f>Drift!H73</f>
        <v>1232.1220000000001</v>
      </c>
      <c r="O29" s="50">
        <v>121.11</v>
      </c>
      <c r="P29" s="50">
        <v>36.975000000000001</v>
      </c>
      <c r="Q29" s="50">
        <v>472.56799999999998</v>
      </c>
      <c r="R29" s="50">
        <v>5.3479999999999999</v>
      </c>
      <c r="S29" s="50">
        <v>14.617000000000001</v>
      </c>
      <c r="T29" s="50">
        <v>8.8490000000000002</v>
      </c>
      <c r="U29" s="50">
        <v>8.5210000000000008</v>
      </c>
      <c r="V29" s="50">
        <v>564</v>
      </c>
      <c r="W29" s="50">
        <v>0.13400000000000001</v>
      </c>
      <c r="X29" s="402">
        <f t="shared" si="1"/>
        <v>0</v>
      </c>
      <c r="Y29" s="405">
        <v>357.27800000000002</v>
      </c>
      <c r="Z29" s="50">
        <v>214.768</v>
      </c>
      <c r="AA29" s="50">
        <v>5624.9920000000002</v>
      </c>
      <c r="AB29" s="50">
        <v>7.8659999999999997</v>
      </c>
      <c r="AC29" s="95">
        <v>2650.9090000000001</v>
      </c>
      <c r="AD29" s="2110"/>
    </row>
    <row r="30" spans="1:30" ht="18" customHeight="1">
      <c r="A30" s="512">
        <v>520</v>
      </c>
      <c r="B30" s="556" t="s">
        <v>360</v>
      </c>
      <c r="C30" s="79">
        <f>Drift!F74</f>
        <v>3923.1370000000002</v>
      </c>
      <c r="D30" s="50">
        <v>268.27699999999999</v>
      </c>
      <c r="E30" s="50">
        <v>16.358000000000001</v>
      </c>
      <c r="F30" s="50">
        <v>3444.5479999999998</v>
      </c>
      <c r="G30" s="50">
        <v>43.96</v>
      </c>
      <c r="H30" s="50">
        <v>17.564</v>
      </c>
      <c r="I30" s="50">
        <v>6.6440000000000001</v>
      </c>
      <c r="J30" s="1124">
        <v>0</v>
      </c>
      <c r="K30" s="50">
        <v>125.783</v>
      </c>
      <c r="L30" s="50">
        <v>3.0000000000000001E-3</v>
      </c>
      <c r="M30" s="402">
        <f>C30-SUM(D30:L30)</f>
        <v>0</v>
      </c>
      <c r="N30" s="403">
        <f>Drift!H74</f>
        <v>455.07400000000001</v>
      </c>
      <c r="O30" s="50">
        <v>105.899</v>
      </c>
      <c r="P30" s="50">
        <v>2.3439999999999999</v>
      </c>
      <c r="Q30" s="50">
        <v>169.03800000000001</v>
      </c>
      <c r="R30" s="50">
        <v>0.95099999999999996</v>
      </c>
      <c r="S30" s="50">
        <v>0.47199999999999998</v>
      </c>
      <c r="T30" s="50">
        <v>1.0249999999999999</v>
      </c>
      <c r="U30" s="168">
        <v>1.087</v>
      </c>
      <c r="V30" s="50">
        <v>174.25800000000001</v>
      </c>
      <c r="W30" s="50">
        <v>0</v>
      </c>
      <c r="X30" s="402">
        <f>N30-SUM(O30:W30)</f>
        <v>0</v>
      </c>
      <c r="Y30" s="404">
        <v>33.042000000000002</v>
      </c>
      <c r="Z30" s="50">
        <v>13.615</v>
      </c>
      <c r="AA30" s="50">
        <v>383.11500000000001</v>
      </c>
      <c r="AB30" s="50">
        <v>1.0029999999999999</v>
      </c>
      <c r="AC30" s="486">
        <v>338.459</v>
      </c>
      <c r="AD30" s="2110"/>
    </row>
    <row r="31" spans="1:30" ht="13.5" customHeight="1">
      <c r="A31" s="512">
        <v>513</v>
      </c>
      <c r="B31" s="1301" t="s">
        <v>361</v>
      </c>
      <c r="C31" s="79">
        <f>Drift!F75</f>
        <v>16213.316999999999</v>
      </c>
      <c r="D31" s="50">
        <v>1666.952</v>
      </c>
      <c r="E31" s="50">
        <v>305.11099999999999</v>
      </c>
      <c r="F31" s="50">
        <v>13323.973</v>
      </c>
      <c r="G31" s="50">
        <v>315.06900000000002</v>
      </c>
      <c r="H31" s="50">
        <v>91.161000000000001</v>
      </c>
      <c r="I31" s="50">
        <v>38.765000000000001</v>
      </c>
      <c r="J31" s="1124">
        <v>0</v>
      </c>
      <c r="K31" s="51">
        <v>471.90899999999999</v>
      </c>
      <c r="L31" s="179">
        <v>0.377</v>
      </c>
      <c r="M31" s="402">
        <f t="shared" si="0"/>
        <v>0</v>
      </c>
      <c r="N31" s="403">
        <f>Drift!H75</f>
        <v>5271.8860000000004</v>
      </c>
      <c r="O31" s="50">
        <v>18.006</v>
      </c>
      <c r="P31" s="50">
        <v>9.1170000000000009</v>
      </c>
      <c r="Q31" s="50">
        <v>135.77199999999999</v>
      </c>
      <c r="R31" s="50">
        <v>1.9690000000000001</v>
      </c>
      <c r="S31" s="50">
        <v>1.927</v>
      </c>
      <c r="T31" s="50">
        <v>2.3290000000000002</v>
      </c>
      <c r="U31" s="168">
        <v>4602.4920000000002</v>
      </c>
      <c r="V31" s="50">
        <v>500.27499999999998</v>
      </c>
      <c r="W31" s="50">
        <v>0</v>
      </c>
      <c r="X31" s="402">
        <f>N31-SUM(O31:W31)</f>
        <v>-9.9999999929423211E-4</v>
      </c>
      <c r="Y31" s="404">
        <v>246.23599999999999</v>
      </c>
      <c r="Z31" s="50">
        <v>14.098000000000001</v>
      </c>
      <c r="AA31" s="50">
        <v>1014.071</v>
      </c>
      <c r="AB31" s="50">
        <v>1.7370000000000001</v>
      </c>
      <c r="AC31" s="486">
        <v>6050.1009999999997</v>
      </c>
      <c r="AD31" s="2110"/>
    </row>
    <row r="32" spans="1:30" ht="13.35" customHeight="1">
      <c r="A32" s="512">
        <v>530</v>
      </c>
      <c r="B32" s="973" t="s">
        <v>99</v>
      </c>
      <c r="C32" s="2317">
        <f>Drift!F76</f>
        <v>2144.2370000000001</v>
      </c>
      <c r="D32" s="50">
        <v>1.3779999999999999</v>
      </c>
      <c r="E32" s="50">
        <v>0.129</v>
      </c>
      <c r="F32" s="50">
        <v>1309.4739999999999</v>
      </c>
      <c r="G32" s="50">
        <v>7.5510000000000002</v>
      </c>
      <c r="H32" s="50">
        <v>800.18399999999997</v>
      </c>
      <c r="I32" s="50">
        <v>1.516</v>
      </c>
      <c r="J32" s="1124">
        <v>0</v>
      </c>
      <c r="K32" s="51">
        <v>24.004999999999999</v>
      </c>
      <c r="L32" s="179">
        <v>0</v>
      </c>
      <c r="M32" s="402">
        <f t="shared" si="0"/>
        <v>0</v>
      </c>
      <c r="N32" s="2318">
        <f>Drift!H76</f>
        <v>35.206000000000003</v>
      </c>
      <c r="O32" s="50">
        <v>2.9000000000000001E-2</v>
      </c>
      <c r="P32" s="50">
        <v>0.42599999999999999</v>
      </c>
      <c r="Q32" s="50">
        <v>0.1</v>
      </c>
      <c r="R32" s="50">
        <v>4.0000000000000001E-3</v>
      </c>
      <c r="S32" s="50">
        <v>33.762999999999998</v>
      </c>
      <c r="T32" s="50">
        <v>1.038</v>
      </c>
      <c r="U32" s="50">
        <v>0</v>
      </c>
      <c r="V32" s="50">
        <v>-0.154</v>
      </c>
      <c r="W32" s="50">
        <v>0</v>
      </c>
      <c r="X32" s="402">
        <f t="shared" si="1"/>
        <v>0</v>
      </c>
      <c r="Y32" s="404">
        <v>9.3179999999999996</v>
      </c>
      <c r="Z32" s="50">
        <v>1.2E-2</v>
      </c>
      <c r="AA32" s="50">
        <v>7.7530000000000001</v>
      </c>
      <c r="AB32" s="50">
        <v>0</v>
      </c>
      <c r="AC32" s="95">
        <v>22.074000000000002</v>
      </c>
      <c r="AD32" s="2110"/>
    </row>
    <row r="33" spans="1:30" ht="13.35" customHeight="1">
      <c r="A33" s="512">
        <v>559</v>
      </c>
      <c r="B33" s="973" t="s">
        <v>195</v>
      </c>
      <c r="C33" s="79">
        <f>Drift!F79</f>
        <v>3223.1959999999999</v>
      </c>
      <c r="D33" s="50">
        <v>315.31599999999997</v>
      </c>
      <c r="E33" s="50">
        <v>1.1100000000000001</v>
      </c>
      <c r="F33" s="50">
        <v>2263.5659999999998</v>
      </c>
      <c r="G33" s="50">
        <v>38.26</v>
      </c>
      <c r="H33" s="50">
        <v>22.664000000000001</v>
      </c>
      <c r="I33" s="50">
        <v>551.25900000000001</v>
      </c>
      <c r="J33" s="1124">
        <v>0</v>
      </c>
      <c r="K33" s="50">
        <v>31.010999999999999</v>
      </c>
      <c r="L33" s="50">
        <v>0.01</v>
      </c>
      <c r="M33" s="1160">
        <f t="shared" si="0"/>
        <v>0</v>
      </c>
      <c r="N33" s="403">
        <f>Drift!H79</f>
        <v>154.77099999999999</v>
      </c>
      <c r="O33" s="50">
        <v>136.56299999999999</v>
      </c>
      <c r="P33" s="50">
        <v>0.33500000000000002</v>
      </c>
      <c r="Q33" s="50">
        <v>6.0620000000000003</v>
      </c>
      <c r="R33" s="50">
        <v>0.69199999999999995</v>
      </c>
      <c r="S33" s="50">
        <v>0.4</v>
      </c>
      <c r="T33" s="50">
        <v>0.77800000000000002</v>
      </c>
      <c r="U33" s="50">
        <v>0.83399999999999996</v>
      </c>
      <c r="V33" s="50">
        <v>8.9979999999999993</v>
      </c>
      <c r="W33" s="50">
        <v>0.108</v>
      </c>
      <c r="X33" s="1160">
        <f t="shared" si="1"/>
        <v>9.9999999997635314E-4</v>
      </c>
      <c r="Y33" s="404">
        <v>29.085999999999999</v>
      </c>
      <c r="Z33" s="62">
        <v>1.407</v>
      </c>
      <c r="AA33" s="62">
        <v>185.30699999999999</v>
      </c>
      <c r="AB33" s="62">
        <v>1.901</v>
      </c>
      <c r="AC33" s="171">
        <v>202.482</v>
      </c>
      <c r="AD33" s="2110"/>
    </row>
    <row r="34" spans="1:30" ht="13.35" customHeight="1">
      <c r="A34" s="512">
        <v>552</v>
      </c>
      <c r="B34" s="518" t="s">
        <v>134</v>
      </c>
      <c r="C34" s="2317">
        <f>SUM(D34+E34+F34+G34+H34+I34+K34+L34)</f>
        <v>2117.3530000000001</v>
      </c>
      <c r="D34" s="50">
        <v>83.26</v>
      </c>
      <c r="E34" s="50">
        <v>0.25</v>
      </c>
      <c r="F34" s="50">
        <v>1450.4380000000001</v>
      </c>
      <c r="G34" s="50">
        <v>12.426</v>
      </c>
      <c r="H34" s="50">
        <v>15.393000000000001</v>
      </c>
      <c r="I34" s="50">
        <v>541.37599999999998</v>
      </c>
      <c r="J34" s="1124">
        <v>0</v>
      </c>
      <c r="K34" s="50">
        <v>14.208</v>
      </c>
      <c r="L34" s="50">
        <v>2E-3</v>
      </c>
      <c r="M34" s="1160">
        <f>IF(OR(C34="",C34=0),"",C34-SUM(D34:L34))</f>
        <v>0</v>
      </c>
      <c r="N34" s="2318">
        <f>SUM(O34+P34+Q34+R34+S34+T34+U34+V34+W34)</f>
        <v>84.887</v>
      </c>
      <c r="O34" s="50">
        <v>79.802000000000007</v>
      </c>
      <c r="P34" s="50">
        <v>0.16300000000000001</v>
      </c>
      <c r="Q34" s="50">
        <v>0.95799999999999996</v>
      </c>
      <c r="R34" s="50">
        <v>0.38600000000000001</v>
      </c>
      <c r="S34" s="50">
        <v>0.152</v>
      </c>
      <c r="T34" s="50">
        <v>0.17599999999999999</v>
      </c>
      <c r="U34" s="50">
        <v>0.39</v>
      </c>
      <c r="V34" s="50">
        <v>2.86</v>
      </c>
      <c r="W34" s="50">
        <v>0</v>
      </c>
      <c r="X34" s="1160">
        <f>IF(OR(N34="",N34=0),"",N34-SUM(O34:W34))</f>
        <v>0</v>
      </c>
      <c r="Y34" s="405">
        <v>10.183</v>
      </c>
      <c r="Z34" s="50">
        <v>0.66300000000000003</v>
      </c>
      <c r="AA34" s="50">
        <v>32.783000000000001</v>
      </c>
      <c r="AB34" s="50">
        <v>0.125</v>
      </c>
      <c r="AC34" s="171">
        <v>86.921000000000006</v>
      </c>
      <c r="AD34" s="2110"/>
    </row>
    <row r="35" spans="1:30" ht="13.35" customHeight="1">
      <c r="A35" s="512">
        <v>569</v>
      </c>
      <c r="B35" s="513" t="s">
        <v>103</v>
      </c>
      <c r="C35" s="79">
        <f>Drift!F80</f>
        <v>10486.653</v>
      </c>
      <c r="D35" s="50">
        <v>252.39</v>
      </c>
      <c r="E35" s="50">
        <v>2.5289999999999999</v>
      </c>
      <c r="F35" s="50">
        <v>8711.08</v>
      </c>
      <c r="G35" s="50">
        <v>182.97399999999999</v>
      </c>
      <c r="H35" s="50">
        <v>77.694000000000003</v>
      </c>
      <c r="I35" s="50">
        <v>1204.8</v>
      </c>
      <c r="J35" s="1124">
        <v>0</v>
      </c>
      <c r="K35" s="50">
        <v>54.134999999999998</v>
      </c>
      <c r="L35" s="50">
        <v>1.052</v>
      </c>
      <c r="M35" s="1160">
        <f t="shared" si="0"/>
        <v>-9.9999999838473741E-4</v>
      </c>
      <c r="N35" s="403">
        <f>Drift!H80</f>
        <v>135.53100000000001</v>
      </c>
      <c r="O35" s="50">
        <v>49.716000000000001</v>
      </c>
      <c r="P35" s="50">
        <v>1.242</v>
      </c>
      <c r="Q35" s="50">
        <v>16.332999999999998</v>
      </c>
      <c r="R35" s="50">
        <v>2.2069999999999999</v>
      </c>
      <c r="S35" s="50">
        <v>3.101</v>
      </c>
      <c r="T35" s="50">
        <v>2.9420000000000002</v>
      </c>
      <c r="U35" s="50">
        <v>1.4930000000000001</v>
      </c>
      <c r="V35" s="50">
        <v>58.323</v>
      </c>
      <c r="W35" s="50">
        <v>0.17299999999999999</v>
      </c>
      <c r="X35" s="1160">
        <f t="shared" si="1"/>
        <v>1.0000000000047748E-3</v>
      </c>
      <c r="Y35" s="405">
        <v>189.714</v>
      </c>
      <c r="Z35" s="50">
        <v>18.609000000000002</v>
      </c>
      <c r="AA35" s="50">
        <v>748.61</v>
      </c>
      <c r="AB35" s="50">
        <v>12.916</v>
      </c>
      <c r="AC35" s="171">
        <v>687.923</v>
      </c>
      <c r="AD35" s="2110"/>
    </row>
    <row r="36" spans="1:30" ht="13.35" customHeight="1">
      <c r="A36" s="512">
        <v>554</v>
      </c>
      <c r="B36" s="518" t="s">
        <v>199</v>
      </c>
      <c r="C36" s="79">
        <f>SUM(D36+E36+F36+G36+H36+I36+K36+L36)</f>
        <v>6484.2869999999994</v>
      </c>
      <c r="D36" s="50">
        <v>139.13499999999999</v>
      </c>
      <c r="E36" s="50">
        <v>1.2290000000000001</v>
      </c>
      <c r="F36" s="50">
        <v>5062.0129999999999</v>
      </c>
      <c r="G36" s="50">
        <v>53.356999999999999</v>
      </c>
      <c r="H36" s="50">
        <v>14.263999999999999</v>
      </c>
      <c r="I36" s="50">
        <v>1170.3009999999999</v>
      </c>
      <c r="J36" s="1124">
        <v>0</v>
      </c>
      <c r="K36" s="50">
        <v>43.610999999999997</v>
      </c>
      <c r="L36" s="50">
        <v>0.377</v>
      </c>
      <c r="M36" s="1160">
        <f>IF(OR(C36="",C36=0),"",C36-SUM(D36:L36))</f>
        <v>0</v>
      </c>
      <c r="N36" s="403">
        <f>SUM(O36+P36+Q36+R36+S36+T36+U36+V36+W36)</f>
        <v>28.094000000000001</v>
      </c>
      <c r="O36" s="50">
        <v>4.3490000000000002</v>
      </c>
      <c r="P36" s="50">
        <v>0</v>
      </c>
      <c r="Q36" s="50">
        <v>7.4729999999999999</v>
      </c>
      <c r="R36" s="50">
        <v>0.56599999999999995</v>
      </c>
      <c r="S36" s="50">
        <v>0.223</v>
      </c>
      <c r="T36" s="50">
        <v>0.46</v>
      </c>
      <c r="U36" s="50">
        <v>-8.3000000000000004E-2</v>
      </c>
      <c r="V36" s="50">
        <v>15.106</v>
      </c>
      <c r="W36" s="50">
        <v>0</v>
      </c>
      <c r="X36" s="1160">
        <f>IF(OR(N36="",N36=0),"",N36-SUM(O36:W36))</f>
        <v>0</v>
      </c>
      <c r="Y36" s="405">
        <v>55.496000000000002</v>
      </c>
      <c r="Z36" s="50">
        <v>7.3760000000000003</v>
      </c>
      <c r="AA36" s="50">
        <v>108.91200000000001</v>
      </c>
      <c r="AB36" s="50">
        <v>0.34799999999999998</v>
      </c>
      <c r="AC36" s="171">
        <v>277.12099999999998</v>
      </c>
      <c r="AD36" s="2110"/>
    </row>
    <row r="37" spans="1:30" ht="13.35" customHeight="1">
      <c r="A37" s="512">
        <v>580</v>
      </c>
      <c r="B37" s="518" t="s">
        <v>135</v>
      </c>
      <c r="C37" s="79">
        <f>SUM(Drift!F81,Drift!F82,Drift!F84)</f>
        <v>1305.2669999999998</v>
      </c>
      <c r="D37" s="50">
        <v>168.99600000000001</v>
      </c>
      <c r="E37" s="50">
        <v>2.4689999999999999</v>
      </c>
      <c r="F37" s="50">
        <v>905.37300000000005</v>
      </c>
      <c r="G37" s="50">
        <v>183.31800000000001</v>
      </c>
      <c r="H37" s="50">
        <v>8.952</v>
      </c>
      <c r="I37" s="50">
        <v>5.6749999999999998</v>
      </c>
      <c r="J37" s="1124">
        <v>0</v>
      </c>
      <c r="K37" s="51">
        <v>30.504000000000001</v>
      </c>
      <c r="L37" s="179">
        <v>-0.02</v>
      </c>
      <c r="M37" s="1160">
        <f t="shared" si="0"/>
        <v>0</v>
      </c>
      <c r="N37" s="403">
        <f>SUM(Drift!H81,Drift!H82,Drift!H84)</f>
        <v>11014.691999999999</v>
      </c>
      <c r="O37" s="50">
        <v>299.64699999999999</v>
      </c>
      <c r="P37" s="50">
        <v>2.4990000000000001</v>
      </c>
      <c r="Q37" s="50">
        <v>61.704999999999998</v>
      </c>
      <c r="R37" s="50">
        <v>3.431</v>
      </c>
      <c r="S37" s="50">
        <v>2.2679999999999998</v>
      </c>
      <c r="T37" s="50">
        <v>4.4690000000000003</v>
      </c>
      <c r="U37" s="50">
        <v>0.64800000000000002</v>
      </c>
      <c r="V37" s="50">
        <v>10640.022999999999</v>
      </c>
      <c r="W37" s="50">
        <v>2E-3</v>
      </c>
      <c r="X37" s="1160">
        <f t="shared" si="1"/>
        <v>0</v>
      </c>
      <c r="Y37" s="404">
        <v>192.637</v>
      </c>
      <c r="Z37" s="50">
        <v>0.90300000000000002</v>
      </c>
      <c r="AA37" s="50">
        <v>441.98899999999998</v>
      </c>
      <c r="AB37" s="50">
        <v>3.0830000000000002</v>
      </c>
      <c r="AC37" s="95">
        <v>437.84100000000001</v>
      </c>
      <c r="AD37" s="2110"/>
    </row>
    <row r="38" spans="1:30" ht="13.35" customHeight="1">
      <c r="A38" s="512">
        <v>600</v>
      </c>
      <c r="B38" s="513" t="s">
        <v>110</v>
      </c>
      <c r="C38" s="79">
        <f>Drift!F87</f>
        <v>252.14699999999999</v>
      </c>
      <c r="D38" s="62">
        <v>13.571</v>
      </c>
      <c r="E38" s="62">
        <v>1.351</v>
      </c>
      <c r="F38" s="62">
        <v>184.517</v>
      </c>
      <c r="G38" s="62">
        <v>29.908999999999999</v>
      </c>
      <c r="H38" s="62">
        <v>4.4960000000000004</v>
      </c>
      <c r="I38" s="62">
        <v>7.3040000000000003</v>
      </c>
      <c r="J38" s="1130">
        <v>0</v>
      </c>
      <c r="K38" s="179">
        <v>10.997999999999999</v>
      </c>
      <c r="L38" s="179">
        <v>0</v>
      </c>
      <c r="M38" s="402">
        <f t="shared" si="0"/>
        <v>1.0000000000047748E-3</v>
      </c>
      <c r="N38" s="403">
        <f>Drift!H87</f>
        <v>423.50900000000001</v>
      </c>
      <c r="O38" s="62">
        <v>128.03399999999999</v>
      </c>
      <c r="P38" s="62">
        <v>2.0779999999999998</v>
      </c>
      <c r="Q38" s="62">
        <v>10.59</v>
      </c>
      <c r="R38" s="62">
        <v>1.0329999999999999</v>
      </c>
      <c r="S38" s="62">
        <v>0.67900000000000005</v>
      </c>
      <c r="T38" s="62">
        <v>0.432</v>
      </c>
      <c r="U38" s="62">
        <v>1.6240000000000001</v>
      </c>
      <c r="V38" s="62">
        <v>279.03399999999999</v>
      </c>
      <c r="W38" s="62">
        <v>5.0000000000000001E-3</v>
      </c>
      <c r="X38" s="402">
        <f t="shared" si="1"/>
        <v>0</v>
      </c>
      <c r="Y38" s="405">
        <v>25.713000000000001</v>
      </c>
      <c r="Z38" s="62">
        <v>18.18</v>
      </c>
      <c r="AA38" s="62">
        <v>3428.1509999999998</v>
      </c>
      <c r="AB38" s="62">
        <v>14.231999999999999</v>
      </c>
      <c r="AC38" s="95">
        <v>53.183</v>
      </c>
      <c r="AD38" s="2110"/>
    </row>
    <row r="39" spans="1:30" ht="13.35" customHeight="1">
      <c r="A39" s="512">
        <v>610</v>
      </c>
      <c r="B39" s="518" t="s">
        <v>136</v>
      </c>
      <c r="C39" s="79">
        <f>Drift!F88</f>
        <v>187.82400000000001</v>
      </c>
      <c r="D39" s="50">
        <v>54.436</v>
      </c>
      <c r="E39" s="50">
        <v>25.391999999999999</v>
      </c>
      <c r="F39" s="50">
        <v>66.837000000000003</v>
      </c>
      <c r="G39" s="50">
        <v>24.28</v>
      </c>
      <c r="H39" s="50">
        <v>2.968</v>
      </c>
      <c r="I39" s="50">
        <v>9.0090000000000003</v>
      </c>
      <c r="J39" s="1124">
        <v>0</v>
      </c>
      <c r="K39" s="51">
        <v>4.9009999999999998</v>
      </c>
      <c r="L39" s="179">
        <v>1E-3</v>
      </c>
      <c r="M39" s="402">
        <f t="shared" si="0"/>
        <v>0</v>
      </c>
      <c r="N39" s="403">
        <f>Drift!H88</f>
        <v>175.90899999999999</v>
      </c>
      <c r="O39" s="50">
        <v>62.932000000000002</v>
      </c>
      <c r="P39" s="50">
        <v>15.127000000000001</v>
      </c>
      <c r="Q39" s="50">
        <v>25.292000000000002</v>
      </c>
      <c r="R39" s="50">
        <v>23.329000000000001</v>
      </c>
      <c r="S39" s="50">
        <v>0.49</v>
      </c>
      <c r="T39" s="50">
        <v>29.346</v>
      </c>
      <c r="U39" s="50">
        <v>3.4430000000000001</v>
      </c>
      <c r="V39" s="50">
        <v>15.872</v>
      </c>
      <c r="W39" s="50">
        <v>7.9000000000000001E-2</v>
      </c>
      <c r="X39" s="402">
        <f t="shared" si="1"/>
        <v>-1.0000000000331966E-3</v>
      </c>
      <c r="Y39" s="405">
        <v>58.146999999999998</v>
      </c>
      <c r="Z39" s="50">
        <v>0.40899999999999997</v>
      </c>
      <c r="AA39" s="50">
        <v>2461.625</v>
      </c>
      <c r="AB39" s="50">
        <v>136.51300000000001</v>
      </c>
      <c r="AC39" s="95">
        <v>268.53699999999998</v>
      </c>
      <c r="AD39" s="2110"/>
    </row>
    <row r="40" spans="1:30" ht="13.35" customHeight="1">
      <c r="A40" s="512">
        <v>890</v>
      </c>
      <c r="B40" s="518" t="s">
        <v>137</v>
      </c>
      <c r="C40" s="79">
        <f>Drift!F109</f>
        <v>7358.8109999999997</v>
      </c>
      <c r="D40" s="50">
        <v>10.502000000000001</v>
      </c>
      <c r="E40" s="50">
        <v>2133.4490000000001</v>
      </c>
      <c r="F40" s="50">
        <v>4232.076</v>
      </c>
      <c r="G40" s="50">
        <v>111.753</v>
      </c>
      <c r="H40" s="50">
        <v>479.096</v>
      </c>
      <c r="I40" s="50">
        <v>79.477000000000004</v>
      </c>
      <c r="J40" s="1124">
        <v>0</v>
      </c>
      <c r="K40" s="51">
        <v>296.351</v>
      </c>
      <c r="L40" s="179">
        <v>16.106000000000002</v>
      </c>
      <c r="M40" s="402">
        <f t="shared" si="0"/>
        <v>1.0000000002037268E-3</v>
      </c>
      <c r="N40" s="403">
        <f>Drift!H109</f>
        <v>1270.21</v>
      </c>
      <c r="O40" s="50">
        <v>14.332000000000001</v>
      </c>
      <c r="P40" s="50">
        <v>550.03399999999999</v>
      </c>
      <c r="Q40" s="50">
        <v>171.423</v>
      </c>
      <c r="R40" s="50">
        <v>14.47</v>
      </c>
      <c r="S40" s="50">
        <v>220.898</v>
      </c>
      <c r="T40" s="50">
        <v>265.88299999999998</v>
      </c>
      <c r="U40" s="50">
        <v>14.012</v>
      </c>
      <c r="V40" s="50">
        <v>19.158000000000001</v>
      </c>
      <c r="W40" s="50">
        <v>0</v>
      </c>
      <c r="X40" s="402">
        <f t="shared" si="1"/>
        <v>0</v>
      </c>
      <c r="Y40" s="405">
        <v>179.61</v>
      </c>
      <c r="Z40" s="50">
        <v>23.161999999999999</v>
      </c>
      <c r="AA40" s="50">
        <v>1572.4259999999999</v>
      </c>
      <c r="AB40" s="50">
        <v>10.365</v>
      </c>
      <c r="AC40" s="95">
        <v>5891.3019999999997</v>
      </c>
      <c r="AD40" s="2110"/>
    </row>
    <row r="41" spans="1:30" ht="13.35" customHeight="1">
      <c r="A41" s="726">
        <v>940</v>
      </c>
      <c r="B41" s="973" t="s">
        <v>138</v>
      </c>
      <c r="C41" s="2300">
        <f>SUM(Drift!F111:F112)</f>
        <v>1079.17</v>
      </c>
      <c r="D41" s="2301">
        <v>11.31</v>
      </c>
      <c r="E41" s="2301">
        <v>346.58600000000001</v>
      </c>
      <c r="F41" s="2301">
        <v>347.19</v>
      </c>
      <c r="G41" s="2301">
        <v>246.387</v>
      </c>
      <c r="H41" s="2301">
        <v>18.901</v>
      </c>
      <c r="I41" s="2301">
        <v>2.7730000000000001</v>
      </c>
      <c r="J41" s="994">
        <v>0</v>
      </c>
      <c r="K41" s="2302">
        <v>106.009</v>
      </c>
      <c r="L41" s="2303"/>
      <c r="M41" s="2304"/>
      <c r="N41" s="2305">
        <f>SUM(Drift!H111:H112)</f>
        <v>525.19299999999998</v>
      </c>
      <c r="O41" s="2301">
        <v>179.053</v>
      </c>
      <c r="P41" s="2301">
        <v>145.96</v>
      </c>
      <c r="Q41" s="2301">
        <v>69.022999999999996</v>
      </c>
      <c r="R41" s="2301">
        <v>2.665</v>
      </c>
      <c r="S41" s="2301">
        <v>4.6150000000000002</v>
      </c>
      <c r="T41" s="2301">
        <v>53.337000000000003</v>
      </c>
      <c r="U41" s="2301">
        <v>62.698999999999998</v>
      </c>
      <c r="V41" s="2301">
        <v>5.4969999999999999</v>
      </c>
      <c r="W41" s="2301">
        <v>2.3450000000000002</v>
      </c>
      <c r="X41" s="2304">
        <f t="shared" si="1"/>
        <v>-1.00000000009004E-3</v>
      </c>
      <c r="Y41" s="2306">
        <v>854.23099999999999</v>
      </c>
      <c r="Z41" s="2301">
        <v>32.75</v>
      </c>
      <c r="AA41" s="2301">
        <v>1152.4110000000001</v>
      </c>
      <c r="AB41" s="2301">
        <v>152.19200000000001</v>
      </c>
      <c r="AC41" s="215">
        <v>1234.7929999999999</v>
      </c>
      <c r="AD41" s="2110"/>
    </row>
    <row r="42" spans="1:30" ht="13.35" customHeight="1" thickBot="1">
      <c r="A42" s="2307" t="s">
        <v>273</v>
      </c>
      <c r="B42" s="2308" t="s">
        <v>33</v>
      </c>
      <c r="C42" s="2309">
        <f t="shared" ref="C42:AC42" si="2">SUM(C9:C33,C35,C37:C41)</f>
        <v>167617.25399999996</v>
      </c>
      <c r="D42" s="2310">
        <f t="shared" si="2"/>
        <v>18730.919000000002</v>
      </c>
      <c r="E42" s="2310">
        <f t="shared" si="2"/>
        <v>5782.8460000000014</v>
      </c>
      <c r="F42" s="2310">
        <f t="shared" si="2"/>
        <v>112250.74300000002</v>
      </c>
      <c r="G42" s="2310">
        <f t="shared" si="2"/>
        <v>14931.6</v>
      </c>
      <c r="H42" s="2310">
        <f t="shared" si="2"/>
        <v>2639.9450000000002</v>
      </c>
      <c r="I42" s="2310">
        <f t="shared" si="2"/>
        <v>2729.3730000000005</v>
      </c>
      <c r="J42" s="2311">
        <f t="shared" si="2"/>
        <v>0</v>
      </c>
      <c r="K42" s="2310">
        <f t="shared" si="2"/>
        <v>10499.643000000002</v>
      </c>
      <c r="L42" s="2310">
        <f t="shared" si="2"/>
        <v>52.173999999999999</v>
      </c>
      <c r="M42" s="2312"/>
      <c r="N42" s="2313">
        <f t="shared" si="2"/>
        <v>30578.124999999993</v>
      </c>
      <c r="O42" s="2310">
        <f t="shared" si="2"/>
        <v>5506.259</v>
      </c>
      <c r="P42" s="2310">
        <f t="shared" si="2"/>
        <v>1878.6</v>
      </c>
      <c r="Q42" s="2310">
        <f t="shared" si="2"/>
        <v>2182.8039999999996</v>
      </c>
      <c r="R42" s="2310">
        <f t="shared" si="2"/>
        <v>109.23899999999999</v>
      </c>
      <c r="S42" s="2310">
        <f t="shared" si="2"/>
        <v>367.798</v>
      </c>
      <c r="T42" s="2310">
        <f t="shared" si="2"/>
        <v>1136.0840000000001</v>
      </c>
      <c r="U42" s="2310"/>
      <c r="V42" s="2310">
        <f t="shared" si="2"/>
        <v>12583.820999999998</v>
      </c>
      <c r="W42" s="2310">
        <f t="shared" si="2"/>
        <v>6.9499999999999993</v>
      </c>
      <c r="X42" s="2312">
        <f t="shared" si="2"/>
        <v>8.0000000008652039E-3</v>
      </c>
      <c r="Y42" s="2313">
        <f t="shared" si="2"/>
        <v>15758.367</v>
      </c>
      <c r="Z42" s="2314">
        <f t="shared" si="2"/>
        <v>452.06299999999999</v>
      </c>
      <c r="AA42" s="2314">
        <f t="shared" si="2"/>
        <v>44021.673999999999</v>
      </c>
      <c r="AB42" s="2314">
        <f t="shared" si="2"/>
        <v>709.72500000000002</v>
      </c>
      <c r="AC42" s="2312">
        <f t="shared" si="2"/>
        <v>24948.888000000003</v>
      </c>
      <c r="AD42" s="2110"/>
    </row>
    <row r="43" spans="1:30" ht="12" customHeight="1">
      <c r="A43" s="541"/>
      <c r="B43" s="805" t="s">
        <v>990</v>
      </c>
      <c r="C43" s="8"/>
      <c r="D43" s="44"/>
      <c r="E43" s="44"/>
      <c r="F43" s="44"/>
      <c r="G43" s="44"/>
      <c r="H43" s="44"/>
      <c r="I43" s="44"/>
      <c r="J43" s="1554"/>
      <c r="K43" s="44"/>
      <c r="L43" s="1556" t="str">
        <f>IF(OR(ABS(L42&gt;500),(L42&lt;-500),COUNTIF(L9:L41,"&gt;500")&gt;0,COUNTIF(L9:L41,"&lt;-500")&gt;0),"Kommentera vad köp av v-het från utlandet avser","")</f>
        <v/>
      </c>
      <c r="M43" s="1900" t="str">
        <f>IF(OR(ABS(M42&gt;100),(M42&lt;-100),COUNTIF(M9:M41,"&gt;100")&gt;0,COUNTIF(M9:M41,"&lt;-100")&gt;0),"Rätta differenserna i kolumn M","")</f>
        <v/>
      </c>
      <c r="N43" s="2294"/>
      <c r="O43" s="242"/>
      <c r="P43" s="242"/>
      <c r="Q43" s="242"/>
      <c r="R43" s="242"/>
      <c r="S43" s="242"/>
      <c r="T43" s="243"/>
      <c r="V43" s="243"/>
      <c r="W43" s="2295"/>
      <c r="X43" s="2296" t="str">
        <f>IF(OR(ABS(X42&gt;100),(X42&lt;-100),COUNTIF(X9:X41,"&gt;100")&gt;0,COUNTIF(X9:X41,"&lt;-100")&gt;0),"Rätta differenserna i kolumn X","")</f>
        <v/>
      </c>
      <c r="Y43" s="2297">
        <f>SUM('Verks int o kostn'!I27+'Verks int o kostn'!I29)</f>
        <v>15758.391</v>
      </c>
      <c r="Z43" s="2298">
        <f>'Verks int o kostn'!I28</f>
        <v>452.06400000000002</v>
      </c>
      <c r="AA43" s="2298">
        <f>SUM('Verks int o kostn'!D17,'Verks int o kostn'!D18)</f>
        <v>44142.843999999997</v>
      </c>
      <c r="AB43" s="2298">
        <f>'Verks int o kostn'!D23</f>
        <v>709.74199999999996</v>
      </c>
      <c r="AC43" s="2299">
        <f>SUM('Verks int o kostn'!D14,'Verks int o kostn'!D19,'Verks int o kostn'!D20,'Verks int o kostn'!D21,'Verks int o kostn'!D22,'Verks int o kostn'!D24,'Verks int o kostn'!D25)</f>
        <v>25175.997000000003</v>
      </c>
      <c r="AD43" s="2110"/>
    </row>
    <row r="44" spans="1:30" ht="12.75" customHeight="1" thickBot="1">
      <c r="A44" s="535"/>
      <c r="B44" s="975" t="s">
        <v>126</v>
      </c>
      <c r="C44" s="240"/>
      <c r="D44" s="121"/>
      <c r="E44" s="121"/>
      <c r="F44" s="121"/>
      <c r="G44" s="121"/>
      <c r="H44" s="121"/>
      <c r="I44" s="121"/>
      <c r="J44" s="487"/>
      <c r="K44" s="121"/>
      <c r="L44" s="488"/>
      <c r="M44" s="1220" t="str">
        <f>IF(OR(COUNTIF(M29:M31,"&gt;10")&gt;0,COUNTIF(M29:M31,"&lt;-10")&gt;0),"Rätta differensen mellan Driften och Motparten på rad 510, 513 och/eller rad 520","")</f>
        <v/>
      </c>
      <c r="N44" s="489"/>
      <c r="O44" s="241"/>
      <c r="P44" s="121"/>
      <c r="Q44" s="121"/>
      <c r="R44" s="121"/>
      <c r="S44" s="121"/>
      <c r="T44" s="122"/>
      <c r="U44" s="492" t="str">
        <f>IFERROR(IF('Verks int o kostn'!I41&gt;U31,"Kontrollera beloppet cell U31 mot rad 630 i verks kostn",""),0)</f>
        <v/>
      </c>
      <c r="V44" s="122"/>
      <c r="W44" s="241"/>
      <c r="X44" s="490"/>
      <c r="Y44" s="379">
        <f>Y42-Y43</f>
        <v>-2.3999999999432475E-2</v>
      </c>
      <c r="Z44" s="380">
        <f>Z42-Z43</f>
        <v>-1.0000000000331966E-3</v>
      </c>
      <c r="AA44" s="381">
        <f>AA42-AA43</f>
        <v>-121.16999999999825</v>
      </c>
      <c r="AB44" s="381">
        <f>AB42-AB43</f>
        <v>-1.6999999999939064E-2</v>
      </c>
      <c r="AC44" s="382">
        <f>AC42-AC43</f>
        <v>-227.10900000000038</v>
      </c>
      <c r="AD44" s="2110"/>
    </row>
    <row r="45" spans="1:30" ht="12.75" customHeight="1">
      <c r="A45" s="2110"/>
      <c r="B45" s="2110"/>
      <c r="C45" s="2110"/>
      <c r="D45" s="2110"/>
      <c r="E45" s="2110"/>
      <c r="F45" s="2110"/>
      <c r="G45" s="2110"/>
      <c r="H45" s="2110"/>
      <c r="I45" s="2110"/>
      <c r="J45" s="2110"/>
      <c r="K45" s="2110"/>
      <c r="L45" s="2110"/>
      <c r="M45" s="2110"/>
      <c r="N45" s="2110"/>
      <c r="O45" s="2110"/>
      <c r="P45" s="2110"/>
      <c r="Q45" s="2110"/>
      <c r="R45" s="2110"/>
      <c r="S45" s="2110"/>
      <c r="T45" s="2110"/>
      <c r="U45" s="2110"/>
      <c r="V45" s="2110"/>
      <c r="W45" s="2110"/>
      <c r="X45" s="2110"/>
      <c r="Y45" s="2110"/>
      <c r="Z45" s="2110"/>
      <c r="AA45" s="2110"/>
      <c r="AB45" s="2110"/>
      <c r="AC45" s="2110"/>
      <c r="AD45" s="2110"/>
    </row>
    <row r="46" spans="1:30" ht="12.75" customHeight="1">
      <c r="A46" s="2110"/>
      <c r="B46" s="2110"/>
      <c r="C46" s="2110"/>
      <c r="D46" s="2110"/>
      <c r="E46" s="2110"/>
      <c r="F46" s="2110"/>
      <c r="G46" s="2110"/>
      <c r="H46" s="2110"/>
      <c r="I46" s="2110"/>
      <c r="J46" s="2110"/>
      <c r="K46" s="2110"/>
      <c r="L46" s="2110"/>
      <c r="M46" s="2110"/>
      <c r="N46" s="2110"/>
      <c r="O46" s="2110"/>
      <c r="P46" s="2110"/>
      <c r="Q46" s="2110"/>
      <c r="R46" s="2110"/>
      <c r="S46" s="2110"/>
      <c r="T46" s="2110"/>
      <c r="U46" s="2110"/>
      <c r="V46" s="2110"/>
      <c r="W46" s="2110"/>
      <c r="X46" s="2110"/>
      <c r="Y46" s="2110"/>
      <c r="Z46" s="2110"/>
      <c r="AA46" s="2110"/>
      <c r="AB46" s="2110"/>
      <c r="AC46" s="2110"/>
      <c r="AD46" s="2110"/>
    </row>
    <row r="47" spans="1:30" ht="12.75" customHeight="1">
      <c r="A47" s="2110"/>
      <c r="B47" s="2110"/>
      <c r="C47" s="2110"/>
      <c r="D47" s="2110"/>
      <c r="E47" s="2110"/>
      <c r="F47" s="2110"/>
      <c r="G47" s="2110"/>
      <c r="H47" s="2110"/>
      <c r="I47" s="2110"/>
      <c r="J47" s="2110"/>
      <c r="K47" s="2110"/>
      <c r="L47" s="2110"/>
      <c r="M47" s="2110"/>
      <c r="N47" s="2110"/>
      <c r="O47" s="2110"/>
      <c r="P47" s="2110"/>
      <c r="Q47" s="2110"/>
      <c r="R47" s="2110"/>
      <c r="S47" s="2110"/>
      <c r="T47" s="2110"/>
      <c r="U47" s="2110"/>
      <c r="V47" s="2110"/>
      <c r="W47" s="2110"/>
      <c r="X47" s="2110"/>
      <c r="Y47" s="2110"/>
      <c r="Z47" s="2110"/>
      <c r="AA47" s="2110"/>
      <c r="AB47" s="2110"/>
      <c r="AC47" s="2110"/>
      <c r="AD47" s="2110"/>
    </row>
    <row r="48" spans="1:30" ht="9.75" customHeight="1">
      <c r="A48" s="2110"/>
      <c r="B48" s="2110"/>
      <c r="C48" s="2110"/>
      <c r="D48" s="2110"/>
      <c r="E48" s="2110"/>
      <c r="F48" s="2110"/>
      <c r="G48" s="2110"/>
      <c r="H48" s="2110"/>
      <c r="I48" s="2110"/>
      <c r="J48" s="2110"/>
      <c r="K48" s="2110"/>
      <c r="L48" s="2110"/>
      <c r="M48" s="2110"/>
      <c r="N48" s="2110"/>
      <c r="O48" s="2110"/>
      <c r="P48" s="2110"/>
      <c r="Q48" s="2110"/>
      <c r="R48" s="2110"/>
      <c r="S48" s="2110"/>
      <c r="T48" s="2110"/>
      <c r="U48" s="2110"/>
      <c r="V48" s="2110"/>
      <c r="W48" s="2110"/>
      <c r="X48" s="2110"/>
      <c r="Y48" s="2110"/>
      <c r="Z48" s="2110"/>
      <c r="AA48" s="2110"/>
      <c r="AB48" s="2110"/>
      <c r="AC48" s="2110"/>
      <c r="AD48" s="2110"/>
    </row>
    <row r="49" spans="1:30" ht="10.5" customHeight="1">
      <c r="A49" s="2110"/>
      <c r="B49" s="2110"/>
      <c r="C49" s="2110"/>
      <c r="D49" s="2110"/>
      <c r="E49" s="2110"/>
      <c r="F49" s="2110"/>
      <c r="G49" s="2110"/>
      <c r="H49" s="2110"/>
      <c r="I49" s="2110"/>
      <c r="J49" s="2110"/>
      <c r="K49" s="2110"/>
      <c r="L49" s="2110"/>
      <c r="M49" s="2110"/>
      <c r="N49" s="2110"/>
      <c r="O49" s="2110"/>
      <c r="P49" s="2110"/>
      <c r="Q49" s="2110"/>
      <c r="R49" s="2110"/>
      <c r="S49" s="2110"/>
      <c r="T49" s="2110"/>
      <c r="U49" s="2110"/>
      <c r="V49" s="2110"/>
      <c r="W49" s="2110"/>
      <c r="X49" s="2110"/>
      <c r="Y49" s="2110"/>
      <c r="Z49" s="2110"/>
      <c r="AA49" s="2110"/>
      <c r="AB49" s="2110"/>
      <c r="AC49" s="2110"/>
      <c r="AD49" s="2110"/>
    </row>
    <row r="50" spans="1:30" ht="9.75" customHeight="1">
      <c r="A50" s="2110"/>
      <c r="B50" s="2110"/>
      <c r="C50" s="2110"/>
      <c r="D50" s="2110"/>
      <c r="E50" s="2110"/>
      <c r="F50" s="2110"/>
      <c r="G50" s="2110"/>
      <c r="H50" s="2110"/>
      <c r="I50" s="2110"/>
      <c r="J50" s="2110"/>
      <c r="K50" s="2110"/>
      <c r="L50" s="2110"/>
      <c r="M50" s="2110"/>
      <c r="N50" s="2110"/>
      <c r="O50" s="2110"/>
      <c r="P50" s="2110"/>
      <c r="Q50" s="2110"/>
      <c r="R50" s="2110"/>
      <c r="S50" s="2110"/>
      <c r="T50" s="2110"/>
      <c r="U50" s="2110"/>
      <c r="V50" s="2110"/>
      <c r="W50" s="2110"/>
      <c r="X50" s="2110"/>
      <c r="Y50" s="2110"/>
      <c r="Z50" s="2110"/>
      <c r="AA50" s="2110"/>
      <c r="AB50" s="2110"/>
      <c r="AC50" s="2110"/>
      <c r="AD50" s="2110"/>
    </row>
    <row r="51" spans="1:30" ht="12.75">
      <c r="A51" s="2110"/>
      <c r="B51" s="2110"/>
      <c r="C51" s="2110"/>
      <c r="D51" s="2110"/>
      <c r="E51" s="2110"/>
      <c r="F51" s="2110"/>
      <c r="G51" s="2110"/>
      <c r="H51" s="2110"/>
      <c r="I51" s="2110"/>
      <c r="J51" s="2110"/>
      <c r="K51" s="2110"/>
      <c r="L51" s="2110"/>
      <c r="M51" s="2110"/>
      <c r="N51" s="2110"/>
      <c r="O51" s="2110"/>
      <c r="P51" s="2110"/>
      <c r="Q51" s="2110"/>
      <c r="R51" s="2110"/>
      <c r="S51" s="2110"/>
      <c r="T51" s="2110"/>
      <c r="U51" s="2110"/>
      <c r="V51" s="2110"/>
      <c r="W51" s="2110"/>
      <c r="X51" s="2110"/>
      <c r="Y51" s="2110"/>
      <c r="Z51" s="2110"/>
      <c r="AA51" s="2110"/>
      <c r="AB51" s="2110"/>
      <c r="AC51" s="2110"/>
      <c r="AD51" s="2110"/>
    </row>
    <row r="52" spans="1:30" ht="12.75">
      <c r="A52" s="2110"/>
      <c r="B52" s="2110"/>
      <c r="C52" s="2110"/>
      <c r="D52" s="2110"/>
      <c r="E52" s="2110"/>
      <c r="F52" s="2110"/>
      <c r="G52" s="2110"/>
      <c r="H52" s="2110"/>
      <c r="I52" s="2110"/>
      <c r="J52" s="2110"/>
      <c r="K52" s="2110"/>
      <c r="L52" s="2110"/>
      <c r="M52" s="2110"/>
      <c r="N52" s="2110"/>
      <c r="O52" s="2110"/>
      <c r="P52" s="2110"/>
      <c r="Q52" s="2110"/>
      <c r="R52" s="2110"/>
      <c r="S52" s="2110"/>
      <c r="T52" s="2110"/>
      <c r="U52" s="2110"/>
      <c r="V52" s="2110"/>
      <c r="W52" s="2110"/>
      <c r="X52" s="2110"/>
      <c r="Y52" s="2110"/>
      <c r="Z52" s="2110"/>
      <c r="AA52" s="2110"/>
      <c r="AB52" s="2110"/>
      <c r="AC52" s="2110"/>
      <c r="AD52" s="2110"/>
    </row>
    <row r="53" spans="1:30" ht="12" customHeight="1">
      <c r="A53" s="2110"/>
      <c r="B53" s="2110"/>
      <c r="C53" s="2110"/>
      <c r="D53" s="2110"/>
      <c r="E53" s="2110"/>
      <c r="F53" s="2110"/>
      <c r="G53" s="2110"/>
      <c r="H53" s="2110"/>
      <c r="I53" s="2110"/>
      <c r="J53" s="2110"/>
      <c r="K53" s="2110"/>
      <c r="L53" s="2110"/>
      <c r="M53" s="2110"/>
      <c r="N53" s="2110"/>
      <c r="O53" s="2110"/>
      <c r="P53" s="2110"/>
      <c r="Q53" s="2110"/>
      <c r="R53" s="2110"/>
      <c r="S53" s="2110"/>
      <c r="T53" s="2110"/>
      <c r="U53" s="2110"/>
      <c r="V53" s="2110"/>
      <c r="W53" s="2110"/>
      <c r="X53" s="2110"/>
      <c r="Y53" s="2110"/>
      <c r="Z53" s="2110"/>
      <c r="AA53" s="2110"/>
      <c r="AB53" s="2110"/>
      <c r="AC53" s="2110"/>
      <c r="AD53" s="2110"/>
    </row>
    <row r="54" spans="1:30" ht="12.75">
      <c r="A54" s="2110"/>
      <c r="B54" s="2110"/>
      <c r="C54" s="2110"/>
      <c r="D54" s="2110"/>
      <c r="E54" s="2110"/>
      <c r="F54" s="2110"/>
      <c r="G54" s="2110"/>
      <c r="H54" s="2110"/>
      <c r="I54" s="2110"/>
      <c r="J54" s="2110"/>
      <c r="K54" s="2110"/>
      <c r="L54" s="2110"/>
      <c r="M54" s="2110"/>
      <c r="N54" s="2110"/>
      <c r="O54" s="2110"/>
      <c r="P54" s="2110"/>
      <c r="Q54" s="2110"/>
      <c r="R54" s="2110"/>
      <c r="S54" s="2110"/>
      <c r="T54" s="2110"/>
      <c r="U54" s="2110"/>
      <c r="V54" s="2110"/>
      <c r="W54" s="2110"/>
      <c r="X54" s="2110"/>
      <c r="Y54" s="2110"/>
      <c r="Z54" s="2110"/>
      <c r="AA54" s="2110"/>
      <c r="AB54" s="2110"/>
      <c r="AC54" s="2110"/>
      <c r="AD54" s="2110"/>
    </row>
    <row r="55" spans="1:30" ht="12.75">
      <c r="A55" s="2110"/>
      <c r="B55" s="2110"/>
      <c r="C55" s="2110"/>
      <c r="D55" s="2110"/>
      <c r="E55" s="2110"/>
      <c r="F55" s="2110"/>
      <c r="G55" s="2110"/>
      <c r="H55" s="2110"/>
      <c r="I55" s="2110"/>
      <c r="J55" s="2110"/>
      <c r="K55" s="2110"/>
      <c r="L55" s="2110"/>
      <c r="M55" s="2110"/>
      <c r="N55" s="2110"/>
      <c r="O55" s="2110"/>
      <c r="P55" s="2110"/>
      <c r="Q55" s="2110"/>
      <c r="R55" s="2110"/>
      <c r="S55" s="2110"/>
      <c r="T55" s="2110"/>
      <c r="U55" s="2110"/>
      <c r="V55" s="2110"/>
      <c r="W55" s="2110"/>
      <c r="X55" s="2110"/>
      <c r="Y55" s="2110"/>
      <c r="Z55" s="2110"/>
      <c r="AA55" s="2110"/>
      <c r="AB55" s="2110"/>
      <c r="AC55" s="2110"/>
      <c r="AD55" s="2110"/>
    </row>
    <row r="56" spans="1:30"/>
    <row r="57" spans="1:30"/>
    <row r="58" spans="1:30"/>
  </sheetData>
  <sheetProtection algorithmName="SHA-512" hashValue="5rV+JKVzA5OQKklRUNgQLHNFSBGbqc9tKfFXxS1BOK+PNZM+EWyMKZRuMRFPC8zMpg3Z+T/OHYIcQT3FTto8Jg==" saltValue="aqRJBsqFt3zljcBojJyI5Q==" spinCount="100000" sheet="1" objects="1" scenarios="1"/>
  <customSheetViews>
    <customSheetView guid="{97D6DB71-3F4C-4C5F-8C5B-51E3EBF78932}" showPageBreaks="1" showGridLines="0" hiddenRows="1" hiddenColumns="1" topLeftCell="A4">
      <pane xSplit="2" topLeftCell="X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1"/>
      <headerFooter>
        <oddHeader>&amp;L&amp;8Statistiska Centralbyrån
Offentlig ekonomi&amp;R&amp;P</oddHeader>
      </headerFooter>
    </customSheetView>
    <customSheetView guid="{99FBDEB7-DD08-4F57-81F4-3C180403E153}" showGridLines="0" hiddenRows="1" hiddenColumns="1">
      <pane xSplit="2" topLeftCell="C1" activePane="topRight" state="frozen"/>
      <selection pane="topRight" activeCell="J2" sqref="J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2"/>
      <headerFooter>
        <oddHeader>&amp;L&amp;8Statistiska Centralbyrån
Offentlig ekonomi&amp;R&amp;P</oddHeader>
      </headerFooter>
    </customSheetView>
    <customSheetView guid="{27C9E95B-0E2B-454F-B637-1CECC9579A10}" showGridLines="0" hiddenRows="1" hiddenColumns="1" showRuler="0">
      <pane xSplit="2" topLeftCell="J1" activePane="topRight" state="frozen"/>
      <selection pane="topRight" activeCell="AD22" sqref="AD22"/>
      <colBreaks count="2" manualBreakCount="2">
        <brk id="13" max="1048575" man="1"/>
        <brk id="24" max="1048575" man="1"/>
      </colBreaks>
      <pageMargins left="0.70866141732283472" right="0.70866141732283472" top="0.74803149606299213" bottom="0.41" header="0.31496062992125984" footer="0.31496062992125984"/>
      <pageSetup paperSize="9" scale="83" orientation="landscape" r:id="rId3"/>
      <headerFooter alignWithMargins="0">
        <oddHeader>&amp;L&amp;8Statistiska Centralbyrån
Offentlig ekonomi&amp;R&amp;P</oddHeader>
      </headerFooter>
    </customSheetView>
  </customSheetViews>
  <phoneticPr fontId="89" type="noConversion"/>
  <conditionalFormatting sqref="D9:L41 O9:W41 Y9:AC41">
    <cfRule type="cellIs" dxfId="81" priority="9" stopIfTrue="1" operator="lessThan">
      <formula>-500</formula>
    </cfRule>
  </conditionalFormatting>
  <conditionalFormatting sqref="D34:L34 O34:W34 Y34:AC34 D36:L36 O36:W36 Y36:AC36">
    <cfRule type="cellIs" dxfId="80" priority="40" stopIfTrue="1" operator="lessThan">
      <formula>-500</formula>
    </cfRule>
    <cfRule type="cellIs" dxfId="79" priority="41" stopIfTrue="1" operator="greaterThan">
      <formula>D33</formula>
    </cfRule>
  </conditionalFormatting>
  <conditionalFormatting sqref="J9:J41">
    <cfRule type="cellIs" dxfId="78" priority="8" stopIfTrue="1" operator="greaterThan">
      <formula>1</formula>
    </cfRule>
  </conditionalFormatting>
  <conditionalFormatting sqref="M9:M28 X9:X42 M32:M42">
    <cfRule type="cellIs" dxfId="77" priority="27" stopIfTrue="1" operator="notBetween">
      <formula>-500</formula>
      <formula>500</formula>
    </cfRule>
  </conditionalFormatting>
  <conditionalFormatting sqref="M29:M31">
    <cfRule type="cellIs" dxfId="76" priority="11" stopIfTrue="1" operator="notBetween">
      <formula>-10</formula>
      <formula>10</formula>
    </cfRule>
  </conditionalFormatting>
  <conditionalFormatting sqref="U33">
    <cfRule type="cellIs" dxfId="75" priority="7" stopIfTrue="1" operator="greaterThan">
      <formula>1</formula>
    </cfRule>
  </conditionalFormatting>
  <conditionalFormatting sqref="U35">
    <cfRule type="cellIs" dxfId="74" priority="6" stopIfTrue="1" operator="greaterThan">
      <formula>1</formula>
    </cfRule>
  </conditionalFormatting>
  <dataValidations count="1">
    <dataValidation type="decimal" operator="lessThan" allowBlank="1" showInputMessage="1" showErrorMessage="1" error="Beloppet ska vara i 1000 tal kr" sqref="Y9:AC41 O9:W41 D9:L41" xr:uid="{00000000-0002-0000-0700-000000000000}">
      <formula1>99999999</formula1>
    </dataValidation>
  </dataValidations>
  <pageMargins left="0.70866141732283472" right="0.70866141732283472" top="0.54" bottom="0.17" header="0.19685039370078741" footer="0.15748031496062992"/>
  <pageSetup paperSize="9" scale="65" orientation="landscape" r:id="rId4"/>
  <headerFooter>
    <oddHeader>&amp;L&amp;8Statistiska Centralbyrån
Offentlig ekonomi&amp;R&amp;P</oddHeader>
  </headerFooter>
  <colBreaks count="2" manualBreakCount="2">
    <brk id="13" max="1048575" man="1"/>
    <brk id="24" max="1048575" man="1"/>
  </colBreaks>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tabColor rgb="FFFFFF00"/>
  </sheetPr>
  <dimension ref="A1:IV113"/>
  <sheetViews>
    <sheetView showGridLines="0" zoomScaleNormal="100" workbookViewId="0">
      <pane xSplit="2" ySplit="7" topLeftCell="C8" activePane="bottomRight" state="frozen"/>
      <selection activeCell="F36" sqref="F36"/>
      <selection pane="topRight" activeCell="F36" sqref="F36"/>
      <selection pane="bottomLeft" activeCell="F36" sqref="F36"/>
      <selection pane="bottomRight" activeCell="C8" sqref="C8"/>
    </sheetView>
  </sheetViews>
  <sheetFormatPr defaultColWidth="0" defaultRowHeight="12.75"/>
  <cols>
    <col min="1" max="1" width="4" style="249" customWidth="1"/>
    <col min="2" max="2" width="27.42578125" style="203" customWidth="1"/>
    <col min="3" max="5" width="10.42578125" style="203" customWidth="1"/>
    <col min="6" max="6" width="9.5703125" style="203" customWidth="1"/>
    <col min="7" max="7" width="8.42578125" style="203" customWidth="1"/>
    <col min="8" max="8" width="8.42578125" style="250" hidden="1" customWidth="1"/>
    <col min="9" max="9" width="25.5703125" style="203" customWidth="1"/>
    <col min="10" max="10" width="7" style="203" customWidth="1"/>
    <col min="11" max="11" width="1.42578125" style="204" customWidth="1"/>
    <col min="12" max="12" width="0.5703125" style="204" customWidth="1"/>
    <col min="13" max="13" width="12.7109375" style="164" customWidth="1"/>
    <col min="14" max="15" width="1" style="164" customWidth="1"/>
    <col min="16" max="16" width="1" style="251" customWidth="1"/>
    <col min="17" max="17" width="59.7109375" style="4" customWidth="1"/>
    <col min="18" max="23" width="8.42578125" style="163" customWidth="1"/>
    <col min="24" max="24" width="8.42578125" style="164" customWidth="1"/>
    <col min="25" max="26" width="9.42578125" style="163" customWidth="1"/>
    <col min="27" max="16384" width="0" style="163" hidden="1"/>
  </cols>
  <sheetData>
    <row r="1" spans="1:256" ht="21.75">
      <c r="A1" s="73" t="str">
        <f>"Specificering pedagogisk verksamhet "&amp;År&amp;", miljoner kr"</f>
        <v>Specificering pedagogisk verksamhet 2024, miljoner kr</v>
      </c>
      <c r="B1" s="74"/>
      <c r="C1" s="74"/>
      <c r="D1" s="74"/>
      <c r="E1" s="162"/>
      <c r="F1" s="162"/>
      <c r="G1" s="162"/>
      <c r="H1" s="244"/>
      <c r="I1" s="479" t="s">
        <v>446</v>
      </c>
      <c r="J1" s="476" t="str">
        <f>Information!A2</f>
        <v>RIKSTOTAL</v>
      </c>
      <c r="K1" s="187"/>
      <c r="L1" s="187"/>
      <c r="M1" s="1170"/>
      <c r="N1" s="162"/>
      <c r="O1" s="73"/>
      <c r="P1" s="133"/>
      <c r="Q1" s="162"/>
      <c r="R1" s="2110"/>
      <c r="S1" s="2110"/>
      <c r="T1" s="2110"/>
      <c r="U1" s="2110"/>
      <c r="V1" s="2110"/>
      <c r="W1" s="2110"/>
      <c r="X1" s="2110"/>
      <c r="Y1" s="2110"/>
      <c r="Z1" s="2110"/>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c r="BO1" s="162"/>
      <c r="BP1" s="162"/>
      <c r="BQ1" s="162"/>
      <c r="BR1" s="162"/>
      <c r="BS1" s="162"/>
      <c r="BT1" s="162"/>
      <c r="BU1" s="162"/>
      <c r="BV1" s="162"/>
      <c r="BW1" s="162"/>
      <c r="BX1" s="162"/>
      <c r="BY1" s="162"/>
      <c r="BZ1" s="162"/>
      <c r="CA1" s="162"/>
      <c r="CB1" s="162"/>
      <c r="CC1" s="162"/>
      <c r="CD1" s="162"/>
      <c r="CE1" s="162"/>
      <c r="CF1" s="162"/>
      <c r="CG1" s="162"/>
      <c r="CH1" s="162"/>
      <c r="CI1" s="162"/>
      <c r="CJ1" s="162"/>
      <c r="CK1" s="162"/>
      <c r="CL1" s="162"/>
      <c r="CM1" s="162"/>
      <c r="CN1" s="162"/>
      <c r="CO1" s="162"/>
      <c r="CP1" s="162"/>
      <c r="CQ1" s="162"/>
      <c r="CR1" s="162"/>
      <c r="CS1" s="162"/>
      <c r="CT1" s="162"/>
      <c r="CU1" s="162"/>
      <c r="CV1" s="162"/>
      <c r="CW1" s="162"/>
      <c r="CX1" s="162"/>
      <c r="CY1" s="162"/>
      <c r="CZ1" s="162"/>
      <c r="DA1" s="162"/>
      <c r="DB1" s="162"/>
      <c r="DC1" s="162"/>
      <c r="DD1" s="162"/>
      <c r="DE1" s="162"/>
      <c r="DF1" s="162"/>
      <c r="DG1" s="162"/>
      <c r="DH1" s="162"/>
      <c r="DI1" s="162"/>
      <c r="DJ1" s="162"/>
      <c r="DK1" s="162"/>
      <c r="DL1" s="162"/>
      <c r="DM1" s="162"/>
      <c r="DN1" s="162"/>
      <c r="DO1" s="162"/>
      <c r="DP1" s="162"/>
      <c r="DQ1" s="162"/>
      <c r="DR1" s="162"/>
      <c r="DS1" s="162"/>
      <c r="DT1" s="162"/>
      <c r="DU1" s="162"/>
      <c r="DV1" s="162"/>
      <c r="DW1" s="162"/>
      <c r="DX1" s="162"/>
      <c r="DY1" s="162"/>
      <c r="DZ1" s="162"/>
      <c r="EA1" s="162"/>
      <c r="EB1" s="162"/>
      <c r="EC1" s="162"/>
      <c r="ED1" s="162"/>
      <c r="EE1" s="162"/>
      <c r="EF1" s="162"/>
      <c r="EG1" s="162"/>
      <c r="EH1" s="162"/>
      <c r="EI1" s="162"/>
      <c r="EJ1" s="162"/>
      <c r="EK1" s="162"/>
      <c r="EL1" s="162"/>
      <c r="EM1" s="162"/>
      <c r="EN1" s="162"/>
      <c r="EO1" s="162"/>
      <c r="EP1" s="162"/>
      <c r="EQ1" s="162"/>
      <c r="ER1" s="162"/>
      <c r="ES1" s="162"/>
      <c r="ET1" s="162"/>
      <c r="EU1" s="162"/>
      <c r="EV1" s="162"/>
      <c r="EW1" s="162"/>
      <c r="EX1" s="162"/>
      <c r="EY1" s="162"/>
      <c r="EZ1" s="162"/>
      <c r="FA1" s="162"/>
      <c r="FB1" s="162"/>
      <c r="FC1" s="162"/>
      <c r="FD1" s="162"/>
      <c r="FE1" s="162"/>
      <c r="FF1" s="162"/>
      <c r="FG1" s="162"/>
      <c r="FH1" s="162"/>
      <c r="FI1" s="162"/>
      <c r="FJ1" s="162"/>
      <c r="FK1" s="162"/>
      <c r="FL1" s="162"/>
      <c r="FM1" s="162"/>
      <c r="FN1" s="162"/>
      <c r="FO1" s="162"/>
      <c r="FP1" s="162"/>
      <c r="FQ1" s="162"/>
      <c r="FR1" s="162"/>
      <c r="FS1" s="162"/>
      <c r="FT1" s="162"/>
      <c r="FU1" s="162"/>
      <c r="FV1" s="162"/>
      <c r="FW1" s="162"/>
      <c r="FX1" s="162"/>
      <c r="FY1" s="162"/>
      <c r="FZ1" s="162"/>
      <c r="GA1" s="162"/>
      <c r="GB1" s="162"/>
      <c r="GC1" s="162"/>
      <c r="GD1" s="162"/>
      <c r="GE1" s="162"/>
      <c r="GF1" s="162"/>
      <c r="GG1" s="162"/>
      <c r="GH1" s="162"/>
      <c r="GI1" s="162"/>
      <c r="GJ1" s="162"/>
      <c r="GK1" s="162"/>
      <c r="GL1" s="162"/>
      <c r="GM1" s="162"/>
      <c r="GN1" s="162"/>
      <c r="GO1" s="162"/>
      <c r="GP1" s="162"/>
      <c r="GQ1" s="162"/>
      <c r="GR1" s="162"/>
      <c r="GS1" s="162"/>
      <c r="GT1" s="162"/>
      <c r="GU1" s="162"/>
      <c r="GV1" s="162"/>
      <c r="GW1" s="162"/>
      <c r="GX1" s="162"/>
      <c r="GY1" s="162"/>
      <c r="GZ1" s="162"/>
      <c r="HA1" s="162"/>
      <c r="HB1" s="162"/>
      <c r="HC1" s="162"/>
      <c r="HD1" s="162"/>
      <c r="HE1" s="162"/>
      <c r="HF1" s="162"/>
      <c r="HG1" s="162"/>
      <c r="HH1" s="162"/>
      <c r="HI1" s="162"/>
      <c r="HJ1" s="162"/>
      <c r="HK1" s="162"/>
      <c r="HL1" s="162"/>
      <c r="HM1" s="162"/>
      <c r="HN1" s="162"/>
      <c r="HO1" s="162"/>
      <c r="HP1" s="162"/>
      <c r="HQ1" s="162"/>
      <c r="HR1" s="162"/>
      <c r="HS1" s="162"/>
      <c r="HT1" s="162"/>
      <c r="HU1" s="162"/>
      <c r="HV1" s="162"/>
      <c r="HW1" s="162"/>
      <c r="HX1" s="162"/>
      <c r="HY1" s="162"/>
      <c r="HZ1" s="162"/>
      <c r="IA1" s="162"/>
      <c r="IB1" s="162"/>
      <c r="IC1" s="162"/>
      <c r="ID1" s="162"/>
      <c r="IE1" s="162"/>
      <c r="IF1" s="162"/>
      <c r="IG1" s="162"/>
      <c r="IH1" s="162"/>
      <c r="II1" s="162"/>
      <c r="IJ1" s="162"/>
      <c r="IK1" s="162"/>
      <c r="IL1" s="162"/>
      <c r="IM1" s="162"/>
      <c r="IN1" s="162"/>
      <c r="IO1" s="162"/>
      <c r="IP1" s="162"/>
      <c r="IQ1" s="162"/>
      <c r="IR1" s="162"/>
      <c r="IS1" s="162"/>
      <c r="IT1" s="162"/>
      <c r="IU1" s="162"/>
      <c r="IV1" s="162"/>
    </row>
    <row r="2" spans="1:256" ht="17.25" customHeight="1">
      <c r="A2" s="2110"/>
      <c r="B2" s="2110"/>
      <c r="C2" s="2110"/>
      <c r="D2" s="2110"/>
      <c r="E2" s="2110"/>
      <c r="F2" s="2110"/>
      <c r="G2" s="2110"/>
      <c r="H2" s="2110"/>
      <c r="I2" s="2110"/>
      <c r="J2" s="2110"/>
      <c r="K2" s="2110"/>
      <c r="L2" s="2110"/>
      <c r="M2" s="2110"/>
      <c r="N2" s="2110"/>
      <c r="O2" s="2110"/>
      <c r="P2" s="2110"/>
      <c r="Q2" s="2110"/>
      <c r="R2" s="2110"/>
      <c r="S2" s="2110"/>
      <c r="T2" s="2110"/>
      <c r="U2" s="2110"/>
      <c r="V2" s="2110"/>
      <c r="W2" s="2110"/>
      <c r="X2" s="2110"/>
      <c r="Y2" s="2110"/>
      <c r="Z2" s="2110"/>
    </row>
    <row r="3" spans="1:256" ht="17.25" customHeight="1" thickBot="1">
      <c r="A3" s="2110"/>
      <c r="B3" s="2110"/>
      <c r="C3" s="2110"/>
      <c r="D3" s="2110"/>
      <c r="E3" s="2110"/>
      <c r="F3" s="2110"/>
      <c r="G3" s="2110"/>
      <c r="H3" s="2110"/>
      <c r="I3" s="2110"/>
      <c r="J3" s="2110"/>
      <c r="K3" s="2110"/>
      <c r="L3" s="2110"/>
      <c r="M3" s="2110"/>
      <c r="N3" s="2110"/>
      <c r="O3" s="2110"/>
      <c r="P3" s="2110"/>
      <c r="Q3" s="2110"/>
      <c r="R3" s="2110"/>
      <c r="S3" s="2110"/>
      <c r="T3" s="2110"/>
      <c r="U3" s="2110"/>
      <c r="V3" s="2110"/>
      <c r="W3" s="2110"/>
      <c r="X3" s="2110"/>
      <c r="Y3" s="2110"/>
      <c r="Z3" s="2110"/>
    </row>
    <row r="4" spans="1:256" ht="11.25" customHeight="1">
      <c r="A4" s="1217" t="s">
        <v>603</v>
      </c>
      <c r="B4" s="1216" t="s">
        <v>445</v>
      </c>
      <c r="C4" s="976" t="s">
        <v>139</v>
      </c>
      <c r="D4" s="1212"/>
      <c r="E4" s="721" t="s">
        <v>139</v>
      </c>
      <c r="F4" s="1212"/>
      <c r="G4" s="1211"/>
      <c r="H4" s="245" t="s">
        <v>563</v>
      </c>
      <c r="I4" s="2619" t="s">
        <v>996</v>
      </c>
      <c r="J4" s="2620"/>
      <c r="K4" s="2620"/>
      <c r="L4" s="2620"/>
      <c r="M4" s="2610" t="s">
        <v>888</v>
      </c>
      <c r="N4" s="2110"/>
      <c r="O4" s="2110"/>
      <c r="P4" s="2110"/>
      <c r="Q4" s="2608" t="s">
        <v>58</v>
      </c>
      <c r="R4" s="2110"/>
      <c r="S4" s="2110"/>
      <c r="T4" s="2110"/>
      <c r="U4" s="2110"/>
      <c r="V4" s="2110"/>
      <c r="W4" s="2110"/>
      <c r="X4" s="2110"/>
      <c r="Y4" s="2110"/>
      <c r="Z4" s="2110"/>
    </row>
    <row r="5" spans="1:256" ht="12.6" customHeight="1">
      <c r="A5" s="1218" t="s">
        <v>605</v>
      </c>
      <c r="B5" s="761"/>
      <c r="C5" s="977" t="s">
        <v>42</v>
      </c>
      <c r="D5" s="2613" t="s">
        <v>774</v>
      </c>
      <c r="E5" s="724" t="s">
        <v>146</v>
      </c>
      <c r="F5" s="2613" t="s">
        <v>1056</v>
      </c>
      <c r="G5" s="2616" t="s">
        <v>1246</v>
      </c>
      <c r="H5" s="143"/>
      <c r="I5" s="2621"/>
      <c r="J5" s="2622"/>
      <c r="K5" s="2622"/>
      <c r="L5" s="2623"/>
      <c r="M5" s="2611"/>
      <c r="N5" s="2110"/>
      <c r="O5" s="2110"/>
      <c r="P5" s="2110"/>
      <c r="Q5" s="2609"/>
      <c r="R5" s="2110"/>
      <c r="S5" s="2110"/>
      <c r="T5" s="2110"/>
      <c r="U5" s="2110"/>
      <c r="V5" s="2110"/>
      <c r="W5" s="2110"/>
      <c r="X5" s="2110"/>
      <c r="Y5" s="2110"/>
      <c r="Z5" s="2110"/>
    </row>
    <row r="6" spans="1:256" ht="36.6" customHeight="1">
      <c r="A6" s="978"/>
      <c r="B6" s="761"/>
      <c r="C6" s="977"/>
      <c r="D6" s="2614"/>
      <c r="E6" s="516"/>
      <c r="F6" s="2614"/>
      <c r="G6" s="2617"/>
      <c r="H6" s="143"/>
      <c r="I6" s="1285"/>
      <c r="J6" s="1296"/>
      <c r="K6" s="1296"/>
      <c r="L6" s="2327"/>
      <c r="M6" s="2612"/>
      <c r="N6" s="2110"/>
      <c r="O6" s="2110"/>
      <c r="P6" s="2110"/>
      <c r="Q6" s="2609"/>
      <c r="R6" s="2110"/>
      <c r="S6" s="2110"/>
      <c r="T6" s="2110"/>
      <c r="U6" s="2110"/>
      <c r="V6" s="2110"/>
      <c r="W6" s="2110"/>
      <c r="X6" s="2110"/>
      <c r="Y6" s="2110"/>
      <c r="Z6" s="2110"/>
      <c r="IV6" s="2607"/>
    </row>
    <row r="7" spans="1:256" ht="65.099999999999994" customHeight="1" thickBot="1">
      <c r="A7" s="969"/>
      <c r="B7" s="761"/>
      <c r="C7" s="971"/>
      <c r="D7" s="2615"/>
      <c r="E7" s="516"/>
      <c r="F7" s="2615"/>
      <c r="G7" s="2618"/>
      <c r="H7" s="143"/>
      <c r="I7" s="1297"/>
      <c r="J7" s="761"/>
      <c r="K7" s="1298"/>
      <c r="L7" s="1294"/>
      <c r="M7" s="2335" t="str">
        <f>"År "&amp;År</f>
        <v>År 2024</v>
      </c>
      <c r="N7" s="2110"/>
      <c r="O7" s="2110"/>
      <c r="P7" s="2110"/>
      <c r="Q7" s="2609"/>
      <c r="R7" s="2110"/>
      <c r="S7" s="2110"/>
      <c r="T7" s="2110"/>
      <c r="U7" s="2110"/>
      <c r="V7" s="2110"/>
      <c r="W7" s="2110"/>
      <c r="X7" s="2110"/>
      <c r="Y7" s="2110"/>
      <c r="Z7" s="2110"/>
      <c r="IV7" s="2607"/>
    </row>
    <row r="8" spans="1:256">
      <c r="A8" s="999" t="s">
        <v>384</v>
      </c>
      <c r="B8" s="1000" t="s">
        <v>525</v>
      </c>
      <c r="C8" s="117">
        <f>Drift!P47</f>
        <v>105326.38099999999</v>
      </c>
      <c r="D8" s="118">
        <f>SUM(Motpart!D13:L13)</f>
        <v>19522.602000000003</v>
      </c>
      <c r="E8" s="118">
        <f>Drift!W47</f>
        <v>23192.474999999999</v>
      </c>
      <c r="F8" s="118">
        <f>Motpart!Y13</f>
        <v>449.42500000000001</v>
      </c>
      <c r="G8" s="123">
        <f>Drift!V47</f>
        <v>10475.583000000001</v>
      </c>
      <c r="H8" s="144"/>
      <c r="I8" s="960" t="s">
        <v>807</v>
      </c>
      <c r="J8" s="1379">
        <v>558718</v>
      </c>
      <c r="K8" s="1289"/>
      <c r="L8" s="1289"/>
      <c r="M8" s="2336">
        <f>(C8-F8-G8)*1000000/J8</f>
        <v>168960.67962728959</v>
      </c>
      <c r="N8" s="2110"/>
      <c r="O8" s="2110"/>
      <c r="P8" s="2110"/>
      <c r="Q8" s="2348" t="s">
        <v>812</v>
      </c>
      <c r="R8" s="2110"/>
      <c r="S8" s="2110"/>
      <c r="T8" s="2110"/>
      <c r="U8" s="2110"/>
      <c r="V8" s="2110"/>
      <c r="W8" s="2110"/>
      <c r="X8" s="2110"/>
      <c r="Y8" s="2110"/>
      <c r="Z8" s="2110"/>
    </row>
    <row r="9" spans="1:256" s="1151" customFormat="1">
      <c r="A9" s="1001" t="s">
        <v>310</v>
      </c>
      <c r="B9" s="1002" t="s">
        <v>355</v>
      </c>
      <c r="C9" s="335">
        <f>C8-G8-D8</f>
        <v>75328.195999999996</v>
      </c>
      <c r="D9" s="979"/>
      <c r="E9" s="985"/>
      <c r="F9" s="985"/>
      <c r="G9" s="991"/>
      <c r="H9" s="145">
        <v>850</v>
      </c>
      <c r="I9" s="1286"/>
      <c r="J9" s="1287"/>
      <c r="K9" s="1288"/>
      <c r="L9" s="1288"/>
      <c r="M9" s="2337">
        <f>C9*1000000/J8</f>
        <v>134823.28473398028</v>
      </c>
      <c r="N9" s="2110"/>
      <c r="O9" s="2110"/>
      <c r="P9" s="2110"/>
      <c r="Q9" s="2348" t="s">
        <v>813</v>
      </c>
      <c r="R9" s="2110"/>
      <c r="S9" s="2110"/>
      <c r="T9" s="2110"/>
      <c r="U9" s="2110"/>
      <c r="V9" s="2110"/>
      <c r="W9" s="2110"/>
      <c r="X9" s="2110"/>
      <c r="Y9" s="2110"/>
      <c r="Z9" s="2110"/>
    </row>
    <row r="10" spans="1:256" s="1147" customFormat="1">
      <c r="A10" s="1001" t="s">
        <v>308</v>
      </c>
      <c r="B10" s="1003" t="s">
        <v>1043</v>
      </c>
      <c r="C10" s="79">
        <f>Drift!C47+Drift!D47</f>
        <v>53022.837</v>
      </c>
      <c r="D10" s="979"/>
      <c r="E10" s="986"/>
      <c r="F10" s="986"/>
      <c r="G10" s="991"/>
      <c r="H10" s="145">
        <v>851</v>
      </c>
      <c r="I10" s="1286"/>
      <c r="J10" s="1287"/>
      <c r="K10" s="1035"/>
      <c r="L10" s="1035"/>
      <c r="M10" s="2337">
        <f>IF(C10=0,0,C10*100/C9)</f>
        <v>70.389097065327306</v>
      </c>
      <c r="N10" s="2110"/>
      <c r="O10" s="2110"/>
      <c r="P10" s="2110"/>
      <c r="Q10" s="2348" t="s">
        <v>356</v>
      </c>
      <c r="R10" s="2110"/>
      <c r="S10" s="2110"/>
      <c r="T10" s="2110"/>
      <c r="U10" s="2110"/>
      <c r="V10" s="2110"/>
      <c r="W10" s="2110"/>
      <c r="X10" s="2110"/>
      <c r="Y10" s="2110"/>
      <c r="Z10" s="2110"/>
    </row>
    <row r="11" spans="1:256" s="1147" customFormat="1">
      <c r="A11" s="1001" t="s">
        <v>311</v>
      </c>
      <c r="B11" s="1003" t="s">
        <v>522</v>
      </c>
      <c r="C11" s="1957">
        <v>12497.237999999999</v>
      </c>
      <c r="D11" s="980" t="str">
        <f>IF(C8=0,"",IF(C11&lt;Drift!I47+Drift!J47+Drift!L47,"Kommentera",""))</f>
        <v/>
      </c>
      <c r="E11" s="236">
        <v>286.61</v>
      </c>
      <c r="F11" s="986"/>
      <c r="G11" s="252">
        <v>222.184</v>
      </c>
      <c r="H11" s="145"/>
      <c r="I11" s="2045" t="str">
        <f>IF(G11&gt;E11,"Därav kol. G&gt; Kol. E- korrigera!","")</f>
        <v/>
      </c>
      <c r="J11" s="1380"/>
      <c r="K11" s="1031"/>
      <c r="L11" s="1031"/>
      <c r="M11" s="2337">
        <f>(C11-E11)*1000000/J8</f>
        <v>21854.724565881173</v>
      </c>
      <c r="N11" s="2110"/>
      <c r="O11" s="2110"/>
      <c r="P11" s="2110"/>
      <c r="Q11" s="2348" t="s">
        <v>814</v>
      </c>
      <c r="R11" s="2110"/>
      <c r="S11" s="2110"/>
      <c r="T11" s="2110"/>
      <c r="U11" s="2110"/>
      <c r="V11" s="2110"/>
      <c r="W11" s="2110"/>
      <c r="X11" s="2110"/>
      <c r="Y11" s="2110"/>
      <c r="Z11" s="2110"/>
    </row>
    <row r="12" spans="1:256" s="1147" customFormat="1">
      <c r="A12" s="1001" t="s">
        <v>447</v>
      </c>
      <c r="B12" s="1003" t="s">
        <v>484</v>
      </c>
      <c r="C12" s="983"/>
      <c r="D12" s="981"/>
      <c r="E12" s="80">
        <f>Drift!R47</f>
        <v>5807.3069999999998</v>
      </c>
      <c r="F12" s="987"/>
      <c r="G12" s="1166"/>
      <c r="H12" s="159" t="s">
        <v>537</v>
      </c>
      <c r="I12" s="1033"/>
      <c r="J12" s="1287"/>
      <c r="K12" s="1288"/>
      <c r="L12" s="1288"/>
      <c r="M12" s="2337">
        <f>(Motpart!G13+Motpart!K13)*1000000/J8</f>
        <v>818.5506820972297</v>
      </c>
      <c r="N12" s="2110"/>
      <c r="O12" s="2110"/>
      <c r="P12" s="2110"/>
      <c r="Q12" s="2348" t="s">
        <v>815</v>
      </c>
      <c r="R12" s="2110"/>
      <c r="S12" s="2110"/>
      <c r="T12" s="2110"/>
      <c r="U12" s="2110"/>
      <c r="V12" s="2110"/>
      <c r="W12" s="2110"/>
      <c r="X12" s="2110"/>
      <c r="Y12" s="2110"/>
      <c r="Z12" s="2110"/>
    </row>
    <row r="13" spans="1:256" s="1147" customFormat="1">
      <c r="A13" s="1001" t="s">
        <v>448</v>
      </c>
      <c r="B13" s="1003" t="s">
        <v>449</v>
      </c>
      <c r="C13" s="984"/>
      <c r="D13" s="981"/>
      <c r="E13" s="236">
        <v>567.84299999999996</v>
      </c>
      <c r="F13" s="987"/>
      <c r="G13" s="1166"/>
      <c r="H13" s="160" t="s">
        <v>538</v>
      </c>
      <c r="I13" s="1033"/>
      <c r="J13" s="1287"/>
      <c r="K13" s="1288"/>
      <c r="L13" s="1288"/>
      <c r="M13" s="2337">
        <f>F8*1000000/J8</f>
        <v>804.38611249324344</v>
      </c>
      <c r="N13" s="2110"/>
      <c r="O13" s="2110"/>
      <c r="P13" s="2110"/>
      <c r="Q13" s="2348" t="s">
        <v>816</v>
      </c>
      <c r="R13" s="2110"/>
      <c r="S13" s="2110"/>
      <c r="T13" s="2110"/>
      <c r="U13" s="2110"/>
      <c r="V13" s="2110"/>
      <c r="W13" s="2110"/>
      <c r="X13" s="2110"/>
      <c r="Y13" s="2110"/>
      <c r="Z13" s="2110"/>
    </row>
    <row r="14" spans="1:256" s="1147" customFormat="1">
      <c r="A14" s="1004" t="s">
        <v>554</v>
      </c>
      <c r="B14" s="1005"/>
      <c r="C14" s="984"/>
      <c r="D14" s="982"/>
      <c r="E14" s="990"/>
      <c r="F14" s="988"/>
      <c r="G14" s="1166"/>
      <c r="H14" s="159" t="s">
        <v>539</v>
      </c>
      <c r="I14" s="1033"/>
      <c r="J14" s="1287"/>
      <c r="K14" s="1288"/>
      <c r="L14" s="1288"/>
      <c r="M14" s="2337">
        <f>((Motpart!D13+Motpart!E13+Motpart!F13+Motpart!J13)-((Motpart!D13+Motpart!E13+Motpart!F13+Motpart!J13)*0.06))*1000000/J8</f>
        <v>32002.69821269406</v>
      </c>
      <c r="N14" s="2110"/>
      <c r="O14" s="2110"/>
      <c r="P14" s="2110"/>
      <c r="Q14" s="2348" t="s">
        <v>817</v>
      </c>
      <c r="R14" s="2110"/>
      <c r="S14" s="2110"/>
      <c r="T14" s="2110"/>
      <c r="U14" s="2110"/>
      <c r="V14" s="2110"/>
      <c r="W14" s="2110"/>
      <c r="X14" s="2110"/>
      <c r="Y14" s="2110"/>
      <c r="Z14" s="2110"/>
    </row>
    <row r="15" spans="1:256" s="1152" customFormat="1" ht="13.5" thickBot="1">
      <c r="A15" s="1004" t="s">
        <v>306</v>
      </c>
      <c r="B15" s="1005"/>
      <c r="C15" s="984"/>
      <c r="D15" s="982"/>
      <c r="E15" s="982"/>
      <c r="F15" s="989"/>
      <c r="G15" s="992"/>
      <c r="H15" s="146"/>
      <c r="I15" s="1295"/>
      <c r="J15" s="1381"/>
      <c r="K15" s="1032"/>
      <c r="L15" s="1032"/>
      <c r="M15" s="2338">
        <f>IF(C9=0,0,(E12-E13)*100/C9)</f>
        <v>6.9555150371581984</v>
      </c>
      <c r="N15" s="2110"/>
      <c r="O15" s="2110"/>
      <c r="P15" s="2110"/>
      <c r="Q15" s="2348" t="s">
        <v>510</v>
      </c>
      <c r="R15" s="2110"/>
      <c r="S15" s="2110"/>
      <c r="T15" s="2110"/>
      <c r="U15" s="2110"/>
      <c r="V15" s="2110"/>
      <c r="W15" s="2110"/>
      <c r="X15" s="2110"/>
      <c r="Y15" s="2110"/>
      <c r="Z15" s="2110"/>
    </row>
    <row r="16" spans="1:256">
      <c r="A16" s="1006" t="s">
        <v>644</v>
      </c>
      <c r="B16" s="1007" t="s">
        <v>526</v>
      </c>
      <c r="C16" s="77">
        <f>Drift!P50</f>
        <v>26695.753000000004</v>
      </c>
      <c r="D16" s="78">
        <f>SUM(Motpart!D15:L15)</f>
        <v>3002.6119999999996</v>
      </c>
      <c r="E16" s="81">
        <f>Drift!W50</f>
        <v>8010.235999999999</v>
      </c>
      <c r="F16" s="78">
        <f>Motpart!Y15</f>
        <v>171.92699999999999</v>
      </c>
      <c r="G16" s="124">
        <f>Drift!V50</f>
        <v>3176.3539999999998</v>
      </c>
      <c r="H16" s="143"/>
      <c r="I16" s="960" t="s">
        <v>808</v>
      </c>
      <c r="J16" s="1379">
        <v>865475</v>
      </c>
      <c r="K16" s="1294"/>
      <c r="L16" s="1289"/>
      <c r="M16" s="2339">
        <f>(C16-G16-F16)*1000000/J16</f>
        <v>26976.483433952457</v>
      </c>
      <c r="N16" s="2110"/>
      <c r="O16" s="2110"/>
      <c r="P16" s="2110"/>
      <c r="Q16" s="2350" t="s">
        <v>854</v>
      </c>
      <c r="R16" s="2110"/>
      <c r="S16" s="2110"/>
      <c r="T16" s="2110"/>
      <c r="U16" s="2110"/>
      <c r="V16" s="2110"/>
      <c r="W16" s="2110"/>
      <c r="X16" s="2110"/>
      <c r="Y16" s="2110"/>
      <c r="Z16" s="2110"/>
    </row>
    <row r="17" spans="1:256">
      <c r="A17" s="1001" t="s">
        <v>367</v>
      </c>
      <c r="B17" s="1008" t="s">
        <v>355</v>
      </c>
      <c r="C17" s="335">
        <f>C16-G16-D16</f>
        <v>20516.787000000004</v>
      </c>
      <c r="D17" s="993"/>
      <c r="E17" s="994"/>
      <c r="F17" s="994"/>
      <c r="G17" s="991"/>
      <c r="H17" s="147" t="s">
        <v>267</v>
      </c>
      <c r="I17" s="1286"/>
      <c r="J17" s="1287"/>
      <c r="K17" s="1288"/>
      <c r="L17" s="1288"/>
      <c r="M17" s="2337">
        <f>C17*1000000/J16</f>
        <v>23705.811259712878</v>
      </c>
      <c r="N17" s="2110"/>
      <c r="O17" s="2110"/>
      <c r="P17" s="2110"/>
      <c r="Q17" s="2348" t="s">
        <v>855</v>
      </c>
      <c r="R17" s="2110"/>
      <c r="S17" s="2110"/>
      <c r="T17" s="2110"/>
      <c r="U17" s="2110"/>
      <c r="V17" s="2110"/>
      <c r="W17" s="2110"/>
      <c r="X17" s="2110"/>
      <c r="Y17" s="2110"/>
      <c r="Z17" s="2110"/>
    </row>
    <row r="18" spans="1:256">
      <c r="A18" s="1001" t="s">
        <v>368</v>
      </c>
      <c r="B18" s="1895" t="s">
        <v>1044</v>
      </c>
      <c r="C18" s="82">
        <f>Drift!C50+Drift!D50</f>
        <v>14252.862999999999</v>
      </c>
      <c r="D18" s="993"/>
      <c r="E18" s="986"/>
      <c r="F18" s="986"/>
      <c r="G18" s="991"/>
      <c r="H18" s="145" t="s">
        <v>564</v>
      </c>
      <c r="I18" s="1286"/>
      <c r="J18" s="1287"/>
      <c r="K18" s="1035"/>
      <c r="L18" s="1035"/>
      <c r="M18" s="2337">
        <f>IF(C18=0,0,(C18*100/C17))</f>
        <v>69.469274111974741</v>
      </c>
      <c r="N18" s="2110"/>
      <c r="O18" s="2110"/>
      <c r="P18" s="2110"/>
      <c r="Q18" s="2348" t="s">
        <v>362</v>
      </c>
      <c r="R18" s="2110"/>
      <c r="S18" s="2110"/>
      <c r="T18" s="2110"/>
      <c r="U18" s="2110"/>
      <c r="V18" s="2110"/>
      <c r="W18" s="2110"/>
      <c r="X18" s="2110"/>
      <c r="Y18" s="2110"/>
      <c r="Z18" s="2110"/>
    </row>
    <row r="19" spans="1:256" ht="13.5" customHeight="1">
      <c r="A19" s="1001" t="s">
        <v>369</v>
      </c>
      <c r="B19" s="1003" t="s">
        <v>522</v>
      </c>
      <c r="C19" s="1957">
        <v>3671.9670000000001</v>
      </c>
      <c r="D19" s="993" t="str">
        <f>IF(C16=0,"",IF(C19&lt;Drift!I50+Drift!J50+Drift!L50,"Kommentera",""))</f>
        <v/>
      </c>
      <c r="E19" s="236">
        <v>110.962</v>
      </c>
      <c r="F19" s="988"/>
      <c r="G19" s="252">
        <v>78.453000000000003</v>
      </c>
      <c r="H19" s="143"/>
      <c r="I19" s="2046" t="str">
        <f>IF(G19&gt;E19,"Därav kol. G&gt; Kol. E-korrigera!","")</f>
        <v/>
      </c>
      <c r="J19" s="1380"/>
      <c r="K19" s="1031"/>
      <c r="L19" s="1031"/>
      <c r="M19" s="2340">
        <f>(C19-E19)*1000000/J16</f>
        <v>4114.5093734654383</v>
      </c>
      <c r="N19" s="2110"/>
      <c r="O19" s="2110"/>
      <c r="P19" s="2110"/>
      <c r="Q19" s="2348" t="s">
        <v>856</v>
      </c>
      <c r="R19" s="2110"/>
      <c r="S19" s="2110"/>
      <c r="T19" s="2110"/>
      <c r="U19" s="2110"/>
      <c r="V19" s="2110"/>
      <c r="W19" s="2110"/>
      <c r="X19" s="2110"/>
      <c r="Y19" s="2110"/>
      <c r="Z19" s="2110"/>
    </row>
    <row r="20" spans="1:256">
      <c r="A20" s="1001" t="s">
        <v>540</v>
      </c>
      <c r="B20" s="1003" t="s">
        <v>484</v>
      </c>
      <c r="C20" s="983"/>
      <c r="D20" s="981"/>
      <c r="E20" s="82">
        <f>Drift!R50</f>
        <v>3732.8</v>
      </c>
      <c r="F20" s="987"/>
      <c r="G20" s="1166"/>
      <c r="H20" s="391" t="s">
        <v>565</v>
      </c>
      <c r="I20" s="1033"/>
      <c r="J20" s="1287"/>
      <c r="K20" s="1288"/>
      <c r="L20" s="1288"/>
      <c r="M20" s="2337">
        <f>IF(D16=0,0,(Motpart!G15+Motpart!K15)*1000000/J16)</f>
        <v>200.31658915624368</v>
      </c>
      <c r="N20" s="2110"/>
      <c r="O20" s="2110"/>
      <c r="P20" s="2110"/>
      <c r="Q20" s="2348" t="s">
        <v>857</v>
      </c>
      <c r="R20" s="2110"/>
      <c r="S20" s="2110"/>
      <c r="T20" s="2110"/>
      <c r="U20" s="2110"/>
      <c r="V20" s="2110"/>
      <c r="W20" s="2110"/>
      <c r="X20" s="2110"/>
      <c r="Y20" s="2110"/>
      <c r="Z20" s="2110"/>
    </row>
    <row r="21" spans="1:256">
      <c r="A21" s="1001" t="s">
        <v>541</v>
      </c>
      <c r="B21" s="1003" t="s">
        <v>449</v>
      </c>
      <c r="C21" s="984"/>
      <c r="D21" s="981"/>
      <c r="E21" s="236">
        <v>207.19200000000001</v>
      </c>
      <c r="F21" s="987"/>
      <c r="G21" s="1166"/>
      <c r="H21" s="391" t="s">
        <v>566</v>
      </c>
      <c r="I21" s="1033"/>
      <c r="J21" s="1287"/>
      <c r="K21" s="1288"/>
      <c r="L21" s="1288"/>
      <c r="M21" s="2337">
        <f>IF(F16=0,0,(F16*1000000/J16))</f>
        <v>198.65045206389556</v>
      </c>
      <c r="N21" s="2110"/>
      <c r="O21" s="2110"/>
      <c r="P21" s="2110"/>
      <c r="Q21" s="2348" t="s">
        <v>858</v>
      </c>
      <c r="R21" s="2110"/>
      <c r="S21" s="2110"/>
      <c r="T21" s="2110"/>
      <c r="U21" s="2110"/>
      <c r="V21" s="2110"/>
      <c r="W21" s="2110"/>
      <c r="X21" s="2110"/>
      <c r="Y21" s="2110"/>
      <c r="Z21" s="2110"/>
      <c r="IV21" s="246"/>
    </row>
    <row r="22" spans="1:256">
      <c r="A22" s="1004" t="s">
        <v>553</v>
      </c>
      <c r="B22" s="1009"/>
      <c r="C22" s="984"/>
      <c r="D22" s="982"/>
      <c r="E22" s="990"/>
      <c r="F22" s="988"/>
      <c r="G22" s="1166"/>
      <c r="H22" s="391" t="s">
        <v>567</v>
      </c>
      <c r="I22" s="1033"/>
      <c r="J22" s="1287"/>
      <c r="K22" s="1288"/>
      <c r="L22" s="1288"/>
      <c r="M22" s="2337">
        <f>IF(D16=0,0,((Motpart!D15+Motpart!E15+Motpart!F15+Motpart!I15+Motpart!J15)-((Motpart!D15+Motpart!E15+Motpart!F15+Motpart!J15)*0.06))*1000000/J16)</f>
        <v>3076.2069846038298</v>
      </c>
      <c r="N22" s="2110"/>
      <c r="O22" s="2110"/>
      <c r="P22" s="2110"/>
      <c r="Q22" s="2348" t="s">
        <v>859</v>
      </c>
      <c r="R22" s="2110"/>
      <c r="S22" s="2110"/>
      <c r="T22" s="2110"/>
      <c r="U22" s="2110"/>
      <c r="V22" s="2110"/>
      <c r="W22" s="2110"/>
      <c r="X22" s="2110"/>
      <c r="Y22" s="2110"/>
      <c r="Z22" s="2110"/>
      <c r="IV22" s="246"/>
    </row>
    <row r="23" spans="1:256" ht="13.5" thickBot="1">
      <c r="A23" s="1004" t="s">
        <v>542</v>
      </c>
      <c r="B23" s="1009"/>
      <c r="C23" s="984"/>
      <c r="D23" s="982"/>
      <c r="E23" s="982"/>
      <c r="F23" s="982"/>
      <c r="G23" s="992"/>
      <c r="H23" s="392"/>
      <c r="I23" s="605"/>
      <c r="J23" s="1381"/>
      <c r="K23" s="1032"/>
      <c r="L23" s="1032"/>
      <c r="M23" s="2341">
        <f>IF(E20=0,0,(E20-E21)*100/C17)</f>
        <v>17.184016191229162</v>
      </c>
      <c r="N23" s="2110"/>
      <c r="O23" s="2110"/>
      <c r="P23" s="2110"/>
      <c r="Q23" s="2351" t="s">
        <v>511</v>
      </c>
      <c r="R23" s="2110"/>
      <c r="S23" s="2110"/>
      <c r="T23" s="2110"/>
      <c r="U23" s="2110"/>
      <c r="V23" s="2110"/>
      <c r="W23" s="2110"/>
      <c r="X23" s="2110"/>
      <c r="Y23" s="2110"/>
      <c r="Z23" s="2110"/>
      <c r="IV23" s="246"/>
    </row>
    <row r="24" spans="1:256">
      <c r="A24" s="1006" t="s">
        <v>373</v>
      </c>
      <c r="B24" s="1010" t="s">
        <v>527</v>
      </c>
      <c r="C24" s="77">
        <f>Drift!P53</f>
        <v>10706.611000000001</v>
      </c>
      <c r="D24" s="78">
        <f>SUM(Motpart!D17:L17)</f>
        <v>1341.7249999999999</v>
      </c>
      <c r="E24" s="78">
        <f>Drift!W53</f>
        <v>1830.7089999999998</v>
      </c>
      <c r="F24" s="78">
        <f>Motpart!Y17</f>
        <v>59.005000000000003</v>
      </c>
      <c r="G24" s="124">
        <f>Drift!V53</f>
        <v>1295.231</v>
      </c>
      <c r="H24" s="159"/>
      <c r="I24" s="960" t="s">
        <v>809</v>
      </c>
      <c r="J24" s="1379">
        <v>120098</v>
      </c>
      <c r="K24" s="1291"/>
      <c r="L24" s="1289"/>
      <c r="M24" s="2339">
        <f>(C24-G24-F24)*1000000/J24</f>
        <v>77872.862162567253</v>
      </c>
      <c r="N24" s="2110"/>
      <c r="O24" s="2110"/>
      <c r="P24" s="2110"/>
      <c r="Q24" s="2348" t="s">
        <v>848</v>
      </c>
      <c r="R24" s="2110"/>
      <c r="S24" s="2110"/>
      <c r="T24" s="2110"/>
      <c r="U24" s="2110"/>
      <c r="V24" s="2110"/>
      <c r="W24" s="2110"/>
      <c r="X24" s="2110"/>
      <c r="Y24" s="2110"/>
      <c r="Z24" s="2110"/>
    </row>
    <row r="25" spans="1:256">
      <c r="A25" s="1001" t="s">
        <v>370</v>
      </c>
      <c r="B25" s="1011" t="s">
        <v>355</v>
      </c>
      <c r="C25" s="335">
        <f>C24-G24-D24</f>
        <v>8069.6550000000007</v>
      </c>
      <c r="D25" s="993"/>
      <c r="E25" s="994"/>
      <c r="F25" s="994"/>
      <c r="G25" s="991"/>
      <c r="H25" s="391" t="s">
        <v>568</v>
      </c>
      <c r="I25" s="1033"/>
      <c r="J25" s="1287"/>
      <c r="K25" s="1288"/>
      <c r="L25" s="1288"/>
      <c r="M25" s="2337">
        <f>C25*1000000/J24</f>
        <v>67192.251328082071</v>
      </c>
      <c r="N25" s="2110"/>
      <c r="O25" s="2110"/>
      <c r="P25" s="2110"/>
      <c r="Q25" s="2348" t="s">
        <v>849</v>
      </c>
      <c r="R25" s="2110"/>
      <c r="S25" s="2110"/>
      <c r="T25" s="2110"/>
      <c r="U25" s="2110"/>
      <c r="V25" s="2110"/>
      <c r="W25" s="2110"/>
      <c r="X25" s="2110"/>
      <c r="Y25" s="2110"/>
      <c r="Z25" s="2110"/>
    </row>
    <row r="26" spans="1:256">
      <c r="A26" s="1001" t="s">
        <v>371</v>
      </c>
      <c r="B26" s="1896" t="s">
        <v>1044</v>
      </c>
      <c r="C26" s="82">
        <f>Drift!C53+Drift!D53</f>
        <v>5025.9169999999995</v>
      </c>
      <c r="D26" s="993"/>
      <c r="E26" s="986"/>
      <c r="F26" s="986"/>
      <c r="G26" s="991"/>
      <c r="H26" s="159" t="s">
        <v>373</v>
      </c>
      <c r="I26" s="1033"/>
      <c r="J26" s="1287"/>
      <c r="K26" s="1035"/>
      <c r="L26" s="1035"/>
      <c r="M26" s="2338">
        <f>IF(C26=0,0,C26*100/C25)</f>
        <v>62.281683665534636</v>
      </c>
      <c r="N26" s="2110"/>
      <c r="O26" s="2110"/>
      <c r="P26" s="2110"/>
      <c r="Q26" s="2348" t="s">
        <v>363</v>
      </c>
      <c r="R26" s="2110"/>
      <c r="S26" s="2110"/>
      <c r="T26" s="2110"/>
      <c r="U26" s="2110"/>
      <c r="V26" s="2110"/>
      <c r="W26" s="2110"/>
      <c r="X26" s="2110"/>
      <c r="Y26" s="2110"/>
      <c r="Z26" s="2110"/>
    </row>
    <row r="27" spans="1:256">
      <c r="A27" s="1004" t="s">
        <v>372</v>
      </c>
      <c r="B27" s="1003" t="s">
        <v>522</v>
      </c>
      <c r="C27" s="1957">
        <v>1913.085</v>
      </c>
      <c r="D27" s="993" t="str">
        <f>IF(C24=0,"",IF(C27&lt;Drift!I53+Drift!J53+Drift!L53,"Kommentera",""))</f>
        <v/>
      </c>
      <c r="E27" s="236">
        <v>47.274000000000001</v>
      </c>
      <c r="F27" s="988"/>
      <c r="G27" s="252">
        <v>40.328000000000003</v>
      </c>
      <c r="H27" s="391"/>
      <c r="I27" s="2047" t="str">
        <f>IF(G27&gt;E27,"Därav kol. G&gt; Kol. E- korrigera!","")</f>
        <v/>
      </c>
      <c r="J27" s="1119"/>
      <c r="K27" s="1031"/>
      <c r="L27" s="1031"/>
      <c r="M27" s="2337">
        <f>(C27-E27)*1000000/J24</f>
        <v>15535.737481057138</v>
      </c>
      <c r="N27" s="2110"/>
      <c r="O27" s="2110"/>
      <c r="P27" s="2110"/>
      <c r="Q27" s="2348" t="s">
        <v>850</v>
      </c>
      <c r="R27" s="2110"/>
      <c r="S27" s="2110"/>
      <c r="T27" s="2110"/>
      <c r="U27" s="2110"/>
      <c r="V27" s="2110"/>
      <c r="W27" s="2110"/>
      <c r="X27" s="2110"/>
      <c r="Y27" s="2110"/>
      <c r="Z27" s="2110"/>
    </row>
    <row r="28" spans="1:256">
      <c r="A28" s="1004" t="s">
        <v>543</v>
      </c>
      <c r="B28" s="1012"/>
      <c r="C28" s="993"/>
      <c r="D28" s="993"/>
      <c r="E28" s="993"/>
      <c r="F28" s="988"/>
      <c r="G28" s="1166"/>
      <c r="H28" s="159" t="s">
        <v>569</v>
      </c>
      <c r="I28" s="1033"/>
      <c r="J28" s="1287"/>
      <c r="K28" s="1288"/>
      <c r="L28" s="1288"/>
      <c r="M28" s="2338">
        <f>(Motpart!G17+Motpart!K17)*1000000/J24</f>
        <v>509.08424786424422</v>
      </c>
      <c r="N28" s="2110"/>
      <c r="O28" s="2110"/>
      <c r="P28" s="2110"/>
      <c r="Q28" s="2348" t="s">
        <v>851</v>
      </c>
      <c r="R28" s="2110"/>
      <c r="S28" s="2110"/>
      <c r="T28" s="2110"/>
      <c r="U28" s="2110"/>
      <c r="V28" s="2110"/>
      <c r="W28" s="2110"/>
      <c r="X28" s="2110"/>
      <c r="Y28" s="2110"/>
      <c r="Z28" s="2110"/>
    </row>
    <row r="29" spans="1:256">
      <c r="A29" s="1004" t="s">
        <v>544</v>
      </c>
      <c r="B29" s="1013"/>
      <c r="C29" s="993"/>
      <c r="D29" s="993"/>
      <c r="E29" s="993"/>
      <c r="F29" s="988"/>
      <c r="G29" s="1166"/>
      <c r="H29" s="390" t="s">
        <v>570</v>
      </c>
      <c r="I29" s="1033"/>
      <c r="J29" s="1287"/>
      <c r="K29" s="1288"/>
      <c r="L29" s="1288"/>
      <c r="M29" s="2342">
        <f>F24*1000000/J24</f>
        <v>491.30709920231811</v>
      </c>
      <c r="N29" s="2110"/>
      <c r="O29" s="2110"/>
      <c r="P29" s="2110"/>
      <c r="Q29" s="2348" t="s">
        <v>852</v>
      </c>
      <c r="R29" s="2110"/>
      <c r="S29" s="2110"/>
      <c r="T29" s="2110"/>
      <c r="U29" s="2110"/>
      <c r="V29" s="2110"/>
      <c r="W29" s="2110"/>
      <c r="X29" s="2110"/>
      <c r="Y29" s="2110"/>
      <c r="Z29" s="2110"/>
    </row>
    <row r="30" spans="1:256" ht="13.5" thickBot="1">
      <c r="A30" s="1004" t="s">
        <v>552</v>
      </c>
      <c r="B30" s="1014"/>
      <c r="C30" s="993"/>
      <c r="D30" s="993"/>
      <c r="E30" s="993"/>
      <c r="F30" s="988"/>
      <c r="G30" s="1167"/>
      <c r="H30" s="393" t="s">
        <v>571</v>
      </c>
      <c r="I30" s="605"/>
      <c r="J30" s="1292"/>
      <c r="K30" s="1293"/>
      <c r="L30" s="1293"/>
      <c r="M30" s="2343">
        <f>(Motpart!D17+Motpart!E17+Motpart!F17+Motpart!I17+Motpart!J17-(Motpart!D17+Motpart!E17+Motpart!F17+Motpart!J17)*0.06)*1000000/J24</f>
        <v>10024.275674865527</v>
      </c>
      <c r="N30" s="2110"/>
      <c r="O30" s="2110"/>
      <c r="P30" s="2110"/>
      <c r="Q30" s="2351" t="s">
        <v>853</v>
      </c>
      <c r="R30" s="2110"/>
      <c r="S30" s="2110"/>
      <c r="T30" s="2110"/>
      <c r="U30" s="2110"/>
      <c r="V30" s="2110"/>
      <c r="W30" s="2110"/>
      <c r="X30" s="2110"/>
      <c r="Y30" s="2110"/>
      <c r="Z30" s="2110"/>
    </row>
    <row r="31" spans="1:256">
      <c r="A31" s="1006" t="s">
        <v>385</v>
      </c>
      <c r="B31" s="1015" t="s">
        <v>528</v>
      </c>
      <c r="C31" s="77">
        <f>Drift!P54</f>
        <v>178423.753</v>
      </c>
      <c r="D31" s="78">
        <f>SUM(Motpart!D18:L18)</f>
        <v>24367.498000000003</v>
      </c>
      <c r="E31" s="78">
        <f>Drift!W54</f>
        <v>33402.964999999997</v>
      </c>
      <c r="F31" s="78">
        <f>Motpart!Y18</f>
        <v>1659.7819999999999</v>
      </c>
      <c r="G31" s="124">
        <f>Drift!V54</f>
        <v>17317.081999999999</v>
      </c>
      <c r="H31" s="394"/>
      <c r="I31" s="960" t="s">
        <v>810</v>
      </c>
      <c r="J31" s="1379">
        <v>1127415</v>
      </c>
      <c r="K31" s="1289"/>
      <c r="L31" s="1289"/>
      <c r="M31" s="2344">
        <f>SUM(M32:M34,M36:M38)</f>
        <v>117046.75917918426</v>
      </c>
      <c r="N31" s="2110"/>
      <c r="O31" s="2110"/>
      <c r="P31" s="2110"/>
      <c r="Q31" s="2348" t="s">
        <v>836</v>
      </c>
      <c r="R31" s="2110"/>
      <c r="S31" s="2110"/>
      <c r="T31" s="2110"/>
      <c r="U31" s="2110"/>
      <c r="V31" s="2110"/>
      <c r="W31" s="2110"/>
      <c r="X31" s="2110"/>
      <c r="Y31" s="2110"/>
      <c r="Z31" s="2110"/>
    </row>
    <row r="32" spans="1:256">
      <c r="A32" s="1001" t="s">
        <v>374</v>
      </c>
      <c r="B32" s="1016" t="s">
        <v>493</v>
      </c>
      <c r="C32" s="253">
        <v>78850.898000000001</v>
      </c>
      <c r="D32" s="993"/>
      <c r="E32" s="236">
        <v>5822.5529999999999</v>
      </c>
      <c r="F32" s="994"/>
      <c r="G32" s="252">
        <v>5649.451</v>
      </c>
      <c r="H32" s="145" t="s">
        <v>572</v>
      </c>
      <c r="I32" s="2048"/>
      <c r="J32" s="1815"/>
      <c r="K32" s="1815"/>
      <c r="L32" s="2328"/>
      <c r="M32" s="2337">
        <f>(C32-E32)*1000000/J31</f>
        <v>64775.034038042781</v>
      </c>
      <c r="N32" s="2110"/>
      <c r="O32" s="2110"/>
      <c r="P32" s="2110"/>
      <c r="Q32" s="2348" t="s">
        <v>837</v>
      </c>
      <c r="R32" s="2110"/>
      <c r="S32" s="2110"/>
      <c r="T32" s="2110"/>
      <c r="U32" s="2110"/>
      <c r="V32" s="2110"/>
      <c r="W32" s="2110"/>
      <c r="X32" s="2110"/>
      <c r="Y32" s="2110"/>
      <c r="Z32" s="2110"/>
    </row>
    <row r="33" spans="1:26">
      <c r="A33" s="1001" t="s">
        <v>375</v>
      </c>
      <c r="B33" s="1016" t="s">
        <v>800</v>
      </c>
      <c r="C33" s="253">
        <v>5710.6040000000003</v>
      </c>
      <c r="D33" s="993"/>
      <c r="E33" s="236">
        <v>173.23699999999999</v>
      </c>
      <c r="F33" s="986"/>
      <c r="G33" s="252">
        <v>113.099</v>
      </c>
      <c r="H33" s="145" t="s">
        <v>573</v>
      </c>
      <c r="I33" s="2046"/>
      <c r="J33" s="1287"/>
      <c r="K33" s="1035"/>
      <c r="L33" s="1035"/>
      <c r="M33" s="2337">
        <f>(C33-E33)*1000000/J31</f>
        <v>4911.5605167573613</v>
      </c>
      <c r="N33" s="2110"/>
      <c r="O33" s="2110"/>
      <c r="P33" s="2110"/>
      <c r="Q33" s="2348" t="s">
        <v>838</v>
      </c>
      <c r="R33" s="2110"/>
      <c r="S33" s="2110"/>
      <c r="T33" s="2110"/>
      <c r="U33" s="2110"/>
      <c r="V33" s="2110"/>
      <c r="W33" s="2110"/>
      <c r="X33" s="2110"/>
      <c r="Y33" s="2110"/>
      <c r="Z33" s="2110"/>
    </row>
    <row r="34" spans="1:26">
      <c r="A34" s="1001" t="s">
        <v>376</v>
      </c>
      <c r="B34" s="1016" t="s">
        <v>509</v>
      </c>
      <c r="C34" s="253">
        <v>8066.8180000000002</v>
      </c>
      <c r="D34" s="993"/>
      <c r="E34" s="236">
        <v>714.08100000000002</v>
      </c>
      <c r="F34" s="986"/>
      <c r="G34" s="252">
        <v>557.45399999999995</v>
      </c>
      <c r="H34" s="145"/>
      <c r="I34" s="2046"/>
      <c r="J34" s="1119"/>
      <c r="K34" s="1031"/>
      <c r="L34" s="1031"/>
      <c r="M34" s="2337">
        <f>(C34-E34)*1000000/J31</f>
        <v>6521.7661641897612</v>
      </c>
      <c r="N34" s="2110"/>
      <c r="O34" s="2110"/>
      <c r="P34" s="2110"/>
      <c r="Q34" s="2348" t="s">
        <v>839</v>
      </c>
      <c r="R34" s="2110"/>
      <c r="S34" s="2110"/>
      <c r="T34" s="2110"/>
      <c r="U34" s="2110"/>
      <c r="V34" s="2110"/>
      <c r="W34" s="2110"/>
      <c r="X34" s="2110"/>
      <c r="Y34" s="2110"/>
      <c r="Z34" s="2110"/>
    </row>
    <row r="35" spans="1:26">
      <c r="A35" s="1001" t="s">
        <v>377</v>
      </c>
      <c r="B35" s="1016" t="s">
        <v>491</v>
      </c>
      <c r="C35" s="253">
        <v>4278.5420000000004</v>
      </c>
      <c r="D35" s="993" t="str">
        <f>IF(C31=0,"",IF(OR(C35=0,C35=""),"Kommentera",""))</f>
        <v/>
      </c>
      <c r="E35" s="236">
        <v>23.942</v>
      </c>
      <c r="F35" s="986"/>
      <c r="G35" s="252">
        <v>10.545999999999999</v>
      </c>
      <c r="H35" s="145" t="s">
        <v>574</v>
      </c>
      <c r="I35" s="2045"/>
      <c r="J35" s="1287"/>
      <c r="K35" s="1288"/>
      <c r="L35" s="1288"/>
      <c r="M35" s="2337">
        <f>(C35-E35)*1000000/J31</f>
        <v>3773.7656497385615</v>
      </c>
      <c r="N35" s="2110"/>
      <c r="O35" s="2110"/>
      <c r="P35" s="2110"/>
      <c r="Q35" s="2348" t="s">
        <v>840</v>
      </c>
      <c r="R35" s="2110"/>
      <c r="S35" s="2110"/>
      <c r="T35" s="2110"/>
      <c r="U35" s="2110"/>
      <c r="V35" s="2110"/>
      <c r="W35" s="2110"/>
      <c r="X35" s="2110"/>
      <c r="Y35" s="2110"/>
      <c r="Z35" s="2110"/>
    </row>
    <row r="36" spans="1:26" ht="15" customHeight="1">
      <c r="A36" s="1001" t="s">
        <v>378</v>
      </c>
      <c r="B36" s="1017" t="s">
        <v>723</v>
      </c>
      <c r="C36" s="253">
        <v>4865.2060000000001</v>
      </c>
      <c r="D36" s="993"/>
      <c r="E36" s="236">
        <v>201.441</v>
      </c>
      <c r="F36" s="985"/>
      <c r="G36" s="252">
        <v>156.89400000000001</v>
      </c>
      <c r="H36" s="145" t="s">
        <v>575</v>
      </c>
      <c r="I36" s="1821"/>
      <c r="J36" s="1287"/>
      <c r="K36" s="1288"/>
      <c r="L36" s="1288"/>
      <c r="M36" s="2337">
        <f>(C36-E36)*1000000/J31</f>
        <v>4136.6887969381287</v>
      </c>
      <c r="N36" s="2110"/>
      <c r="O36" s="2110"/>
      <c r="P36" s="2110"/>
      <c r="Q36" s="2348" t="s">
        <v>841</v>
      </c>
      <c r="R36" s="2110"/>
      <c r="S36" s="2110"/>
      <c r="T36" s="2110"/>
      <c r="U36" s="2110"/>
      <c r="V36" s="2110"/>
      <c r="W36" s="2110"/>
      <c r="X36" s="2110"/>
      <c r="Y36" s="2110"/>
      <c r="Z36" s="2110"/>
    </row>
    <row r="37" spans="1:26" s="195" customFormat="1">
      <c r="A37" s="1001" t="s">
        <v>233</v>
      </c>
      <c r="B37" s="1018" t="s">
        <v>523</v>
      </c>
      <c r="C37" s="253">
        <v>23850.072</v>
      </c>
      <c r="D37" s="993" t="str">
        <f>IF(C31=0,"",IF(C37&lt;Drift!I54+Drift!J54+Drift!L54,"Kommentera",""))</f>
        <v/>
      </c>
      <c r="E37" s="236">
        <v>841.25</v>
      </c>
      <c r="F37" s="914"/>
      <c r="G37" s="252">
        <v>764.76199999999994</v>
      </c>
      <c r="H37" s="160" t="s">
        <v>576</v>
      </c>
      <c r="I37" s="2049"/>
      <c r="J37" s="1287"/>
      <c r="K37" s="1288"/>
      <c r="L37" s="1288"/>
      <c r="M37" s="2337">
        <f>(C37-E37)*1000000/J31</f>
        <v>20408.476027017557</v>
      </c>
      <c r="N37" s="2110"/>
      <c r="O37" s="2110"/>
      <c r="P37" s="2110"/>
      <c r="Q37" s="2348" t="s">
        <v>842</v>
      </c>
      <c r="R37" s="2110"/>
      <c r="S37" s="2110"/>
      <c r="T37" s="2110"/>
      <c r="U37" s="2110"/>
      <c r="V37" s="2110"/>
      <c r="W37" s="2110"/>
      <c r="X37" s="2110"/>
      <c r="Y37" s="2110"/>
      <c r="Z37" s="2110"/>
    </row>
    <row r="38" spans="1:26" s="195" customFormat="1" ht="12.75" customHeight="1">
      <c r="A38" s="1001" t="s">
        <v>379</v>
      </c>
      <c r="B38" s="1016" t="s">
        <v>444</v>
      </c>
      <c r="C38" s="253">
        <v>22769.794000000002</v>
      </c>
      <c r="D38" s="993"/>
      <c r="E38" s="236">
        <v>22632.464</v>
      </c>
      <c r="F38" s="914"/>
      <c r="G38" s="252">
        <v>10064.877</v>
      </c>
      <c r="H38" s="145"/>
      <c r="I38" s="2597" t="str">
        <f>IF(SUM(E38-G38+100)&lt;Motpart!AA18,"I Motparten är statsbidragen "&amp;""&amp;(Motpart!AA18)&amp;" tkr. Alla bidrag från staten o statliga myndigheter, inklusive de från Migrationsverket, ska ingå under Övrigt som extern intäkt. De externa intäkterna på Övrigt-raden är dock bara "&amp;""&amp;(ROUND(E38-G38,0))&amp;" tkr. ","")</f>
        <v/>
      </c>
      <c r="J38" s="1818"/>
      <c r="K38" s="1818"/>
      <c r="L38" s="2329"/>
      <c r="M38" s="2337">
        <f>((C38+C39-G38)*1000000/J31)</f>
        <v>16293.233636238652</v>
      </c>
      <c r="N38" s="2110"/>
      <c r="O38" s="2110"/>
      <c r="P38" s="2110"/>
      <c r="Q38" s="2348" t="s">
        <v>843</v>
      </c>
      <c r="R38" s="2110"/>
      <c r="S38" s="2110"/>
      <c r="T38" s="2110"/>
      <c r="U38" s="2110"/>
      <c r="V38" s="2110"/>
      <c r="W38" s="2110"/>
      <c r="X38" s="2110"/>
      <c r="Y38" s="2110"/>
      <c r="Z38" s="2110"/>
    </row>
    <row r="39" spans="1:26" s="195" customFormat="1">
      <c r="A39" s="1001" t="s">
        <v>380</v>
      </c>
      <c r="B39" s="1019" t="s">
        <v>492</v>
      </c>
      <c r="C39" s="253">
        <v>5664.3190000000004</v>
      </c>
      <c r="D39" s="1988"/>
      <c r="E39" s="916"/>
      <c r="F39" s="916"/>
      <c r="G39" s="995"/>
      <c r="H39" s="159"/>
      <c r="I39" s="2598"/>
      <c r="J39" s="1819"/>
      <c r="K39" s="1819"/>
      <c r="L39" s="2330"/>
      <c r="M39" s="2338">
        <f>(M31*J31/1000000+D31-F31-(Motpart!D18+Motpart!E18+Motpart!F18+Motpart!J18)*0.06)*1000000/J31+M35</f>
        <v>139778.49879591807</v>
      </c>
      <c r="N39" s="2110"/>
      <c r="O39" s="2110"/>
      <c r="P39" s="2110"/>
      <c r="Q39" s="2348" t="s">
        <v>844</v>
      </c>
      <c r="R39" s="2110"/>
      <c r="S39" s="2110"/>
      <c r="T39" s="2110"/>
      <c r="U39" s="2110"/>
      <c r="V39" s="2110"/>
      <c r="W39" s="2110"/>
      <c r="X39" s="2110"/>
      <c r="Y39" s="2110"/>
      <c r="Z39" s="2110"/>
    </row>
    <row r="40" spans="1:26">
      <c r="A40" s="1020" t="s">
        <v>545</v>
      </c>
      <c r="B40" s="1021" t="s">
        <v>126</v>
      </c>
      <c r="C40" s="1163">
        <f>(C31-SUM(C32:C39)-D31)*-1</f>
        <v>-1.9999999967694748E-3</v>
      </c>
      <c r="D40" s="982"/>
      <c r="E40" s="1164">
        <f>(E31-SUM(E32:E38)-F31-(Motpart!D18+Motpart!E18+Motpart!F18)*0.06)*-1</f>
        <v>-3.219999995735634E-3</v>
      </c>
      <c r="F40" s="982"/>
      <c r="G40" s="1165">
        <f>(G31-SUM(G32:G38))*-1</f>
        <v>1.0000000002037268E-3</v>
      </c>
      <c r="H40" s="147"/>
      <c r="I40" s="2598"/>
      <c r="J40" s="1819"/>
      <c r="K40" s="1819"/>
      <c r="L40" s="2330"/>
      <c r="M40" s="2337">
        <f>(Motpart!G18+Motpart!K18)*1000000/J31</f>
        <v>1482.8337391288921</v>
      </c>
      <c r="N40" s="2110"/>
      <c r="O40" s="2110"/>
      <c r="P40" s="2110"/>
      <c r="Q40" s="2348" t="s">
        <v>845</v>
      </c>
      <c r="R40" s="2110"/>
      <c r="S40" s="2110"/>
      <c r="T40" s="2110"/>
      <c r="U40" s="2110"/>
      <c r="V40" s="2110"/>
      <c r="W40" s="2110"/>
      <c r="X40" s="2110"/>
      <c r="Y40" s="2110"/>
      <c r="Z40" s="2110"/>
    </row>
    <row r="41" spans="1:26">
      <c r="A41" s="1020" t="s">
        <v>546</v>
      </c>
      <c r="B41" s="1021"/>
      <c r="C41" s="984"/>
      <c r="D41" s="982"/>
      <c r="E41" s="982"/>
      <c r="F41" s="982"/>
      <c r="G41" s="992"/>
      <c r="H41" s="147"/>
      <c r="I41" s="2598"/>
      <c r="J41" s="1819"/>
      <c r="K41" s="1819"/>
      <c r="L41" s="2330"/>
      <c r="M41" s="2338">
        <f>F31*1000000/J31</f>
        <v>1472.2014519941636</v>
      </c>
      <c r="N41" s="2110"/>
      <c r="O41" s="2110"/>
      <c r="P41" s="2110"/>
      <c r="Q41" s="2348" t="s">
        <v>846</v>
      </c>
      <c r="R41" s="2110"/>
      <c r="S41" s="2110"/>
      <c r="T41" s="2110"/>
      <c r="U41" s="2110"/>
      <c r="V41" s="2110"/>
      <c r="W41" s="2110"/>
      <c r="X41" s="2110"/>
      <c r="Y41" s="2110"/>
      <c r="Z41" s="2110"/>
    </row>
    <row r="42" spans="1:26">
      <c r="A42" s="1001" t="s">
        <v>547</v>
      </c>
      <c r="B42" s="1019"/>
      <c r="C42" s="984"/>
      <c r="D42" s="982"/>
      <c r="E42" s="982"/>
      <c r="F42" s="982"/>
      <c r="G42" s="992"/>
      <c r="H42" s="147"/>
      <c r="I42" s="2598"/>
      <c r="J42" s="1820"/>
      <c r="K42" s="1820"/>
      <c r="L42" s="2331"/>
      <c r="M42" s="2342">
        <f>((Motpart!D18+Motpart!E18+Motpart!F18+Motpart!J18-(Motpart!D18+Motpart!E18+Motpart!F18+Motpart!J18)*0.06))*1000000/J31</f>
        <v>18540.334499718381</v>
      </c>
      <c r="N42" s="2110"/>
      <c r="O42" s="2110"/>
      <c r="P42" s="2110"/>
      <c r="Q42" s="2348" t="s">
        <v>847</v>
      </c>
      <c r="R42" s="2110"/>
      <c r="S42" s="2110"/>
      <c r="T42" s="2110"/>
      <c r="U42" s="2110"/>
      <c r="V42" s="2110"/>
      <c r="W42" s="2110"/>
      <c r="X42" s="2110"/>
      <c r="Y42" s="2110"/>
      <c r="Z42" s="2110"/>
    </row>
    <row r="43" spans="1:26" ht="13.5" thickBot="1">
      <c r="A43" s="1022"/>
      <c r="B43" s="1023"/>
      <c r="C43" s="1699" t="str">
        <f>IF(ABS(C40)&lt;100,"",IF(C31=0,"C31",IF(ABS(C40/C31)&gt;0.01,"C40")))</f>
        <v/>
      </c>
      <c r="D43" s="1700"/>
      <c r="E43" s="1697" t="str">
        <f>IF(ABS(E40)&lt;100,"",IF(E31=0,"E31",IF(ABS(E40/E31)&gt;0.01,"E40")))</f>
        <v/>
      </c>
      <c r="F43" s="1700"/>
      <c r="G43" s="1701" t="str">
        <f>IF(ABS(G40)&lt;100,"",IF(G31=0,"G31",IF(ABS(G40/G31)&gt;0.01,"G40")))</f>
        <v/>
      </c>
      <c r="H43" s="146"/>
      <c r="I43" s="1034"/>
      <c r="J43" s="1381"/>
      <c r="K43" s="1032"/>
      <c r="L43" s="1032"/>
      <c r="M43" s="2343"/>
      <c r="N43" s="2110"/>
      <c r="O43" s="2110"/>
      <c r="P43" s="2110"/>
      <c r="Q43" s="2351" t="s">
        <v>494</v>
      </c>
      <c r="R43" s="2110"/>
      <c r="S43" s="2110"/>
      <c r="T43" s="2110"/>
      <c r="U43" s="2110"/>
      <c r="V43" s="2110"/>
      <c r="W43" s="2110"/>
      <c r="X43" s="2110"/>
      <c r="Y43" s="2110"/>
      <c r="Z43" s="2110"/>
    </row>
    <row r="44" spans="1:26">
      <c r="A44" s="1006" t="s">
        <v>386</v>
      </c>
      <c r="B44" s="2361" t="s">
        <v>1179</v>
      </c>
      <c r="C44" s="77">
        <f>Drift!P55</f>
        <v>10479.98</v>
      </c>
      <c r="D44" s="78">
        <f>SUM(Motpart!D19:L19)</f>
        <v>753.22500000000014</v>
      </c>
      <c r="E44" s="78">
        <f>Drift!W55</f>
        <v>1645.4920000000002</v>
      </c>
      <c r="F44" s="78">
        <f>Motpart!Y19</f>
        <v>330.29899999999998</v>
      </c>
      <c r="G44" s="124">
        <f>Drift!V55</f>
        <v>1092.6400000000001</v>
      </c>
      <c r="H44" s="149"/>
      <c r="I44" s="1290" t="s">
        <v>810</v>
      </c>
      <c r="J44" s="1379">
        <v>1127415</v>
      </c>
      <c r="K44" s="1291"/>
      <c r="L44" s="1289"/>
      <c r="M44" s="2338">
        <f>SUM(M45:M47,M49:M51)</f>
        <v>6891.3363756912931</v>
      </c>
      <c r="N44" s="2110"/>
      <c r="O44" s="2110"/>
      <c r="P44" s="2110"/>
      <c r="Q44" s="2348" t="s">
        <v>836</v>
      </c>
      <c r="R44" s="2110"/>
      <c r="S44" s="2110"/>
      <c r="T44" s="2110"/>
      <c r="U44" s="2110"/>
      <c r="V44" s="2110"/>
      <c r="W44" s="2110"/>
      <c r="X44" s="2110"/>
      <c r="Y44" s="2110"/>
      <c r="Z44" s="2110"/>
    </row>
    <row r="45" spans="1:26">
      <c r="A45" s="1001" t="s">
        <v>381</v>
      </c>
      <c r="B45" s="1016" t="s">
        <v>493</v>
      </c>
      <c r="C45" s="253">
        <v>4653.1019999999999</v>
      </c>
      <c r="D45" s="993"/>
      <c r="E45" s="236">
        <v>371.291</v>
      </c>
      <c r="F45" s="986"/>
      <c r="G45" s="252">
        <v>369.73599999999999</v>
      </c>
      <c r="H45" s="143" t="s">
        <v>577</v>
      </c>
      <c r="I45" s="1286"/>
      <c r="J45" s="1287"/>
      <c r="K45" s="1288"/>
      <c r="L45" s="1288"/>
      <c r="M45" s="2342">
        <f>(C45-E45)*1000000/J44</f>
        <v>3797.9013938966568</v>
      </c>
      <c r="N45" s="2110"/>
      <c r="O45" s="2110"/>
      <c r="P45" s="2110"/>
      <c r="Q45" s="2348" t="s">
        <v>873</v>
      </c>
      <c r="R45" s="2110"/>
      <c r="S45" s="2110"/>
      <c r="T45" s="2110"/>
      <c r="U45" s="2110"/>
      <c r="V45" s="2110"/>
      <c r="W45" s="2110"/>
      <c r="X45" s="2110"/>
      <c r="Y45" s="2110"/>
      <c r="Z45" s="2110"/>
    </row>
    <row r="46" spans="1:26">
      <c r="A46" s="1001" t="s">
        <v>387</v>
      </c>
      <c r="B46" s="1016" t="s">
        <v>800</v>
      </c>
      <c r="C46" s="253">
        <v>148.643</v>
      </c>
      <c r="D46" s="993"/>
      <c r="E46" s="236">
        <v>4.7190000000000003</v>
      </c>
      <c r="F46" s="986"/>
      <c r="G46" s="252">
        <v>3.758</v>
      </c>
      <c r="H46" s="147" t="s">
        <v>578</v>
      </c>
      <c r="I46" s="1286"/>
      <c r="J46" s="1287"/>
      <c r="K46" s="1035"/>
      <c r="L46" s="1035"/>
      <c r="M46" s="2342">
        <f>(C46-E46)*1000000/J44</f>
        <v>127.65840440299269</v>
      </c>
      <c r="N46" s="2110"/>
      <c r="O46" s="2110"/>
      <c r="P46" s="2110"/>
      <c r="Q46" s="2348" t="s">
        <v>874</v>
      </c>
      <c r="R46" s="2110"/>
      <c r="S46" s="2110"/>
      <c r="T46" s="2110"/>
      <c r="U46" s="2110"/>
      <c r="V46" s="2110"/>
      <c r="W46" s="2110"/>
      <c r="X46" s="2110"/>
      <c r="Y46" s="2110"/>
      <c r="Z46" s="2110"/>
    </row>
    <row r="47" spans="1:26">
      <c r="A47" s="1001" t="s">
        <v>388</v>
      </c>
      <c r="B47" s="1016" t="s">
        <v>509</v>
      </c>
      <c r="C47" s="253">
        <v>153.208</v>
      </c>
      <c r="D47" s="993"/>
      <c r="E47" s="236">
        <v>7.1379999999999999</v>
      </c>
      <c r="F47" s="985"/>
      <c r="G47" s="252">
        <v>4.7050000000000001</v>
      </c>
      <c r="H47" s="147"/>
      <c r="I47" s="1286"/>
      <c r="J47" s="1380"/>
      <c r="K47" s="1031"/>
      <c r="L47" s="1031"/>
      <c r="M47" s="2342">
        <f>(C47-E47)*1000000/J44</f>
        <v>129.5618738441479</v>
      </c>
      <c r="N47" s="2110"/>
      <c r="O47" s="2110"/>
      <c r="P47" s="2110"/>
      <c r="Q47" s="2348" t="s">
        <v>875</v>
      </c>
      <c r="R47" s="2110"/>
      <c r="S47" s="2110"/>
      <c r="T47" s="2110"/>
      <c r="U47" s="2110"/>
      <c r="V47" s="2110"/>
      <c r="W47" s="2110"/>
      <c r="X47" s="2110"/>
      <c r="Y47" s="2110"/>
      <c r="Z47" s="2110"/>
    </row>
    <row r="48" spans="1:26">
      <c r="A48" s="1001" t="s">
        <v>382</v>
      </c>
      <c r="B48" s="1016" t="s">
        <v>491</v>
      </c>
      <c r="C48" s="253">
        <v>860.76700000000005</v>
      </c>
      <c r="D48" s="993" t="str">
        <f>IF(C44=0,"",IF(OR(C48=0,C48=""),"Kommentera",""))</f>
        <v/>
      </c>
      <c r="E48" s="236">
        <v>6.3780000000000001</v>
      </c>
      <c r="F48" s="914"/>
      <c r="G48" s="252">
        <v>2.6</v>
      </c>
      <c r="H48" s="145" t="s">
        <v>579</v>
      </c>
      <c r="I48" s="1286"/>
      <c r="J48" s="1287"/>
      <c r="K48" s="1288"/>
      <c r="L48" s="1288"/>
      <c r="M48" s="2342">
        <f>(C48-E48)*1000000/J44</f>
        <v>757.83008031647614</v>
      </c>
      <c r="N48" s="2110"/>
      <c r="O48" s="2110"/>
      <c r="P48" s="2110"/>
      <c r="Q48" s="2348" t="s">
        <v>876</v>
      </c>
      <c r="R48" s="2110"/>
      <c r="S48" s="2110"/>
      <c r="T48" s="2110"/>
      <c r="U48" s="2110"/>
      <c r="V48" s="2110"/>
      <c r="W48" s="2110"/>
      <c r="X48" s="2110"/>
      <c r="Y48" s="2110"/>
      <c r="Z48" s="2110"/>
    </row>
    <row r="49" spans="1:26">
      <c r="A49" s="1001" t="s">
        <v>389</v>
      </c>
      <c r="B49" s="1017" t="s">
        <v>723</v>
      </c>
      <c r="C49" s="253">
        <v>142.685</v>
      </c>
      <c r="D49" s="993"/>
      <c r="E49" s="236">
        <v>6.2960000000000003</v>
      </c>
      <c r="F49" s="996"/>
      <c r="G49" s="252">
        <v>5.3650000000000002</v>
      </c>
      <c r="H49" s="147" t="s">
        <v>580</v>
      </c>
      <c r="I49" s="1286"/>
      <c r="J49" s="1287"/>
      <c r="K49" s="1288"/>
      <c r="L49" s="1288"/>
      <c r="M49" s="2342">
        <f>(C49-E49)*1000000/J44</f>
        <v>120.97497372307447</v>
      </c>
      <c r="N49" s="2110"/>
      <c r="O49" s="2110"/>
      <c r="P49" s="2110"/>
      <c r="Q49" s="2348" t="s">
        <v>877</v>
      </c>
      <c r="R49" s="2110"/>
      <c r="S49" s="2110"/>
      <c r="T49" s="2110"/>
      <c r="U49" s="2110"/>
      <c r="V49" s="2110"/>
      <c r="W49" s="2110"/>
      <c r="X49" s="2110"/>
      <c r="Y49" s="2110"/>
      <c r="Z49" s="2110"/>
    </row>
    <row r="50" spans="1:26">
      <c r="A50" s="1001" t="s">
        <v>390</v>
      </c>
      <c r="B50" s="1018" t="s">
        <v>523</v>
      </c>
      <c r="C50" s="253">
        <v>896.72199999999998</v>
      </c>
      <c r="D50" s="993" t="str">
        <f>IF(C44=0,"",IF(C50&lt;Drift!I55+Drift!J55+Drift!L55,"Kommentera",""))</f>
        <v/>
      </c>
      <c r="E50" s="236">
        <v>26.998999999999999</v>
      </c>
      <c r="F50" s="985"/>
      <c r="G50" s="252">
        <v>26.321000000000002</v>
      </c>
      <c r="H50" s="145" t="s">
        <v>581</v>
      </c>
      <c r="I50" s="1286"/>
      <c r="J50" s="1287"/>
      <c r="K50" s="1288"/>
      <c r="L50" s="1288"/>
      <c r="M50" s="2342">
        <f>(C50-E50)*1000000/J44</f>
        <v>771.43110567093754</v>
      </c>
      <c r="N50" s="2110"/>
      <c r="O50" s="2110"/>
      <c r="P50" s="2110"/>
      <c r="Q50" s="2348" t="s">
        <v>878</v>
      </c>
      <c r="R50" s="2110"/>
      <c r="S50" s="2110"/>
      <c r="T50" s="2110"/>
      <c r="U50" s="2110"/>
      <c r="V50" s="2110"/>
      <c r="W50" s="2110"/>
      <c r="X50" s="2110"/>
      <c r="Y50" s="2110"/>
      <c r="Z50" s="2110"/>
    </row>
    <row r="51" spans="1:26">
      <c r="A51" s="1001" t="s">
        <v>391</v>
      </c>
      <c r="B51" s="1016" t="s">
        <v>444</v>
      </c>
      <c r="C51" s="253">
        <v>2528.444</v>
      </c>
      <c r="D51" s="1215"/>
      <c r="E51" s="236">
        <v>867.01599999999996</v>
      </c>
      <c r="F51" s="985"/>
      <c r="G51" s="252">
        <v>680.15300000000002</v>
      </c>
      <c r="H51" s="143" t="s">
        <v>582</v>
      </c>
      <c r="I51" s="2601" t="str">
        <f>IF(SUM(E51-G51+100)&lt;Motpart!AA19,"I Motparten är statsbidragen "&amp;""&amp;(Motpart!AA19)&amp;" tkr. Alla bidrag från staten o statliga myndigheter, inklusive de från Migrationsverket, ska ingå under Övrigt som extern intäkt. De externa intäkterna på Övrigt-raden är dock bara "&amp;""&amp;(ROUND(E51-G51,0))&amp;" tkr. ","")</f>
        <v/>
      </c>
      <c r="J51" s="1822"/>
      <c r="K51" s="1822"/>
      <c r="L51" s="2332"/>
      <c r="M51" s="2342">
        <f>(C51+C52-G51)*1000000/J44</f>
        <v>1943.8086241534843</v>
      </c>
      <c r="N51" s="2110"/>
      <c r="O51" s="2110"/>
      <c r="P51" s="2110"/>
      <c r="Q51" s="2348" t="s">
        <v>879</v>
      </c>
      <c r="R51" s="2110"/>
      <c r="S51" s="2110"/>
      <c r="T51" s="2110"/>
      <c r="U51" s="2110"/>
      <c r="V51" s="2110"/>
      <c r="W51" s="2110"/>
      <c r="X51" s="2110"/>
      <c r="Y51" s="2110"/>
      <c r="Z51" s="2110"/>
    </row>
    <row r="52" spans="1:26">
      <c r="A52" s="1001" t="s">
        <v>392</v>
      </c>
      <c r="B52" s="1019" t="s">
        <v>454</v>
      </c>
      <c r="C52" s="253">
        <v>343.18799999999999</v>
      </c>
      <c r="D52" s="1989" t="str">
        <f>IF(OR(C52 &gt; SUM(Drift!N55+Drift!O55+100), C52 &lt; SUM(Drift!N55+Drift!O55-100)),"Fördelad gemensam verksamhet skiljer sig mot Driftfliken.","")</f>
        <v/>
      </c>
      <c r="E52" s="993"/>
      <c r="F52" s="993"/>
      <c r="G52" s="995"/>
      <c r="H52" s="147"/>
      <c r="I52" s="2600"/>
      <c r="J52" s="1822"/>
      <c r="K52" s="1822"/>
      <c r="L52" s="2332"/>
      <c r="M52" s="2337">
        <f>((M44*J44/1000000+D44-F44-(Motpart!D19+Motpart!E19+Motpart!F19+Motpart!J19)*0.06))*1000000/J44+M48</f>
        <v>8001.8048544679641</v>
      </c>
      <c r="N52" s="2110"/>
      <c r="O52" s="2110"/>
      <c r="P52" s="2110"/>
      <c r="Q52" s="2348" t="s">
        <v>880</v>
      </c>
      <c r="R52" s="2110"/>
      <c r="S52" s="2110"/>
      <c r="T52" s="2110"/>
      <c r="U52" s="2110"/>
      <c r="V52" s="2110"/>
      <c r="W52" s="2110"/>
      <c r="X52" s="2110"/>
      <c r="Y52" s="2110"/>
      <c r="Z52" s="2110"/>
    </row>
    <row r="53" spans="1:26">
      <c r="A53" s="1022" t="s">
        <v>548</v>
      </c>
      <c r="B53" s="1019" t="s">
        <v>126</v>
      </c>
      <c r="C53" s="1163">
        <f>(C44-SUM(C45:C52)-D44)*-1</f>
        <v>4.0000000005875336E-3</v>
      </c>
      <c r="D53" s="993"/>
      <c r="E53" s="1164">
        <f>(E44-SUM(E45:E51)-F44-(Motpart!D19+Motpart!E19+Motpart!F19)*0.06)*-1</f>
        <v>1.7999999977647008E-4</v>
      </c>
      <c r="F53" s="993"/>
      <c r="G53" s="1165">
        <f>(G44-SUM(G45:G51))*-1</f>
        <v>-2.00000000018008E-3</v>
      </c>
      <c r="H53" s="147"/>
      <c r="I53" s="2600"/>
      <c r="J53" s="1822"/>
      <c r="K53" s="1822"/>
      <c r="L53" s="2332"/>
      <c r="M53" s="2338">
        <f>(Motpart!G19+Motpart!K19)*1000000/J44</f>
        <v>281.64872739851785</v>
      </c>
      <c r="N53" s="2110"/>
      <c r="O53" s="2110"/>
      <c r="P53" s="2110"/>
      <c r="Q53" s="2348" t="s">
        <v>881</v>
      </c>
      <c r="R53" s="2110"/>
      <c r="S53" s="2110"/>
      <c r="T53" s="2110"/>
      <c r="U53" s="2110"/>
      <c r="V53" s="2110"/>
      <c r="W53" s="2110"/>
      <c r="X53" s="2110"/>
      <c r="Y53" s="2110"/>
      <c r="Z53" s="2110"/>
    </row>
    <row r="54" spans="1:26">
      <c r="A54" s="1022" t="s">
        <v>549</v>
      </c>
      <c r="B54" s="1019"/>
      <c r="C54" s="993"/>
      <c r="D54" s="993"/>
      <c r="E54" s="993"/>
      <c r="F54" s="993"/>
      <c r="G54" s="995"/>
      <c r="H54" s="145"/>
      <c r="I54" s="2600"/>
      <c r="J54" s="1822"/>
      <c r="K54" s="1822"/>
      <c r="L54" s="2332"/>
      <c r="M54" s="2342">
        <f>F44*1000000/J44</f>
        <v>292.97020174469918</v>
      </c>
      <c r="N54" s="2110"/>
      <c r="O54" s="2110"/>
      <c r="P54" s="2110"/>
      <c r="Q54" s="2348" t="s">
        <v>882</v>
      </c>
      <c r="R54" s="2110"/>
      <c r="S54" s="2110"/>
      <c r="T54" s="2110"/>
      <c r="U54" s="2110"/>
      <c r="V54" s="2110"/>
      <c r="W54" s="2110"/>
      <c r="X54" s="2110"/>
      <c r="Y54" s="2110"/>
      <c r="Z54" s="2110"/>
    </row>
    <row r="55" spans="1:26">
      <c r="A55" s="1022" t="s">
        <v>550</v>
      </c>
      <c r="B55" s="1024"/>
      <c r="C55" s="993"/>
      <c r="D55" s="993"/>
      <c r="E55" s="993"/>
      <c r="F55" s="993"/>
      <c r="G55" s="995"/>
      <c r="H55" s="143"/>
      <c r="I55" s="2600"/>
      <c r="J55" s="1822"/>
      <c r="K55" s="1822"/>
      <c r="L55" s="2332"/>
      <c r="M55" s="2342">
        <f>Motpart!H19*1000000/J44</f>
        <v>1.6834972037803293</v>
      </c>
      <c r="N55" s="2110"/>
      <c r="O55" s="2110"/>
      <c r="P55" s="2110"/>
      <c r="Q55" s="2348" t="s">
        <v>1059</v>
      </c>
      <c r="R55" s="2110"/>
      <c r="S55" s="2110"/>
      <c r="T55" s="2110"/>
      <c r="U55" s="2110"/>
      <c r="V55" s="2110"/>
      <c r="W55" s="2110"/>
      <c r="X55" s="2110"/>
      <c r="Y55" s="2110"/>
      <c r="Z55" s="2110"/>
    </row>
    <row r="56" spans="1:26">
      <c r="A56" s="1004" t="s">
        <v>551</v>
      </c>
      <c r="B56" s="1019"/>
      <c r="C56" s="982"/>
      <c r="D56" s="982"/>
      <c r="E56" s="982"/>
      <c r="F56" s="982"/>
      <c r="G56" s="992"/>
      <c r="H56" s="1168"/>
      <c r="I56" s="1169"/>
      <c r="J56" s="1380"/>
      <c r="K56" s="1035"/>
      <c r="L56" s="1035"/>
      <c r="M56" s="2342">
        <f>(Motpart!D19+Motpart!E19+Motpart!F19+Motpart!J19-(Motpart!D19+Motpart!E19+Motpart!F19+Motpart!J19)*0.06)*1000000/J44</f>
        <v>352.35190236071014</v>
      </c>
      <c r="N56" s="2110"/>
      <c r="O56" s="2110"/>
      <c r="P56" s="2110"/>
      <c r="Q56" s="2348" t="s">
        <v>883</v>
      </c>
      <c r="R56" s="2110"/>
      <c r="S56" s="2110"/>
      <c r="T56" s="2110"/>
      <c r="U56" s="2110"/>
      <c r="V56" s="2110"/>
      <c r="W56" s="2110"/>
      <c r="X56" s="2110"/>
      <c r="Y56" s="2110"/>
      <c r="Z56" s="2110"/>
    </row>
    <row r="57" spans="1:26" ht="13.5" thickBot="1">
      <c r="A57" s="1022"/>
      <c r="B57" s="1025"/>
      <c r="C57" s="1697" t="str">
        <f>IF(ABS(C53)&lt;100,"",IF(C44=0,"C44",IF(ABS(C53/C44)&gt;0.01,"C53")))</f>
        <v/>
      </c>
      <c r="D57" s="1697"/>
      <c r="E57" s="1697" t="str">
        <f>IF(ABS(E53)&lt;100,"",IF(E44=0,"E44",IF(ABS(E53/E44)&gt;0.01,"E53")))</f>
        <v/>
      </c>
      <c r="F57" s="1697"/>
      <c r="G57" s="1698" t="str">
        <f>IF(ABS(G53)&lt;100,"",IF(G44=0,"G44",IF(ABS(G53/G44)&gt;0.01,"G53")))</f>
        <v/>
      </c>
      <c r="H57" s="161"/>
      <c r="I57" s="1036"/>
      <c r="J57" s="1381"/>
      <c r="K57" s="1032"/>
      <c r="L57" s="1032"/>
      <c r="M57" s="2343"/>
      <c r="N57" s="2110"/>
      <c r="O57" s="2110"/>
      <c r="P57" s="2110"/>
      <c r="Q57" s="2351" t="s">
        <v>1183</v>
      </c>
      <c r="R57" s="2110"/>
      <c r="S57" s="2110"/>
      <c r="T57" s="2110"/>
      <c r="U57" s="2110"/>
      <c r="V57" s="2110"/>
      <c r="W57" s="2110"/>
      <c r="X57" s="2110"/>
      <c r="Y57" s="2110"/>
      <c r="Z57" s="2110"/>
    </row>
    <row r="58" spans="1:26">
      <c r="A58" s="1006" t="s">
        <v>393</v>
      </c>
      <c r="B58" s="1015" t="s">
        <v>529</v>
      </c>
      <c r="C58" s="77">
        <f>Drift!P56</f>
        <v>67651.725999999995</v>
      </c>
      <c r="D58" s="78">
        <f>SUM(Motpart!D20:L20)</f>
        <v>26638.519999999993</v>
      </c>
      <c r="E58" s="78">
        <f>Drift!W56</f>
        <v>16380.514999999999</v>
      </c>
      <c r="F58" s="78">
        <f>Motpart!Y20</f>
        <v>8589.6859999999997</v>
      </c>
      <c r="G58" s="124">
        <f>Drift!V56</f>
        <v>4480.7950000000001</v>
      </c>
      <c r="H58" s="143"/>
      <c r="I58" s="1290" t="s">
        <v>811</v>
      </c>
      <c r="J58" s="1379">
        <v>375030</v>
      </c>
      <c r="K58" s="1289"/>
      <c r="L58" s="1289"/>
      <c r="M58" s="2344">
        <f>SUM(M59:M61,M63:M65)</f>
        <v>92181.63880222915</v>
      </c>
      <c r="N58" s="2110"/>
      <c r="O58" s="2110"/>
      <c r="P58" s="2110"/>
      <c r="Q58" s="2348" t="s">
        <v>818</v>
      </c>
      <c r="R58" s="2110"/>
      <c r="S58" s="2110"/>
      <c r="T58" s="2110"/>
      <c r="U58" s="2110"/>
      <c r="V58" s="2110"/>
      <c r="W58" s="2110"/>
      <c r="X58" s="2110"/>
      <c r="Y58" s="2110"/>
      <c r="Z58" s="2110"/>
    </row>
    <row r="59" spans="1:26">
      <c r="A59" s="1001" t="s">
        <v>394</v>
      </c>
      <c r="B59" s="1016" t="s">
        <v>493</v>
      </c>
      <c r="C59" s="253">
        <v>19891.991000000002</v>
      </c>
      <c r="D59" s="993"/>
      <c r="E59" s="236">
        <v>2103.23</v>
      </c>
      <c r="F59" s="985"/>
      <c r="G59" s="252">
        <v>1977.11</v>
      </c>
      <c r="H59" s="147" t="s">
        <v>583</v>
      </c>
      <c r="I59" s="1286"/>
      <c r="J59" s="1287"/>
      <c r="K59" s="1288"/>
      <c r="L59" s="1288"/>
      <c r="M59" s="2342">
        <f>(C59-E59)*1000000/J58</f>
        <v>47432.901367890576</v>
      </c>
      <c r="N59" s="2110"/>
      <c r="O59" s="2110"/>
      <c r="P59" s="2110"/>
      <c r="Q59" s="2348" t="s">
        <v>819</v>
      </c>
      <c r="R59" s="2110"/>
      <c r="S59" s="2110"/>
      <c r="T59" s="2110"/>
      <c r="U59" s="2110"/>
      <c r="V59" s="2110"/>
      <c r="W59" s="2110"/>
      <c r="X59" s="2110"/>
      <c r="Y59" s="2110"/>
      <c r="Z59" s="2110"/>
    </row>
    <row r="60" spans="1:26">
      <c r="A60" s="1001" t="s">
        <v>395</v>
      </c>
      <c r="B60" s="1016" t="s">
        <v>800</v>
      </c>
      <c r="C60" s="253">
        <v>2566.5590000000002</v>
      </c>
      <c r="D60" s="993"/>
      <c r="E60" s="236">
        <v>167.935</v>
      </c>
      <c r="F60" s="985"/>
      <c r="G60" s="252">
        <v>25.283999999999999</v>
      </c>
      <c r="H60" s="147" t="s">
        <v>584</v>
      </c>
      <c r="I60" s="1286"/>
      <c r="J60" s="1287"/>
      <c r="K60" s="1035"/>
      <c r="L60" s="1035"/>
      <c r="M60" s="2342">
        <f>(C60-E60)*1000000/J58</f>
        <v>6395.8190011465758</v>
      </c>
      <c r="N60" s="2110"/>
      <c r="O60" s="2110"/>
      <c r="P60" s="2110"/>
      <c r="Q60" s="2348" t="s">
        <v>820</v>
      </c>
      <c r="R60" s="2110"/>
      <c r="S60" s="2110"/>
      <c r="T60" s="2110"/>
      <c r="U60" s="2110"/>
      <c r="V60" s="2110"/>
      <c r="W60" s="2110"/>
      <c r="X60" s="2110"/>
      <c r="Y60" s="2110"/>
      <c r="Z60" s="2110"/>
    </row>
    <row r="61" spans="1:26">
      <c r="A61" s="1001" t="s">
        <v>396</v>
      </c>
      <c r="B61" s="1016" t="s">
        <v>509</v>
      </c>
      <c r="C61" s="253">
        <v>1740.6</v>
      </c>
      <c r="D61" s="993"/>
      <c r="E61" s="236">
        <v>205.94900000000001</v>
      </c>
      <c r="F61" s="985"/>
      <c r="G61" s="252">
        <v>88.573999999999998</v>
      </c>
      <c r="H61" s="145"/>
      <c r="I61" s="1286"/>
      <c r="J61" s="1119"/>
      <c r="K61" s="1031"/>
      <c r="L61" s="1031"/>
      <c r="M61" s="2342">
        <f>(C61-E61)*1000000/J58</f>
        <v>4092.0753006426148</v>
      </c>
      <c r="N61" s="2110"/>
      <c r="O61" s="2110"/>
      <c r="P61" s="2110"/>
      <c r="Q61" s="2348" t="s">
        <v>821</v>
      </c>
      <c r="R61" s="2110"/>
      <c r="S61" s="2110"/>
      <c r="T61" s="2110"/>
      <c r="U61" s="2110"/>
      <c r="V61" s="2110"/>
      <c r="W61" s="2110"/>
      <c r="X61" s="2110"/>
      <c r="Y61" s="2110"/>
      <c r="Z61" s="2110"/>
    </row>
    <row r="62" spans="1:26">
      <c r="A62" s="1001" t="s">
        <v>248</v>
      </c>
      <c r="B62" s="1016" t="s">
        <v>491</v>
      </c>
      <c r="C62" s="253">
        <v>1507.23</v>
      </c>
      <c r="D62" s="993" t="str">
        <f>IF(C58=0,"",IF(OR(C62=0,C62=""),"Kommentera",""))</f>
        <v/>
      </c>
      <c r="E62" s="236">
        <v>45.207999999999998</v>
      </c>
      <c r="F62" s="985"/>
      <c r="G62" s="252">
        <v>3.7669999999999999</v>
      </c>
      <c r="H62" s="143" t="s">
        <v>585</v>
      </c>
      <c r="I62" s="1286"/>
      <c r="J62" s="1287"/>
      <c r="K62" s="1288"/>
      <c r="L62" s="1288"/>
      <c r="M62" s="2342">
        <f>(C62-E62)*1000000/J58</f>
        <v>3898.4134602565127</v>
      </c>
      <c r="N62" s="2110"/>
      <c r="O62" s="2110"/>
      <c r="P62" s="2110"/>
      <c r="Q62" s="2348" t="s">
        <v>822</v>
      </c>
      <c r="R62" s="2110"/>
      <c r="S62" s="2110"/>
      <c r="T62" s="2110"/>
      <c r="U62" s="2110"/>
      <c r="V62" s="2110"/>
      <c r="W62" s="2110"/>
      <c r="X62" s="2110"/>
      <c r="Y62" s="2110"/>
      <c r="Z62" s="2110"/>
    </row>
    <row r="63" spans="1:26">
      <c r="A63" s="1001" t="s">
        <v>397</v>
      </c>
      <c r="B63" s="1017" t="s">
        <v>723</v>
      </c>
      <c r="C63" s="253">
        <v>1028.03</v>
      </c>
      <c r="D63" s="993"/>
      <c r="E63" s="236">
        <v>32.533999999999999</v>
      </c>
      <c r="F63" s="985"/>
      <c r="G63" s="252">
        <v>25.599</v>
      </c>
      <c r="H63" s="147" t="s">
        <v>586</v>
      </c>
      <c r="I63" s="1286"/>
      <c r="J63" s="1287"/>
      <c r="K63" s="1288"/>
      <c r="L63" s="1288"/>
      <c r="M63" s="2342">
        <f>(C63-E63)*1000000/J58</f>
        <v>2654.4436445084393</v>
      </c>
      <c r="N63" s="2110"/>
      <c r="O63" s="2110"/>
      <c r="P63" s="2110"/>
      <c r="Q63" s="2348" t="s">
        <v>823</v>
      </c>
      <c r="R63" s="2110"/>
      <c r="S63" s="2110"/>
      <c r="T63" s="2110"/>
      <c r="U63" s="2110"/>
      <c r="V63" s="2110"/>
      <c r="W63" s="2110"/>
      <c r="X63" s="2110"/>
      <c r="Y63" s="2110"/>
      <c r="Z63" s="2110"/>
    </row>
    <row r="64" spans="1:26">
      <c r="A64" s="1001" t="s">
        <v>398</v>
      </c>
      <c r="B64" s="1018" t="s">
        <v>523</v>
      </c>
      <c r="C64" s="253">
        <v>6458.9489999999996</v>
      </c>
      <c r="D64" s="993" t="str">
        <f>IF(C58=0,"",IF(C64&lt;Drift!I56+Drift!J56+Drift!L56,"Kommentera",""))</f>
        <v/>
      </c>
      <c r="E64" s="236">
        <v>146.262</v>
      </c>
      <c r="F64" s="985"/>
      <c r="G64" s="252">
        <v>81.274000000000001</v>
      </c>
      <c r="H64" s="147" t="s">
        <v>587</v>
      </c>
      <c r="I64" s="1286"/>
      <c r="J64" s="1287"/>
      <c r="K64" s="1288"/>
      <c r="L64" s="1288"/>
      <c r="M64" s="2342">
        <f>(C64-E64)*1000000/J58</f>
        <v>16832.485401167905</v>
      </c>
      <c r="N64" s="2110"/>
      <c r="O64" s="2110"/>
      <c r="P64" s="2110"/>
      <c r="Q64" s="2348" t="s">
        <v>824</v>
      </c>
      <c r="R64" s="2110"/>
      <c r="S64" s="2110"/>
      <c r="T64" s="2110"/>
      <c r="U64" s="2110"/>
      <c r="V64" s="2110"/>
      <c r="W64" s="2110"/>
      <c r="X64" s="2110"/>
      <c r="Y64" s="2110"/>
      <c r="Z64" s="2110"/>
    </row>
    <row r="65" spans="1:26">
      <c r="A65" s="1001" t="s">
        <v>399</v>
      </c>
      <c r="B65" s="1026" t="s">
        <v>444</v>
      </c>
      <c r="C65" s="253">
        <v>6448.3209999999999</v>
      </c>
      <c r="D65" s="993"/>
      <c r="E65" s="236">
        <v>4212.8509999999997</v>
      </c>
      <c r="F65" s="985"/>
      <c r="G65" s="252">
        <v>2279.1869999999999</v>
      </c>
      <c r="H65" s="147" t="s">
        <v>588</v>
      </c>
      <c r="I65" s="2602" t="str">
        <f>IF(SUM(E65-G65+100)&lt;Motpart!AA20,"I Motparten är statsbidragen "&amp;""&amp;(Motpart!AA20)&amp;" tkr. Alla bidrag från staten o statliga myndigheter, inklusive de från Migrationsverket, ska ingå under Övrigt som extern intäkt. De externa intäkterna på Övrigt-raden är dock bara "&amp;""&amp;(ROUND(E65-G65,0))&amp;" tkr. ","")</f>
        <v/>
      </c>
      <c r="J65" s="1823"/>
      <c r="K65" s="1823"/>
      <c r="L65" s="2333"/>
      <c r="M65" s="2342">
        <f>(C65+C66-G65)*1000000/J58</f>
        <v>14773.91408687305</v>
      </c>
      <c r="N65" s="2110"/>
      <c r="O65" s="2110"/>
      <c r="P65" s="2110"/>
      <c r="Q65" s="2348" t="s">
        <v>825</v>
      </c>
      <c r="R65" s="2110"/>
      <c r="S65" s="2110"/>
      <c r="T65" s="2110"/>
      <c r="U65" s="2110"/>
      <c r="V65" s="2110"/>
      <c r="W65" s="2110"/>
      <c r="X65" s="2110"/>
      <c r="Y65" s="2110"/>
      <c r="Z65" s="2110"/>
    </row>
    <row r="66" spans="1:26">
      <c r="A66" s="1001" t="s">
        <v>400</v>
      </c>
      <c r="B66" s="1027" t="s">
        <v>454</v>
      </c>
      <c r="C66" s="253">
        <v>1371.527</v>
      </c>
      <c r="D66" s="1988" t="str">
        <f>IF(OR(C66 &gt; SUM(Drift!N56+Drift!O56+100), C66 &lt; SUM(Drift!N56+Drift!O56-100)),"Fördelad gemensam verksamhet skiljer sig mot Driftfliken.","")</f>
        <v/>
      </c>
      <c r="E66" s="993"/>
      <c r="F66" s="993"/>
      <c r="G66" s="995"/>
      <c r="H66" s="147"/>
      <c r="I66" s="2603"/>
      <c r="J66" s="1823"/>
      <c r="K66" s="1823"/>
      <c r="L66" s="2333"/>
      <c r="M66" s="2342">
        <f>(M58*J58/1000000+D58-F58-(Motpart!D20+Motpart!E20+Motpart!F20+Motpart!J20)*0.06)*1000000/J58+M62</f>
        <v>141868.31240167451</v>
      </c>
      <c r="N66" s="2110"/>
      <c r="O66" s="2110"/>
      <c r="P66" s="2110"/>
      <c r="Q66" s="2348" t="s">
        <v>826</v>
      </c>
      <c r="R66" s="2110"/>
      <c r="S66" s="2110"/>
      <c r="T66" s="2110"/>
      <c r="U66" s="2110"/>
      <c r="V66" s="2110"/>
      <c r="W66" s="2110"/>
      <c r="X66" s="2110"/>
      <c r="Y66" s="2110"/>
      <c r="Z66" s="2110"/>
    </row>
    <row r="67" spans="1:26">
      <c r="A67" s="1001" t="s">
        <v>555</v>
      </c>
      <c r="B67" s="1019" t="s">
        <v>126</v>
      </c>
      <c r="C67" s="1163">
        <f>(C58-SUM(C59:C66)-D58)*-1</f>
        <v>9.999999929277692E-4</v>
      </c>
      <c r="D67" s="981"/>
      <c r="E67" s="1164">
        <f>(E58-SUM(E59:E65)-F58-(Motpart!D20+Motpart!E20+Motpart!F20)*0.06)*-1</f>
        <v>2.8000000011161319E-3</v>
      </c>
      <c r="F67" s="981"/>
      <c r="G67" s="1165">
        <f>(G58-SUM(G59:G65))*-1</f>
        <v>0</v>
      </c>
      <c r="H67" s="147"/>
      <c r="I67" s="2603"/>
      <c r="J67" s="1823"/>
      <c r="K67" s="1823"/>
      <c r="L67" s="2333"/>
      <c r="M67" s="2342">
        <f>(Motpart!G20+Motpart!K20)*1000000/J58</f>
        <v>30228.573714102877</v>
      </c>
      <c r="N67" s="2110"/>
      <c r="O67" s="2110"/>
      <c r="P67" s="2110"/>
      <c r="Q67" s="2348" t="s">
        <v>1058</v>
      </c>
      <c r="R67" s="2110"/>
      <c r="S67" s="2110"/>
      <c r="T67" s="2110"/>
      <c r="U67" s="2110"/>
      <c r="V67" s="2110"/>
      <c r="W67" s="2110"/>
      <c r="X67" s="2110"/>
      <c r="Y67" s="2110"/>
      <c r="Z67" s="2110"/>
    </row>
    <row r="68" spans="1:26">
      <c r="A68" s="1020" t="s">
        <v>556</v>
      </c>
      <c r="B68" s="1019"/>
      <c r="C68" s="993"/>
      <c r="D68" s="982"/>
      <c r="E68" s="993"/>
      <c r="F68" s="993"/>
      <c r="G68" s="995"/>
      <c r="H68" s="145"/>
      <c r="I68" s="2603"/>
      <c r="J68" s="1823"/>
      <c r="K68" s="1823"/>
      <c r="L68" s="2333"/>
      <c r="M68" s="2342">
        <f>F58*1000000/J58</f>
        <v>22903.997013572247</v>
      </c>
      <c r="N68" s="2110"/>
      <c r="O68" s="2110"/>
      <c r="P68" s="2110"/>
      <c r="Q68" s="2348" t="s">
        <v>1057</v>
      </c>
      <c r="R68" s="2110"/>
      <c r="S68" s="2110"/>
      <c r="T68" s="2110"/>
      <c r="U68" s="2110"/>
      <c r="V68" s="2110"/>
      <c r="W68" s="2110"/>
      <c r="X68" s="2110"/>
      <c r="Y68" s="2110"/>
      <c r="Z68" s="2110"/>
    </row>
    <row r="69" spans="1:26">
      <c r="A69" s="1020" t="s">
        <v>557</v>
      </c>
      <c r="B69" s="1024"/>
      <c r="C69" s="993"/>
      <c r="D69" s="982"/>
      <c r="E69" s="993"/>
      <c r="F69" s="993"/>
      <c r="G69" s="995"/>
      <c r="H69" s="143"/>
      <c r="I69" s="2603"/>
      <c r="J69" s="1823"/>
      <c r="K69" s="1823"/>
      <c r="L69" s="2333"/>
      <c r="M69" s="2342">
        <f>Motpart!H20*1000000/J58</f>
        <v>1365.586753059755</v>
      </c>
      <c r="N69" s="2110"/>
      <c r="O69" s="2110"/>
      <c r="P69" s="2110"/>
      <c r="Q69" s="2348" t="s">
        <v>1060</v>
      </c>
      <c r="R69" s="2110"/>
      <c r="S69" s="2110"/>
      <c r="T69" s="2110"/>
      <c r="U69" s="2110"/>
      <c r="V69" s="2110"/>
      <c r="W69" s="2110"/>
      <c r="X69" s="2110"/>
      <c r="Y69" s="2110"/>
      <c r="Z69" s="2110"/>
    </row>
    <row r="70" spans="1:26">
      <c r="A70" s="1020" t="s">
        <v>558</v>
      </c>
      <c r="B70" s="1019"/>
      <c r="C70" s="982"/>
      <c r="D70" s="982"/>
      <c r="E70" s="982"/>
      <c r="F70" s="982"/>
      <c r="G70" s="992"/>
      <c r="H70" s="1168"/>
      <c r="I70" s="1169"/>
      <c r="J70" s="1380"/>
      <c r="K70" s="1035"/>
      <c r="L70" s="1035"/>
      <c r="M70" s="2342">
        <f>((Motpart!D20+Motpart!E20+Motpart!F20+Motpart!J20)-(Motpart!D20+Motpart!E20+Motpart!F20+Motpart!J20)*0.06)*1000000/J58</f>
        <v>36630.448764098866</v>
      </c>
      <c r="N70" s="2110"/>
      <c r="O70" s="2110"/>
      <c r="P70" s="2110"/>
      <c r="Q70" s="2348" t="s">
        <v>827</v>
      </c>
      <c r="R70" s="2110"/>
      <c r="S70" s="2110"/>
      <c r="T70" s="2110"/>
      <c r="U70" s="2110"/>
      <c r="V70" s="2110"/>
      <c r="W70" s="2110"/>
      <c r="X70" s="2110"/>
      <c r="Y70" s="2110"/>
      <c r="Z70" s="2110"/>
    </row>
    <row r="71" spans="1:26" ht="13.5" thickBot="1">
      <c r="A71" s="1028"/>
      <c r="B71" s="1029"/>
      <c r="C71" s="1693" t="str">
        <f>IF(ABS(C67)&lt;100,"",IF(C58=0,"C58",IF(ABS(C67/C58)&gt;0.01,"C67")))</f>
        <v/>
      </c>
      <c r="D71" s="1694"/>
      <c r="E71" s="1694" t="str">
        <f>IF(ABS(E67)&lt;100,"",IF(E58=0,"E58",IF(ABS(E67/E58)&gt;0.01,"E67")))</f>
        <v/>
      </c>
      <c r="F71" s="1696"/>
      <c r="G71" s="1695" t="str">
        <f>IF(ABS(G67)&lt;100,"",IF(G58=0,"G58",IF(ABS(G67/G58)&gt;0.01,"G67")))</f>
        <v/>
      </c>
      <c r="H71" s="146"/>
      <c r="I71" s="1034"/>
      <c r="J71" s="1381"/>
      <c r="K71" s="1032"/>
      <c r="L71" s="1032"/>
      <c r="M71" s="2343"/>
      <c r="N71" s="2110"/>
      <c r="O71" s="2110"/>
      <c r="P71" s="2110"/>
      <c r="Q71" s="2351" t="s">
        <v>495</v>
      </c>
      <c r="R71" s="2110"/>
      <c r="S71" s="2110"/>
      <c r="T71" s="2110"/>
      <c r="U71" s="2110"/>
      <c r="V71" s="2110"/>
      <c r="W71" s="2110"/>
      <c r="X71" s="2110"/>
      <c r="Y71" s="2110"/>
      <c r="Z71" s="2110"/>
    </row>
    <row r="72" spans="1:26">
      <c r="A72" s="1006" t="s">
        <v>401</v>
      </c>
      <c r="B72" s="2362" t="s">
        <v>1180</v>
      </c>
      <c r="C72" s="77">
        <f>Drift!P57</f>
        <v>5249.8869999999997</v>
      </c>
      <c r="D72" s="78">
        <f>SUM(Motpart!D21:L21)</f>
        <v>1372.2079999999999</v>
      </c>
      <c r="E72" s="78">
        <f>Drift!W57</f>
        <v>1337.971</v>
      </c>
      <c r="F72" s="78">
        <f>Motpart!Y21</f>
        <v>841.34100000000001</v>
      </c>
      <c r="G72" s="124">
        <f>Drift!V57</f>
        <v>363.48899999999998</v>
      </c>
      <c r="H72" s="143"/>
      <c r="I72" s="1300" t="s">
        <v>811</v>
      </c>
      <c r="J72" s="1379">
        <v>375030</v>
      </c>
      <c r="K72" s="1291"/>
      <c r="L72" s="1289"/>
      <c r="M72" s="2344">
        <f>SUM(M73:M75,M77:M79)</f>
        <v>8276.7725248646784</v>
      </c>
      <c r="N72" s="2110"/>
      <c r="O72" s="2110"/>
      <c r="P72" s="2110"/>
      <c r="Q72" s="2348" t="s">
        <v>818</v>
      </c>
      <c r="R72" s="2110"/>
      <c r="S72" s="2110"/>
      <c r="T72" s="2110"/>
      <c r="U72" s="2110"/>
      <c r="V72" s="2110"/>
      <c r="W72" s="2110"/>
      <c r="X72" s="2110"/>
      <c r="Y72" s="2110"/>
      <c r="Z72" s="2110"/>
    </row>
    <row r="73" spans="1:26">
      <c r="A73" s="1001" t="s">
        <v>402</v>
      </c>
      <c r="B73" s="1016" t="s">
        <v>493</v>
      </c>
      <c r="C73" s="253">
        <v>1768.1469999999999</v>
      </c>
      <c r="D73" s="993"/>
      <c r="E73" s="236">
        <v>190.596</v>
      </c>
      <c r="F73" s="985"/>
      <c r="G73" s="252">
        <v>188.38399999999999</v>
      </c>
      <c r="H73" s="160" t="s">
        <v>589</v>
      </c>
      <c r="I73" s="761"/>
      <c r="J73" s="1287"/>
      <c r="K73" s="1288"/>
      <c r="L73" s="1288"/>
      <c r="M73" s="2342">
        <f>(C73-E73)*1000000/J72</f>
        <v>4206.4661493747171</v>
      </c>
      <c r="N73" s="2110"/>
      <c r="O73" s="2110"/>
      <c r="P73" s="2110"/>
      <c r="Q73" s="2348" t="s">
        <v>819</v>
      </c>
      <c r="R73" s="2110"/>
      <c r="S73" s="2110"/>
      <c r="T73" s="2110"/>
      <c r="U73" s="2110"/>
      <c r="V73" s="2110"/>
      <c r="W73" s="2110"/>
      <c r="X73" s="2110"/>
      <c r="Y73" s="2110"/>
      <c r="Z73" s="2110"/>
    </row>
    <row r="74" spans="1:26">
      <c r="A74" s="1001" t="s">
        <v>403</v>
      </c>
      <c r="B74" s="1016" t="s">
        <v>800</v>
      </c>
      <c r="C74" s="253">
        <v>115.202</v>
      </c>
      <c r="D74" s="993"/>
      <c r="E74" s="236">
        <v>5.0510000000000002</v>
      </c>
      <c r="F74" s="985"/>
      <c r="G74" s="252">
        <v>1.569</v>
      </c>
      <c r="H74" s="159" t="s">
        <v>590</v>
      </c>
      <c r="I74" s="761"/>
      <c r="J74" s="1287"/>
      <c r="K74" s="1035"/>
      <c r="L74" s="1035"/>
      <c r="M74" s="2342">
        <f>(C74-E74)*1000000/J72</f>
        <v>293.71250299976003</v>
      </c>
      <c r="N74" s="2110"/>
      <c r="O74" s="2110"/>
      <c r="P74" s="2110"/>
      <c r="Q74" s="2348" t="s">
        <v>820</v>
      </c>
      <c r="R74" s="2110"/>
      <c r="S74" s="2110"/>
      <c r="T74" s="2110"/>
      <c r="U74" s="2110"/>
      <c r="V74" s="2110"/>
      <c r="W74" s="2110"/>
      <c r="X74" s="2110"/>
      <c r="Y74" s="2110"/>
      <c r="Z74" s="2110"/>
    </row>
    <row r="75" spans="1:26">
      <c r="A75" s="1001" t="s">
        <v>404</v>
      </c>
      <c r="B75" s="1016" t="s">
        <v>509</v>
      </c>
      <c r="C75" s="253">
        <v>57.725999999999999</v>
      </c>
      <c r="D75" s="993"/>
      <c r="E75" s="236">
        <v>5.2270000000000003</v>
      </c>
      <c r="F75" s="985"/>
      <c r="G75" s="252">
        <v>2.99</v>
      </c>
      <c r="H75" s="1299"/>
      <c r="I75" s="761"/>
      <c r="J75" s="1119"/>
      <c r="K75" s="1031"/>
      <c r="L75" s="1031"/>
      <c r="M75" s="2342">
        <f>(C75-E75)*1000000/J72</f>
        <v>139.98613444257791</v>
      </c>
      <c r="N75" s="2110"/>
      <c r="O75" s="2110"/>
      <c r="P75" s="2110"/>
      <c r="Q75" s="2348" t="s">
        <v>821</v>
      </c>
      <c r="R75" s="2110"/>
      <c r="S75" s="2110"/>
      <c r="T75" s="2110"/>
      <c r="U75" s="2110"/>
      <c r="V75" s="2110"/>
      <c r="W75" s="2110"/>
      <c r="X75" s="2110"/>
      <c r="Y75" s="2110"/>
      <c r="Z75" s="2110"/>
    </row>
    <row r="76" spans="1:26">
      <c r="A76" s="1001" t="s">
        <v>405</v>
      </c>
      <c r="B76" s="1016" t="s">
        <v>491</v>
      </c>
      <c r="C76" s="253">
        <v>402.56900000000002</v>
      </c>
      <c r="D76" s="993" t="str">
        <f>IF(C72=0,"",IF(OR(C76=0,C76=""),"Kommentera",""))</f>
        <v/>
      </c>
      <c r="E76" s="236">
        <v>3.1139999999999999</v>
      </c>
      <c r="F76" s="985"/>
      <c r="G76" s="252">
        <v>1.738</v>
      </c>
      <c r="H76" s="1299" t="s">
        <v>591</v>
      </c>
      <c r="I76" s="761"/>
      <c r="J76" s="1287"/>
      <c r="K76" s="1288"/>
      <c r="L76" s="1288"/>
      <c r="M76" s="2342">
        <f>(C76-E76)*1000000/J72</f>
        <v>1065.1281230834868</v>
      </c>
      <c r="N76" s="2110"/>
      <c r="O76" s="2110"/>
      <c r="P76" s="2110"/>
      <c r="Q76" s="2348" t="s">
        <v>822</v>
      </c>
      <c r="R76" s="2110"/>
      <c r="S76" s="2110"/>
      <c r="T76" s="2110"/>
      <c r="U76" s="2110"/>
      <c r="V76" s="2110"/>
      <c r="W76" s="2110"/>
      <c r="X76" s="2110"/>
      <c r="Y76" s="2110"/>
      <c r="Z76" s="2110"/>
    </row>
    <row r="77" spans="1:26">
      <c r="A77" s="1001" t="s">
        <v>406</v>
      </c>
      <c r="B77" s="1017" t="s">
        <v>723</v>
      </c>
      <c r="C77" s="253">
        <v>72.988</v>
      </c>
      <c r="D77" s="993"/>
      <c r="E77" s="236">
        <v>3.42</v>
      </c>
      <c r="F77" s="985"/>
      <c r="G77" s="252">
        <v>2.6829999999999998</v>
      </c>
      <c r="H77" s="1299" t="s">
        <v>592</v>
      </c>
      <c r="I77" s="761"/>
      <c r="J77" s="1287"/>
      <c r="K77" s="1288"/>
      <c r="L77" s="1288"/>
      <c r="M77" s="2342">
        <f>(C77-E77)*1000000/J72</f>
        <v>185.49982668053224</v>
      </c>
      <c r="N77" s="2110"/>
      <c r="O77" s="2110"/>
      <c r="P77" s="2110"/>
      <c r="Q77" s="2348" t="s">
        <v>823</v>
      </c>
      <c r="R77" s="2110"/>
      <c r="S77" s="2110"/>
      <c r="T77" s="2110"/>
      <c r="U77" s="2110"/>
      <c r="V77" s="2110"/>
      <c r="W77" s="2110"/>
      <c r="X77" s="2110"/>
      <c r="Y77" s="2110"/>
      <c r="Z77" s="2110"/>
    </row>
    <row r="78" spans="1:26">
      <c r="A78" s="1001" t="s">
        <v>407</v>
      </c>
      <c r="B78" s="1018" t="s">
        <v>523</v>
      </c>
      <c r="C78" s="253">
        <v>385.608</v>
      </c>
      <c r="D78" s="993" t="str">
        <f>IF(C72=0,"",IF(C78&lt;Drift!I57+Drift!J57+Drift!L57,"Kommentera",""))</f>
        <v/>
      </c>
      <c r="E78" s="236">
        <v>5.431</v>
      </c>
      <c r="F78" s="985"/>
      <c r="G78" s="252">
        <v>4.7750000000000004</v>
      </c>
      <c r="H78" s="1299" t="s">
        <v>593</v>
      </c>
      <c r="I78" s="761"/>
      <c r="J78" s="1287"/>
      <c r="K78" s="1288"/>
      <c r="L78" s="1288"/>
      <c r="M78" s="2342">
        <f>(C78-E78)*1000000/J72</f>
        <v>1013.7242353945018</v>
      </c>
      <c r="N78" s="2110"/>
      <c r="O78" s="2110"/>
      <c r="P78" s="2110"/>
      <c r="Q78" s="2348" t="s">
        <v>824</v>
      </c>
      <c r="R78" s="2110"/>
      <c r="S78" s="2110"/>
      <c r="T78" s="2110"/>
      <c r="U78" s="2110"/>
      <c r="V78" s="2110"/>
      <c r="W78" s="2110"/>
      <c r="X78" s="2110"/>
      <c r="Y78" s="2110"/>
      <c r="Z78" s="2110"/>
    </row>
    <row r="79" spans="1:26">
      <c r="A79" s="1001" t="s">
        <v>408</v>
      </c>
      <c r="B79" s="1016" t="s">
        <v>444</v>
      </c>
      <c r="C79" s="253">
        <v>946.45</v>
      </c>
      <c r="D79" s="993"/>
      <c r="E79" s="236">
        <v>264.55900000000003</v>
      </c>
      <c r="F79" s="985"/>
      <c r="G79" s="252">
        <v>161.35</v>
      </c>
      <c r="H79" s="160" t="s">
        <v>594</v>
      </c>
      <c r="I79" s="2597" t="str">
        <f>IF(SUM(E79-G79+100)&lt;Motpart!AA21,"I Motparten är statsbidragen "&amp;""&amp;(Motpart!AA21)&amp;" tkr. Alla bidrag från staten o statliga myndigheter, inklusive de från Migrationsverket, ska ingå under Övrigt som extern intäkt. De externa intäkterna på Övrigt-raden är dock bara "&amp;""&amp;(ROUND(E79-G79,0))&amp;" tkr. ","")</f>
        <v/>
      </c>
      <c r="J79" s="1822"/>
      <c r="K79" s="1822"/>
      <c r="L79" s="2332"/>
      <c r="M79" s="2337">
        <f>(C79+C80-G79)*1000000/J72</f>
        <v>2437.3836759725887</v>
      </c>
      <c r="N79" s="2110"/>
      <c r="O79" s="2110"/>
      <c r="P79" s="2110"/>
      <c r="Q79" s="2348" t="s">
        <v>825</v>
      </c>
      <c r="R79" s="2110"/>
      <c r="S79" s="2110"/>
      <c r="T79" s="2110"/>
      <c r="U79" s="2110"/>
      <c r="V79" s="2110"/>
      <c r="W79" s="2110"/>
      <c r="X79" s="2110"/>
      <c r="Y79" s="2110"/>
      <c r="Z79" s="2110"/>
    </row>
    <row r="80" spans="1:26">
      <c r="A80" s="1001" t="s">
        <v>409</v>
      </c>
      <c r="B80" s="1030" t="s">
        <v>454</v>
      </c>
      <c r="C80" s="253">
        <v>128.99199999999999</v>
      </c>
      <c r="D80" s="1988" t="str">
        <f>IF(OR(C80 &gt; SUM(Drift!N57+Drift!O57+100), C80 &lt; SUM(Drift!N57+Drift!O57-100)),"Fördelad gemensam verksamhet skiljer sig mot Driftfliken.","")</f>
        <v/>
      </c>
      <c r="E80" s="993"/>
      <c r="F80" s="993"/>
      <c r="G80" s="995"/>
      <c r="H80" s="159"/>
      <c r="I80" s="2604"/>
      <c r="J80" s="1822"/>
      <c r="K80" s="1822"/>
      <c r="L80" s="2332"/>
      <c r="M80" s="2337">
        <f>((M72*J72/1000000+D72-F72-(Motpart!D21+Motpart!E21+Motpart!F21+Motpart!J21)*0.06))/J72*1000000+M76</f>
        <v>10706.157800709278</v>
      </c>
      <c r="N80" s="2110"/>
      <c r="O80" s="2110"/>
      <c r="P80" s="2110"/>
      <c r="Q80" s="2348" t="s">
        <v>826</v>
      </c>
      <c r="R80" s="2110"/>
      <c r="S80" s="2110"/>
      <c r="T80" s="2110"/>
      <c r="U80" s="2110"/>
      <c r="V80" s="2110"/>
      <c r="W80" s="2110"/>
      <c r="X80" s="2110"/>
      <c r="Y80" s="2110"/>
      <c r="Z80" s="2110"/>
    </row>
    <row r="81" spans="1:26">
      <c r="A81" s="1020" t="s">
        <v>559</v>
      </c>
      <c r="B81" s="1019" t="s">
        <v>126</v>
      </c>
      <c r="C81" s="1163">
        <f>(C72-SUM(C73:C80)-D72)*-1</f>
        <v>2.9999999999290594E-3</v>
      </c>
      <c r="D81" s="981"/>
      <c r="E81" s="1164">
        <f>(E72-SUM(E73:E79)-F72-(Motpart!D21+Motpart!E21+Motpart!F21)*0.06)*-1</f>
        <v>-2.3599999999710519E-3</v>
      </c>
      <c r="F81" s="981"/>
      <c r="G81" s="1165">
        <f>(G72-SUM(G73:G79))*-1</f>
        <v>0</v>
      </c>
      <c r="H81" s="145"/>
      <c r="I81" s="2604"/>
      <c r="J81" s="1822"/>
      <c r="K81" s="1822"/>
      <c r="L81" s="2332"/>
      <c r="M81" s="2342">
        <f>(Motpart!G21+Motpart!K21)*1000000/J72</f>
        <v>2649.0147454870275</v>
      </c>
      <c r="N81" s="2110"/>
      <c r="O81" s="2110"/>
      <c r="P81" s="2110"/>
      <c r="Q81" s="2348" t="s">
        <v>1058</v>
      </c>
      <c r="R81" s="2110"/>
      <c r="S81" s="2110"/>
      <c r="T81" s="2110"/>
      <c r="U81" s="2110"/>
      <c r="V81" s="2110"/>
      <c r="W81" s="2110"/>
      <c r="X81" s="2110"/>
      <c r="Y81" s="2110"/>
      <c r="Z81" s="2110"/>
    </row>
    <row r="82" spans="1:26">
      <c r="A82" s="1020" t="s">
        <v>560</v>
      </c>
      <c r="B82" s="1019"/>
      <c r="C82" s="993"/>
      <c r="D82" s="982"/>
      <c r="E82" s="993"/>
      <c r="F82" s="993"/>
      <c r="G82" s="995"/>
      <c r="H82" s="143"/>
      <c r="I82" s="2604"/>
      <c r="J82" s="1822"/>
      <c r="K82" s="1822"/>
      <c r="L82" s="2332"/>
      <c r="M82" s="2342">
        <f>F72*1000000/J72</f>
        <v>2243.3965282777376</v>
      </c>
      <c r="N82" s="2110"/>
      <c r="O82" s="2110"/>
      <c r="P82" s="2110"/>
      <c r="Q82" s="2348" t="s">
        <v>1057</v>
      </c>
      <c r="R82" s="2110"/>
      <c r="S82" s="2110"/>
      <c r="T82" s="2110"/>
      <c r="U82" s="2110"/>
      <c r="V82" s="2110"/>
      <c r="W82" s="2110"/>
      <c r="X82" s="2110"/>
      <c r="Y82" s="2110"/>
      <c r="Z82" s="2110"/>
    </row>
    <row r="83" spans="1:26">
      <c r="A83" s="1020" t="s">
        <v>561</v>
      </c>
      <c r="B83" s="1024"/>
      <c r="C83" s="993"/>
      <c r="D83" s="982"/>
      <c r="E83" s="993"/>
      <c r="F83" s="993"/>
      <c r="G83" s="995"/>
      <c r="H83" s="147"/>
      <c r="I83" s="2604"/>
      <c r="J83" s="1822"/>
      <c r="K83" s="1822"/>
      <c r="L83" s="2332"/>
      <c r="M83" s="2337">
        <f>Motpart!H21*1000000/J72</f>
        <v>146.03631709463244</v>
      </c>
      <c r="N83" s="2110"/>
      <c r="O83" s="2110"/>
      <c r="P83" s="2110"/>
      <c r="Q83" s="2348" t="s">
        <v>1060</v>
      </c>
      <c r="R83" s="2110"/>
      <c r="S83" s="2110"/>
      <c r="T83" s="2110"/>
      <c r="U83" s="2110"/>
      <c r="V83" s="2110"/>
      <c r="W83" s="2110"/>
      <c r="X83" s="2110"/>
      <c r="Y83" s="2110"/>
      <c r="Z83" s="2110"/>
    </row>
    <row r="84" spans="1:26">
      <c r="A84" s="1001" t="s">
        <v>562</v>
      </c>
      <c r="B84" s="1019"/>
      <c r="C84" s="982"/>
      <c r="D84" s="982"/>
      <c r="E84" s="982"/>
      <c r="F84" s="982"/>
      <c r="G84" s="992"/>
      <c r="H84" s="1168"/>
      <c r="I84" s="1169"/>
      <c r="J84" s="1380"/>
      <c r="K84" s="1035"/>
      <c r="L84" s="1035"/>
      <c r="M84" s="2337">
        <f>((Motpart!D21+Motpart!E21+Motpart!F21+Motpart!J21)-(Motpart!D21+Motpart!E21+Motpart!F21+Motpart!J21)*0.06)*1000000/J72</f>
        <v>803.30736207770042</v>
      </c>
      <c r="N84" s="2110"/>
      <c r="O84" s="2110"/>
      <c r="P84" s="2110"/>
      <c r="Q84" s="2348" t="s">
        <v>828</v>
      </c>
      <c r="R84" s="2110"/>
      <c r="S84" s="2110"/>
      <c r="T84" s="2110"/>
      <c r="U84" s="2110"/>
      <c r="V84" s="2110"/>
      <c r="W84" s="2110"/>
      <c r="X84" s="2110"/>
      <c r="Y84" s="2110"/>
      <c r="Z84" s="2110"/>
    </row>
    <row r="85" spans="1:26" ht="13.5" thickBot="1">
      <c r="A85" s="1022"/>
      <c r="B85" s="1029"/>
      <c r="C85" s="1693" t="str">
        <f>IF(ABS(C81)&lt;100,"",IF(C72=0,"C72",IF(ABS(C81/C72)&gt;0.01,"C81")))</f>
        <v/>
      </c>
      <c r="D85" s="1694"/>
      <c r="E85" s="1694" t="str">
        <f>IF(ABS(E81)&lt;100,"",IF(E72=0,"E72",IF(ABS(E81/E72)&gt;0.01,"E81")))</f>
        <v/>
      </c>
      <c r="F85" s="1694"/>
      <c r="G85" s="1695" t="str">
        <f>IF(ABS(G81)&lt;100,"",IF(G72=0,"G72",IF(ABS(G81/G72)&gt;0.01,"G81")))</f>
        <v/>
      </c>
      <c r="H85" s="146"/>
      <c r="I85" s="1034"/>
      <c r="J85" s="1381"/>
      <c r="K85" s="1032"/>
      <c r="L85" s="1035"/>
      <c r="M85" s="2338"/>
      <c r="N85" s="2110"/>
      <c r="O85" s="2110"/>
      <c r="P85" s="2110"/>
      <c r="Q85" s="2351" t="s">
        <v>1184</v>
      </c>
      <c r="R85" s="2110"/>
      <c r="S85" s="2110"/>
      <c r="T85" s="2110"/>
      <c r="U85" s="2110"/>
      <c r="V85" s="2110"/>
      <c r="W85" s="2110"/>
      <c r="X85" s="2110"/>
      <c r="Y85" s="2110"/>
      <c r="Z85" s="2110"/>
    </row>
    <row r="86" spans="1:26" ht="12.75" customHeight="1">
      <c r="A86" s="1006" t="s">
        <v>410</v>
      </c>
      <c r="B86" s="1015" t="s">
        <v>531</v>
      </c>
      <c r="C86" s="158">
        <f>Drift!P60</f>
        <v>1758.7169999999999</v>
      </c>
      <c r="D86" s="78">
        <f>SUM(Motpart!D22:L22)</f>
        <v>402.12300000000005</v>
      </c>
      <c r="E86" s="157">
        <f>Drift!W60</f>
        <v>263.67599999999999</v>
      </c>
      <c r="F86" s="78">
        <f>Motpart!Y22</f>
        <v>68.319000000000003</v>
      </c>
      <c r="G86" s="125">
        <f>Drift!V60</f>
        <v>91.808999999999997</v>
      </c>
      <c r="H86" s="148"/>
      <c r="I86" s="1037" t="s">
        <v>524</v>
      </c>
      <c r="J86" s="1379">
        <v>6100889</v>
      </c>
      <c r="K86" s="1038"/>
      <c r="L86" s="1038"/>
      <c r="M86" s="2344">
        <f>SUM(M87:M91)</f>
        <v>206.71003848783351</v>
      </c>
      <c r="N86" s="2110"/>
      <c r="O86" s="2110"/>
      <c r="P86" s="2110"/>
      <c r="Q86" s="2348" t="s">
        <v>829</v>
      </c>
      <c r="R86" s="2110"/>
      <c r="S86" s="2110"/>
      <c r="T86" s="2110"/>
      <c r="U86" s="2110"/>
      <c r="V86" s="2110"/>
      <c r="W86" s="2110"/>
      <c r="X86" s="2110"/>
      <c r="Y86" s="2110"/>
      <c r="Z86" s="2110"/>
    </row>
    <row r="87" spans="1:26" ht="12.75" customHeight="1">
      <c r="A87" s="1001" t="s">
        <v>411</v>
      </c>
      <c r="B87" s="1016" t="s">
        <v>493</v>
      </c>
      <c r="C87" s="253">
        <v>691.43200000000002</v>
      </c>
      <c r="D87" s="993"/>
      <c r="E87" s="236">
        <v>11.406000000000001</v>
      </c>
      <c r="F87" s="985"/>
      <c r="G87" s="252">
        <v>8.5069999999999997</v>
      </c>
      <c r="H87" s="147"/>
      <c r="I87" s="1039"/>
      <c r="J87" s="1382"/>
      <c r="K87" s="1035"/>
      <c r="L87" s="1035"/>
      <c r="M87" s="2342">
        <f>(C87-E87)*1000000/J86</f>
        <v>111.46342770701125</v>
      </c>
      <c r="N87" s="2110"/>
      <c r="O87" s="2110"/>
      <c r="P87" s="2110"/>
      <c r="Q87" s="2348" t="s">
        <v>830</v>
      </c>
      <c r="R87" s="2110"/>
      <c r="S87" s="2110"/>
      <c r="T87" s="2110"/>
      <c r="U87" s="2110"/>
      <c r="V87" s="2110"/>
      <c r="W87" s="2110"/>
      <c r="X87" s="2110"/>
      <c r="Y87" s="2110"/>
      <c r="Z87" s="2110"/>
    </row>
    <row r="88" spans="1:26" ht="12.75" customHeight="1">
      <c r="A88" s="1001" t="s">
        <v>412</v>
      </c>
      <c r="B88" s="1016" t="s">
        <v>800</v>
      </c>
      <c r="C88" s="253">
        <v>34.969000000000001</v>
      </c>
      <c r="D88" s="993"/>
      <c r="E88" s="236">
        <v>0.78400000000000003</v>
      </c>
      <c r="F88" s="985"/>
      <c r="G88" s="252">
        <v>0.437</v>
      </c>
      <c r="H88" s="147"/>
      <c r="I88" s="1039"/>
      <c r="J88" s="1382"/>
      <c r="K88" s="1035"/>
      <c r="L88" s="1035"/>
      <c r="M88" s="2342">
        <f>(C88-E88)*1000000/J86</f>
        <v>5.603281751233304</v>
      </c>
      <c r="N88" s="2110"/>
      <c r="O88" s="2110"/>
      <c r="P88" s="2110"/>
      <c r="Q88" s="2348" t="s">
        <v>831</v>
      </c>
      <c r="R88" s="2110"/>
      <c r="S88" s="2110"/>
      <c r="T88" s="2110"/>
      <c r="U88" s="2110"/>
      <c r="V88" s="2110"/>
      <c r="W88" s="2110"/>
      <c r="X88" s="2110"/>
      <c r="Y88" s="2110"/>
      <c r="Z88" s="2110"/>
    </row>
    <row r="89" spans="1:26" ht="15.75" customHeight="1">
      <c r="A89" s="1001" t="s">
        <v>413</v>
      </c>
      <c r="B89" s="1026" t="s">
        <v>723</v>
      </c>
      <c r="C89" s="253">
        <v>4.4980000000000002</v>
      </c>
      <c r="D89" s="993"/>
      <c r="E89" s="236">
        <v>8.0000000000000002E-3</v>
      </c>
      <c r="F89" s="985"/>
      <c r="G89" s="252">
        <v>0</v>
      </c>
      <c r="H89" s="147"/>
      <c r="I89" s="1040"/>
      <c r="J89" s="1383"/>
      <c r="K89" s="1041"/>
      <c r="L89" s="1041"/>
      <c r="M89" s="2342">
        <f>(C89-E89)*1000000/J86</f>
        <v>0.73595831689447222</v>
      </c>
      <c r="N89" s="2110"/>
      <c r="O89" s="2110"/>
      <c r="P89" s="2110"/>
      <c r="Q89" s="2348" t="s">
        <v>832</v>
      </c>
      <c r="R89" s="2110"/>
      <c r="S89" s="2110"/>
      <c r="T89" s="2110"/>
      <c r="U89" s="2110"/>
      <c r="V89" s="2110"/>
      <c r="W89" s="2110"/>
      <c r="X89" s="2110"/>
      <c r="Y89" s="2110"/>
      <c r="Z89" s="2110"/>
    </row>
    <row r="90" spans="1:26" ht="12.75" customHeight="1">
      <c r="A90" s="1001" t="s">
        <v>414</v>
      </c>
      <c r="B90" s="1018" t="s">
        <v>523</v>
      </c>
      <c r="C90" s="253">
        <v>195.79</v>
      </c>
      <c r="D90" s="993" t="str">
        <f>IF(C86=0,"",IF(C90&lt;Drift!I60+Drift!J60+Drift!L60,"Kommentera",""))</f>
        <v/>
      </c>
      <c r="E90" s="236">
        <v>2.1890000000000001</v>
      </c>
      <c r="F90" s="985"/>
      <c r="G90" s="252">
        <v>1.7729999999999999</v>
      </c>
      <c r="H90" s="147"/>
      <c r="I90" s="2605" t="str">
        <f>IF(SUM(E91-G91+100)&lt;Motpart!AA22,"I Motparten är statsbidragen "&amp;""&amp;(Motpart!AA22)&amp;" tkr. Alla bidrag från staten o statliga myndigheter, inklusive de från Migrationsverket, ska ingå under Övrigt som extern intäkt. De externa intäkterna på Övrigt-raden är dock bara "&amp;""&amp;(ROUND(E91-G91,0))&amp;" tkr. ","")</f>
        <v/>
      </c>
      <c r="J90" s="1816"/>
      <c r="K90" s="1816"/>
      <c r="L90" s="2323"/>
      <c r="M90" s="2342">
        <f>(C90-E90)*1000000/J86</f>
        <v>31.73324412229103</v>
      </c>
      <c r="N90" s="2110"/>
      <c r="O90" s="2110"/>
      <c r="P90" s="2110"/>
      <c r="Q90" s="2348" t="s">
        <v>833</v>
      </c>
      <c r="R90" s="2110"/>
      <c r="S90" s="2110"/>
      <c r="T90" s="2110"/>
      <c r="U90" s="2110"/>
      <c r="V90" s="2110"/>
      <c r="W90" s="2110"/>
      <c r="X90" s="2110"/>
      <c r="Y90" s="2110"/>
      <c r="Z90" s="2110"/>
    </row>
    <row r="91" spans="1:26" ht="12.75" customHeight="1">
      <c r="A91" s="1001" t="s">
        <v>415</v>
      </c>
      <c r="B91" s="1016" t="s">
        <v>444</v>
      </c>
      <c r="C91" s="253">
        <v>378.28500000000003</v>
      </c>
      <c r="D91" s="993"/>
      <c r="E91" s="236">
        <v>164.47300000000001</v>
      </c>
      <c r="F91" s="985"/>
      <c r="G91" s="252">
        <v>81.093000000000004</v>
      </c>
      <c r="H91" s="147"/>
      <c r="I91" s="2604"/>
      <c r="J91" s="1816"/>
      <c r="K91" s="1816"/>
      <c r="L91" s="2323"/>
      <c r="M91" s="2342">
        <f>(C91+C92-G91)*1000000/J86</f>
        <v>57.174126590403468</v>
      </c>
      <c r="N91" s="2110"/>
      <c r="O91" s="2110"/>
      <c r="P91" s="2110"/>
      <c r="Q91" s="2348" t="s">
        <v>834</v>
      </c>
      <c r="R91" s="2110"/>
      <c r="S91" s="2110"/>
      <c r="T91" s="2110"/>
      <c r="U91" s="2110"/>
      <c r="V91" s="2110"/>
      <c r="W91" s="2110"/>
      <c r="X91" s="2110"/>
      <c r="Y91" s="2110"/>
      <c r="Z91" s="2110"/>
    </row>
    <row r="92" spans="1:26" ht="12.75" customHeight="1">
      <c r="A92" s="1001" t="s">
        <v>416</v>
      </c>
      <c r="B92" s="1030" t="s">
        <v>492</v>
      </c>
      <c r="C92" s="253">
        <v>51.621000000000002</v>
      </c>
      <c r="D92" s="1988" t="str">
        <f>IF(OR(C92 &gt; SUM(Drift!N60+Drift!O60+100), C92 &lt; SUM(Drift!N60+Drift!O60-100)),"Fördelad gemensam verksamhet skiljer sig mot Driftfliken.","")</f>
        <v/>
      </c>
      <c r="E92" s="993"/>
      <c r="F92" s="993"/>
      <c r="G92" s="995"/>
      <c r="H92" s="147"/>
      <c r="I92" s="2604"/>
      <c r="J92" s="1816"/>
      <c r="K92" s="1816"/>
      <c r="L92" s="2323"/>
      <c r="M92" s="2345"/>
      <c r="N92" s="2110"/>
      <c r="O92" s="2110"/>
      <c r="P92" s="2110"/>
      <c r="Q92" s="2352"/>
      <c r="R92" s="2110"/>
      <c r="S92" s="2110"/>
      <c r="T92" s="2110"/>
      <c r="U92" s="2110"/>
      <c r="V92" s="2110"/>
      <c r="W92" s="2110"/>
      <c r="X92" s="2110"/>
      <c r="Y92" s="2110"/>
      <c r="Z92" s="2110"/>
    </row>
    <row r="93" spans="1:26" ht="12.75" customHeight="1">
      <c r="A93" s="1001"/>
      <c r="B93" s="1030" t="s">
        <v>126</v>
      </c>
      <c r="C93" s="1163">
        <f>(C86-SUM(C87:C92)-D86)*-1</f>
        <v>1.0000000004311005E-3</v>
      </c>
      <c r="D93" s="997"/>
      <c r="E93" s="1164">
        <f>(E86-SUM(E87:E91)-F86-(Motpart!D22+Motpart!E22+Motpart!F22)*0.06)*-1</f>
        <v>1.2600000000269063E-3</v>
      </c>
      <c r="F93" s="997"/>
      <c r="G93" s="1165">
        <f>(G86-SUM(G87:G91))*-1</f>
        <v>1.0000000000047748E-3</v>
      </c>
      <c r="H93" s="145"/>
      <c r="I93" s="2604"/>
      <c r="J93" s="1816"/>
      <c r="K93" s="1816"/>
      <c r="L93" s="2323"/>
      <c r="M93" s="2345"/>
      <c r="N93" s="2110"/>
      <c r="O93" s="2110"/>
      <c r="P93" s="2110"/>
      <c r="Q93" s="2348" t="s">
        <v>496</v>
      </c>
      <c r="R93" s="2110"/>
      <c r="S93" s="2110"/>
      <c r="T93" s="2110"/>
      <c r="U93" s="2110"/>
      <c r="V93" s="2110"/>
      <c r="W93" s="2110"/>
      <c r="X93" s="2110"/>
      <c r="Y93" s="2110"/>
      <c r="Z93" s="2110"/>
    </row>
    <row r="94" spans="1:26" ht="16.5" customHeight="1" thickBot="1">
      <c r="A94" s="1022"/>
      <c r="B94" s="1023"/>
      <c r="C94" s="1693" t="str">
        <f>IF(ABS(C93)&lt;100,"",IF(C86=0,"C86",IF(ABS(C93/C86)&gt;0.01,"C93")))</f>
        <v/>
      </c>
      <c r="D94" s="1694"/>
      <c r="E94" s="1694" t="str">
        <f>IF(ABS(E93)&lt;100,"",IF(E86=0,"E86",IF(ABS(E93/E86)&gt;0.01,"E93")))</f>
        <v/>
      </c>
      <c r="F94" s="1694"/>
      <c r="G94" s="1695" t="str">
        <f>IF(ABS(G93)&lt;100,"",IF(G86=0,"G86",IF(ABS(G93/G86)&gt;0.01,"G93")))</f>
        <v/>
      </c>
      <c r="H94" s="161"/>
      <c r="I94" s="2606"/>
      <c r="J94" s="1824"/>
      <c r="K94" s="1824"/>
      <c r="L94" s="1824"/>
      <c r="M94" s="2346"/>
      <c r="N94" s="2110"/>
      <c r="O94" s="2110"/>
      <c r="P94" s="2110"/>
      <c r="Q94" s="2351"/>
      <c r="R94" s="2110"/>
      <c r="S94" s="2110"/>
      <c r="T94" s="2110"/>
      <c r="U94" s="2110"/>
      <c r="V94" s="2110"/>
      <c r="W94" s="2110"/>
      <c r="X94" s="2110"/>
      <c r="Y94" s="2110"/>
      <c r="Z94" s="2110"/>
    </row>
    <row r="95" spans="1:26" ht="12.75" customHeight="1">
      <c r="A95" s="1006" t="s">
        <v>417</v>
      </c>
      <c r="B95" s="1015" t="s">
        <v>532</v>
      </c>
      <c r="C95" s="77">
        <f>Drift!P61</f>
        <v>6587.6270000000004</v>
      </c>
      <c r="D95" s="998">
        <f>SUM(Motpart!D23:L23)</f>
        <v>2243.2480000000005</v>
      </c>
      <c r="E95" s="157">
        <f>Drift!W61</f>
        <v>3412.6909999999998</v>
      </c>
      <c r="F95" s="78">
        <f>Motpart!Y23</f>
        <v>435.88</v>
      </c>
      <c r="G95" s="125">
        <f>Drift!V61</f>
        <v>318.50799999999998</v>
      </c>
      <c r="H95" s="148"/>
      <c r="I95" s="1037" t="s">
        <v>524</v>
      </c>
      <c r="J95" s="1379">
        <v>6100889</v>
      </c>
      <c r="K95" s="1038"/>
      <c r="L95" s="1038"/>
      <c r="M95" s="2344">
        <f>SUM(M96:M100)</f>
        <v>647.53907176478708</v>
      </c>
      <c r="N95" s="2110"/>
      <c r="O95" s="2110"/>
      <c r="P95" s="2110"/>
      <c r="Q95" s="2348" t="s">
        <v>829</v>
      </c>
      <c r="R95" s="2110"/>
      <c r="S95" s="2110"/>
      <c r="T95" s="2110"/>
      <c r="U95" s="2110"/>
      <c r="V95" s="2110"/>
      <c r="W95" s="2110"/>
      <c r="X95" s="2110"/>
      <c r="Y95" s="2110"/>
      <c r="Z95" s="2110"/>
    </row>
    <row r="96" spans="1:26" ht="12.75" customHeight="1">
      <c r="A96" s="1001" t="s">
        <v>418</v>
      </c>
      <c r="B96" s="1016" t="s">
        <v>493</v>
      </c>
      <c r="C96" s="253">
        <v>2189.0349999999999</v>
      </c>
      <c r="D96" s="993"/>
      <c r="E96" s="236">
        <v>139.26499999999999</v>
      </c>
      <c r="F96" s="985"/>
      <c r="G96" s="252">
        <v>77.94</v>
      </c>
      <c r="H96" s="147"/>
      <c r="I96" s="1039"/>
      <c r="J96" s="1382"/>
      <c r="K96" s="1035"/>
      <c r="L96" s="1035"/>
      <c r="M96" s="2342">
        <f>(C96-E96)*1000000/J95</f>
        <v>335.97890405808073</v>
      </c>
      <c r="N96" s="2110"/>
      <c r="O96" s="2110"/>
      <c r="P96" s="2110"/>
      <c r="Q96" s="2348" t="s">
        <v>830</v>
      </c>
      <c r="R96" s="2110"/>
      <c r="S96" s="2110"/>
      <c r="T96" s="2110"/>
      <c r="U96" s="2110"/>
      <c r="V96" s="2110"/>
      <c r="W96" s="2110"/>
      <c r="X96" s="2110"/>
      <c r="Y96" s="2110"/>
      <c r="Z96" s="2110"/>
    </row>
    <row r="97" spans="1:26" ht="12.75" customHeight="1">
      <c r="A97" s="1001" t="s">
        <v>419</v>
      </c>
      <c r="B97" s="1016" t="s">
        <v>800</v>
      </c>
      <c r="C97" s="253">
        <v>158.67099999999999</v>
      </c>
      <c r="D97" s="993"/>
      <c r="E97" s="236">
        <v>18.861000000000001</v>
      </c>
      <c r="F97" s="985"/>
      <c r="G97" s="252">
        <v>7.72</v>
      </c>
      <c r="H97" s="145"/>
      <c r="I97" s="1039"/>
      <c r="J97" s="1382"/>
      <c r="K97" s="1035"/>
      <c r="L97" s="1035"/>
      <c r="M97" s="2342">
        <f>(C97-E97)*1000000/J95</f>
        <v>22.916332357464626</v>
      </c>
      <c r="N97" s="2110"/>
      <c r="O97" s="2110"/>
      <c r="P97" s="2110"/>
      <c r="Q97" s="2348" t="s">
        <v>831</v>
      </c>
      <c r="R97" s="2110"/>
      <c r="S97" s="2110"/>
      <c r="T97" s="2110"/>
      <c r="U97" s="2110"/>
      <c r="V97" s="2110"/>
      <c r="W97" s="2110"/>
      <c r="X97" s="2110"/>
      <c r="Y97" s="2110"/>
      <c r="Z97" s="2110"/>
    </row>
    <row r="98" spans="1:26" ht="14.25" customHeight="1">
      <c r="A98" s="1001" t="s">
        <v>420</v>
      </c>
      <c r="B98" s="1017" t="s">
        <v>723</v>
      </c>
      <c r="C98" s="253">
        <v>11.042999999999999</v>
      </c>
      <c r="D98" s="993"/>
      <c r="E98" s="236">
        <v>1.7999999999999999E-2</v>
      </c>
      <c r="F98" s="985"/>
      <c r="G98" s="252">
        <v>0</v>
      </c>
      <c r="H98" s="143"/>
      <c r="I98" s="1040"/>
      <c r="J98" s="1383"/>
      <c r="K98" s="1041"/>
      <c r="L98" s="1041"/>
      <c r="M98" s="2342">
        <f>(C98-E98)*1000000/J95</f>
        <v>1.8071136845794109</v>
      </c>
      <c r="N98" s="2110"/>
      <c r="O98" s="2110"/>
      <c r="P98" s="2110"/>
      <c r="Q98" s="2348" t="s">
        <v>832</v>
      </c>
      <c r="R98" s="2110"/>
      <c r="S98" s="2110"/>
      <c r="T98" s="2110"/>
      <c r="U98" s="2110"/>
      <c r="V98" s="2110"/>
      <c r="W98" s="2110"/>
      <c r="X98" s="2110"/>
      <c r="Y98" s="2110"/>
      <c r="Z98" s="2110"/>
    </row>
    <row r="99" spans="1:26" ht="15" customHeight="1">
      <c r="A99" s="1001" t="s">
        <v>421</v>
      </c>
      <c r="B99" s="1018" t="s">
        <v>523</v>
      </c>
      <c r="C99" s="253">
        <v>534.50800000000004</v>
      </c>
      <c r="D99" s="2015" t="str">
        <f>IF(C95=0,"",IF(C99&lt;Drift!I61+Drift!J61+Drift!L61,"Kommentera",""))</f>
        <v/>
      </c>
      <c r="E99" s="236">
        <v>21.379000000000001</v>
      </c>
      <c r="F99" s="985"/>
      <c r="G99" s="252">
        <v>18.555</v>
      </c>
      <c r="H99" s="147"/>
      <c r="I99" s="2599" t="str">
        <f>IF(SUM(E100-G100+100)&lt;Motpart!AA23,"I Motparten är statsbidragen "&amp;""&amp;(Motpart!AA23)&amp;" tkr. Alla bidrag från staten o statliga myndigheter, inklusive de från Migrationsverket, ska ingå under Övrigt som extern intäkt. De externa intäkterna på Övrigt-raden är dock bara "&amp;""&amp;(ROUND(E100-G100,0))&amp;" tkr. ","")</f>
        <v/>
      </c>
      <c r="J99" s="1825"/>
      <c r="K99" s="1825"/>
      <c r="L99" s="2322"/>
      <c r="M99" s="2342">
        <f>(C99-E99)*1000000/J95</f>
        <v>84.107250599052037</v>
      </c>
      <c r="N99" s="2110"/>
      <c r="O99" s="2110"/>
      <c r="P99" s="2110"/>
      <c r="Q99" s="2348" t="s">
        <v>833</v>
      </c>
      <c r="R99" s="2110"/>
      <c r="S99" s="2110"/>
      <c r="T99" s="2110"/>
      <c r="U99" s="2110"/>
      <c r="V99" s="2110"/>
      <c r="W99" s="2110"/>
      <c r="X99" s="2110"/>
      <c r="Y99" s="2110"/>
      <c r="Z99" s="2110"/>
    </row>
    <row r="100" spans="1:26" ht="12.75" customHeight="1">
      <c r="A100" s="1001" t="s">
        <v>422</v>
      </c>
      <c r="B100" s="1016" t="s">
        <v>444</v>
      </c>
      <c r="C100" s="253">
        <v>1291.817</v>
      </c>
      <c r="D100" s="993"/>
      <c r="E100" s="236">
        <v>2704.1480000000001</v>
      </c>
      <c r="F100" s="985"/>
      <c r="G100" s="252">
        <v>214.29300000000001</v>
      </c>
      <c r="H100" s="145"/>
      <c r="I100" s="2600"/>
      <c r="J100" s="1825"/>
      <c r="K100" s="1825"/>
      <c r="L100" s="2322"/>
      <c r="M100" s="2342">
        <f>(C100+C101-G100)*1000000/J95</f>
        <v>202.72947106561028</v>
      </c>
      <c r="N100" s="2110"/>
      <c r="O100" s="2110"/>
      <c r="P100" s="2110"/>
      <c r="Q100" s="2348" t="s">
        <v>834</v>
      </c>
      <c r="R100" s="2110"/>
      <c r="S100" s="2110"/>
      <c r="T100" s="2110"/>
      <c r="U100" s="2110"/>
      <c r="V100" s="2110"/>
      <c r="W100" s="2110"/>
      <c r="X100" s="2110"/>
      <c r="Y100" s="2110"/>
      <c r="Z100" s="2110"/>
    </row>
    <row r="101" spans="1:26" ht="12.75" customHeight="1">
      <c r="A101" s="1001" t="s">
        <v>423</v>
      </c>
      <c r="B101" s="1016" t="s">
        <v>492</v>
      </c>
      <c r="C101" s="253">
        <v>159.30600000000001</v>
      </c>
      <c r="D101" s="1988" t="str">
        <f>IF(OR(C101 &gt; SUM(Drift!N61+Drift!O61+100), C101 &lt; SUM(Drift!N61+Drift!O61-100)),"Fördelad gemensam verksamhet skiljer sig mot Driftfliken.","")</f>
        <v/>
      </c>
      <c r="E101" s="993"/>
      <c r="F101" s="993"/>
      <c r="G101" s="995"/>
      <c r="H101" s="145"/>
      <c r="I101" s="2600"/>
      <c r="J101" s="1825"/>
      <c r="K101" s="1825"/>
      <c r="L101" s="2322"/>
      <c r="M101" s="2345">
        <f>(((M95*J95/1000000)+D95-F95+((M86*J86/1000000)+D86-F86)))/(J86)*1000000</f>
        <v>1205.2097653309215</v>
      </c>
      <c r="N101" s="2110"/>
      <c r="O101" s="2110"/>
      <c r="P101" s="2110"/>
      <c r="Q101" s="2348" t="s">
        <v>835</v>
      </c>
      <c r="R101" s="2110"/>
      <c r="S101" s="2110"/>
      <c r="T101" s="2110"/>
      <c r="U101" s="2110"/>
      <c r="V101" s="2110"/>
      <c r="W101" s="2110"/>
      <c r="X101" s="2110"/>
      <c r="Y101" s="2110"/>
      <c r="Z101" s="2110"/>
    </row>
    <row r="102" spans="1:26" ht="15" customHeight="1">
      <c r="A102" s="1681"/>
      <c r="B102" s="1682" t="s">
        <v>126</v>
      </c>
      <c r="C102" s="1683">
        <f>(C95-SUM(C96:C101)-D95)*-1</f>
        <v>9.9999999929423211E-4</v>
      </c>
      <c r="D102" s="981"/>
      <c r="E102" s="1684">
        <f>(E95-SUM(E96:E100)-F95-(Motpart!D23+Motpart!E23+Motpart!F23)*0.06)*-1</f>
        <v>7.0000000046377409E-4</v>
      </c>
      <c r="F102" s="981"/>
      <c r="G102" s="1685">
        <f>(G95-SUM(G96:G100))*-1</f>
        <v>5.6843418860808015E-14</v>
      </c>
      <c r="H102" s="1219"/>
      <c r="I102" s="2600"/>
      <c r="J102" s="1816"/>
      <c r="K102" s="1816"/>
      <c r="L102" s="2323"/>
      <c r="M102" s="2345"/>
      <c r="N102" s="2110"/>
      <c r="O102" s="2110"/>
      <c r="P102" s="2110"/>
      <c r="Q102" s="2348" t="s">
        <v>497</v>
      </c>
      <c r="R102" s="2110"/>
      <c r="S102" s="2110"/>
      <c r="T102" s="2110"/>
      <c r="U102" s="2110"/>
      <c r="V102" s="2110"/>
      <c r="W102" s="2110"/>
      <c r="X102" s="2110"/>
      <c r="Y102" s="2110"/>
      <c r="Z102" s="2110"/>
    </row>
    <row r="103" spans="1:26" ht="12.75" customHeight="1" thickBot="1">
      <c r="A103" s="1686"/>
      <c r="B103" s="1687"/>
      <c r="C103" s="1689" t="str">
        <f>IF(ABS(C102)&lt;100,"",IF(C95=0,"C95",IF(ABS(C102/C95)&gt;0.01,"C102")))</f>
        <v/>
      </c>
      <c r="D103" s="1690"/>
      <c r="E103" s="1691" t="str">
        <f>IF(ABS(E102)&lt;100,"",IF(E95=0,"E95",IF(ABS(E102/E95)&gt;0.01,"E102")))</f>
        <v/>
      </c>
      <c r="F103" s="1690"/>
      <c r="G103" s="1692" t="str">
        <f>IF(ABS(G102)&lt;100,"",IF(G95=0,"G95",IF(ABS(G102/G95)&gt;0.01,"G102")))</f>
        <v/>
      </c>
      <c r="H103" s="1688"/>
      <c r="I103" s="1817"/>
      <c r="J103" s="1817"/>
      <c r="K103" s="1817"/>
      <c r="L103" s="1817"/>
      <c r="M103" s="2347"/>
      <c r="N103" s="2110"/>
      <c r="O103" s="2110"/>
      <c r="P103" s="2110"/>
      <c r="Q103" s="2349"/>
      <c r="R103" s="2110"/>
      <c r="S103" s="2110"/>
      <c r="T103" s="2110"/>
      <c r="U103" s="2110"/>
      <c r="V103" s="2110"/>
      <c r="W103" s="2110"/>
      <c r="X103" s="2110"/>
      <c r="Y103" s="2110"/>
      <c r="Z103" s="2110"/>
    </row>
    <row r="104" spans="1:26" ht="13.5" thickTop="1">
      <c r="A104" s="2353" t="s">
        <v>1196</v>
      </c>
      <c r="B104" s="2356" t="s">
        <v>1191</v>
      </c>
      <c r="C104" s="77">
        <v>3893.692</v>
      </c>
      <c r="D104" s="998">
        <f>SUM(Motpart!D24:L24)</f>
        <v>852.39800000000014</v>
      </c>
      <c r="E104" s="157">
        <v>872.024</v>
      </c>
      <c r="F104" s="78">
        <f>Motpart!Y24</f>
        <v>87.971000000000004</v>
      </c>
      <c r="G104" s="125">
        <v>182.27099999999999</v>
      </c>
      <c r="H104" s="148"/>
      <c r="I104" s="1037" t="s">
        <v>1216</v>
      </c>
      <c r="J104" s="1379">
        <v>8682407</v>
      </c>
      <c r="K104" s="1038"/>
      <c r="L104" s="1038"/>
      <c r="M104" s="2334">
        <f>SUM(M105:M109)</f>
        <v>327.49962078488142</v>
      </c>
      <c r="N104" s="2110"/>
      <c r="O104" s="2110"/>
      <c r="P104" s="2110"/>
      <c r="Q104" s="2348" t="s">
        <v>1217</v>
      </c>
      <c r="R104" s="2110"/>
      <c r="S104" s="2110"/>
      <c r="T104" s="2110"/>
      <c r="U104" s="2110"/>
      <c r="V104" s="2110"/>
      <c r="W104" s="2110"/>
      <c r="X104" s="2110"/>
      <c r="Y104" s="2110"/>
      <c r="Z104" s="2110"/>
    </row>
    <row r="105" spans="1:26">
      <c r="A105" s="2354" t="s">
        <v>1197</v>
      </c>
      <c r="B105" s="2357" t="s">
        <v>493</v>
      </c>
      <c r="C105" s="253">
        <v>1778.4670000000001</v>
      </c>
      <c r="D105" s="993"/>
      <c r="E105" s="236">
        <v>50.173000000000002</v>
      </c>
      <c r="F105" s="985"/>
      <c r="G105" s="252">
        <v>35.348999999999997</v>
      </c>
      <c r="H105" s="147"/>
      <c r="I105" s="2063"/>
      <c r="J105" s="1382"/>
      <c r="K105" s="1035"/>
      <c r="L105" s="1035"/>
      <c r="M105" s="2324">
        <f>(C105-E105)*1000000/J104</f>
        <v>199.0570126463779</v>
      </c>
      <c r="N105" s="2110"/>
      <c r="O105" s="2110"/>
      <c r="P105" s="2110"/>
      <c r="Q105" s="2348" t="s">
        <v>1218</v>
      </c>
      <c r="R105" s="2110"/>
      <c r="S105" s="2110"/>
      <c r="T105" s="2110"/>
      <c r="U105" s="2110"/>
      <c r="V105" s="2110"/>
      <c r="W105" s="2110"/>
      <c r="X105" s="2110"/>
    </row>
    <row r="106" spans="1:26">
      <c r="A106" s="2354" t="s">
        <v>1198</v>
      </c>
      <c r="B106" s="2357" t="s">
        <v>800</v>
      </c>
      <c r="C106" s="253">
        <v>56.152000000000001</v>
      </c>
      <c r="D106" s="993"/>
      <c r="E106" s="236">
        <v>0.55500000000000005</v>
      </c>
      <c r="F106" s="985"/>
      <c r="G106" s="252">
        <v>0.13400000000000001</v>
      </c>
      <c r="H106" s="145"/>
      <c r="I106" s="1039"/>
      <c r="J106" s="1382"/>
      <c r="K106" s="1035"/>
      <c r="L106" s="1035"/>
      <c r="M106" s="2324">
        <f>(C106-E106)*1000000/J104</f>
        <v>6.4034086400234402</v>
      </c>
      <c r="N106" s="2110"/>
      <c r="O106" s="2110"/>
      <c r="P106" s="2110"/>
      <c r="Q106" s="2348" t="s">
        <v>1219</v>
      </c>
      <c r="R106" s="2110"/>
      <c r="S106" s="2110"/>
      <c r="T106" s="2110"/>
      <c r="U106" s="2110"/>
      <c r="V106" s="2110"/>
      <c r="W106" s="2110"/>
      <c r="X106" s="2110"/>
    </row>
    <row r="107" spans="1:26">
      <c r="A107" s="2354" t="s">
        <v>1199</v>
      </c>
      <c r="B107" s="2358" t="s">
        <v>723</v>
      </c>
      <c r="C107" s="253">
        <v>6.48</v>
      </c>
      <c r="D107" s="993"/>
      <c r="E107" s="236">
        <v>-8.1000000000000003E-2</v>
      </c>
      <c r="F107" s="985"/>
      <c r="G107" s="252">
        <v>0</v>
      </c>
      <c r="H107" s="143"/>
      <c r="I107" s="1040"/>
      <c r="J107" s="1383"/>
      <c r="K107" s="1041"/>
      <c r="L107" s="1041"/>
      <c r="M107" s="2324">
        <f>(C107-E107)*1000000/J104</f>
        <v>0.75566602671356009</v>
      </c>
      <c r="N107" s="2110"/>
      <c r="O107" s="2110"/>
      <c r="P107" s="2110"/>
      <c r="Q107" s="2348" t="s">
        <v>1220</v>
      </c>
      <c r="R107" s="2110"/>
      <c r="S107" s="2110"/>
      <c r="T107" s="2110"/>
      <c r="U107" s="2110"/>
      <c r="V107" s="2110"/>
      <c r="W107" s="2110"/>
      <c r="X107" s="2110"/>
    </row>
    <row r="108" spans="1:26" ht="12.75" customHeight="1">
      <c r="A108" s="2354" t="s">
        <v>1200</v>
      </c>
      <c r="B108" s="2359" t="s">
        <v>523</v>
      </c>
      <c r="C108" s="253">
        <v>398.44099999999997</v>
      </c>
      <c r="D108" s="2015" t="str">
        <f>IF(C104=0,"",IF(C108&lt;Drift!I62+Drift!J62+Drift!L62,"Kommentera",""))</f>
        <v/>
      </c>
      <c r="E108" s="236">
        <v>1.8660000000000001</v>
      </c>
      <c r="F108" s="985"/>
      <c r="G108" s="252">
        <v>1.494</v>
      </c>
      <c r="H108" s="147"/>
      <c r="I108" s="2599" t="str">
        <f>IF(SUM(E109-G109+100)&lt;Motpart!AA24,"I Motparten är statsbidragen "&amp;""&amp;(Motpart!AA24)&amp;" tkr. Alla bidrag från staten o statliga myndigheter, inklusive de från Migrationsverket, ska ingå under Övrigt som extern intäkt. De externa intäkterna på Övrigt-raden är dock bara "&amp;""&amp;(ROUND(E109-G109,0))&amp;" tkr. ","")</f>
        <v/>
      </c>
      <c r="J108" s="1825"/>
      <c r="K108" s="1825"/>
      <c r="L108" s="2322"/>
      <c r="M108" s="2324">
        <f>(C108-E108)*1000000/J104</f>
        <v>45.675697994807201</v>
      </c>
      <c r="N108" s="2110"/>
      <c r="O108" s="2110"/>
      <c r="P108" s="2110"/>
      <c r="Q108" s="2348" t="s">
        <v>1221</v>
      </c>
      <c r="R108" s="2110"/>
      <c r="S108" s="2110"/>
      <c r="T108" s="2110"/>
      <c r="U108" s="2110"/>
      <c r="V108" s="2110"/>
      <c r="W108" s="2110"/>
      <c r="X108" s="2110"/>
    </row>
    <row r="109" spans="1:26" ht="12.75" customHeight="1">
      <c r="A109" s="2354" t="s">
        <v>1201</v>
      </c>
      <c r="B109" s="2357" t="s">
        <v>444</v>
      </c>
      <c r="C109" s="253">
        <v>683.98199999999997</v>
      </c>
      <c r="D109" s="993"/>
      <c r="E109" s="236">
        <v>694.67600000000004</v>
      </c>
      <c r="F109" s="985"/>
      <c r="G109" s="252">
        <v>145.29400000000001</v>
      </c>
      <c r="H109" s="145"/>
      <c r="I109" s="2600"/>
      <c r="J109" s="1825"/>
      <c r="K109" s="1825"/>
      <c r="L109" s="2322"/>
      <c r="M109" s="2324">
        <f>(C109+C110-G109)*1000000/J104</f>
        <v>75.607835476959323</v>
      </c>
      <c r="N109" s="2110"/>
      <c r="O109" s="2110"/>
      <c r="P109" s="2110"/>
      <c r="Q109" s="2348" t="s">
        <v>1222</v>
      </c>
      <c r="R109" s="2110"/>
      <c r="S109" s="2110"/>
      <c r="T109" s="2110"/>
      <c r="U109" s="2110"/>
      <c r="V109" s="2110"/>
      <c r="W109" s="2110"/>
      <c r="X109" s="2110"/>
    </row>
    <row r="110" spans="1:26">
      <c r="A110" s="2354" t="s">
        <v>1202</v>
      </c>
      <c r="B110" s="2357" t="s">
        <v>492</v>
      </c>
      <c r="C110" s="253">
        <v>117.77</v>
      </c>
      <c r="D110" s="1988" t="str">
        <f>IF(OR(C110 &gt; SUM(Drift!N62+Drift!O62+100), C110 &lt; SUM(Drift!N62+Drift!O62-100)),"Fördelad gemensam verksamhet skiljer sig mot Driftfliken.","")</f>
        <v/>
      </c>
      <c r="E110" s="993"/>
      <c r="F110" s="993"/>
      <c r="G110" s="995"/>
      <c r="H110" s="145"/>
      <c r="I110" s="2600"/>
      <c r="J110" s="1825"/>
      <c r="K110" s="1825"/>
      <c r="L110" s="2322"/>
      <c r="M110" s="2325">
        <f>((M104*J104/1000000+D104-F104-(Motpart!D24+Motpart!E24+Motpart!F24)*0.06))/(J104)*1000000</f>
        <v>411.29701936340928</v>
      </c>
      <c r="N110" s="2110"/>
      <c r="O110" s="2110"/>
      <c r="P110" s="2110"/>
      <c r="Q110" s="2348" t="s">
        <v>1223</v>
      </c>
      <c r="R110" s="2110"/>
      <c r="S110" s="2110"/>
      <c r="T110" s="2110"/>
      <c r="U110" s="2110"/>
      <c r="V110" s="2110"/>
      <c r="W110" s="2110"/>
      <c r="X110" s="2110"/>
    </row>
    <row r="111" spans="1:26">
      <c r="A111" s="2355"/>
      <c r="B111" s="2360" t="s">
        <v>126</v>
      </c>
      <c r="C111" s="1683">
        <f>(C104-SUM(C105:C110)-D104)*-1</f>
        <v>-1.9999999999527063E-3</v>
      </c>
      <c r="D111" s="981"/>
      <c r="E111" s="1684">
        <f>(E104-SUM(E105:E109)-F104-(Motpart!D24+Motpart!E24+Motpart!F24)*0.06)*-1</f>
        <v>-1.1999999991729737E-4</v>
      </c>
      <c r="F111" s="981"/>
      <c r="G111" s="1685">
        <f>(G104-SUM(G105:G109))*-1</f>
        <v>2.8421709430404007E-14</v>
      </c>
      <c r="H111" s="1219"/>
      <c r="I111" s="2600"/>
      <c r="J111" s="1816"/>
      <c r="K111" s="1816"/>
      <c r="L111" s="2323"/>
      <c r="M111" s="2325"/>
      <c r="N111" s="2110"/>
      <c r="O111" s="2110"/>
      <c r="P111" s="2110"/>
      <c r="Q111" s="2348" t="s">
        <v>1192</v>
      </c>
      <c r="R111" s="2110"/>
      <c r="S111" s="2110"/>
      <c r="T111" s="2110"/>
      <c r="U111" s="2110"/>
      <c r="V111" s="2110"/>
      <c r="W111" s="2110"/>
      <c r="X111" s="2110"/>
    </row>
    <row r="112" spans="1:26" ht="13.5" thickBot="1">
      <c r="A112" s="1686"/>
      <c r="B112" s="1687"/>
      <c r="C112" s="1689" t="str">
        <f>IF(ABS(C111)&lt;100,"",IF(C104=0,"C104",IF(ABS(C111/C104)&gt;0.01,"C111")))</f>
        <v/>
      </c>
      <c r="D112" s="1690"/>
      <c r="E112" s="1691" t="str">
        <f>IF(ABS(E111)&lt;100,"",IF(E104=0,"E104",IF(ABS(E111/E104)&gt;0.01,"E111")))</f>
        <v/>
      </c>
      <c r="F112" s="1690"/>
      <c r="G112" s="1692" t="str">
        <f>IF(ABS(G111)&lt;100,"",IF(G104=0,"G104",IF(ABS(G111/G104)&gt;0.01,"G111")))</f>
        <v/>
      </c>
      <c r="H112" s="1688"/>
      <c r="I112" s="1817"/>
      <c r="J112" s="1817"/>
      <c r="K112" s="1817"/>
      <c r="L112" s="1817"/>
      <c r="M112" s="2326"/>
      <c r="N112" s="2110"/>
      <c r="O112" s="2110"/>
      <c r="P112" s="2110"/>
      <c r="Q112" s="2349"/>
      <c r="X112" s="2110"/>
    </row>
    <row r="113" ht="13.5" thickTop="1"/>
  </sheetData>
  <sheetProtection algorithmName="SHA-512" hashValue="rmC9YGRaq6iICFAnrZSquqdvnvZkAmL62PSdhtLLSIJk87J5h0WTsC9Z6k5XE7WXzPsPU57L6fJXUYuIBUYGvQ==" saltValue="nRpMQi1WGQ7igm7VTY+RdA==" spinCount="100000" sheet="1" objects="1" scenarios="1"/>
  <customSheetViews>
    <customSheetView guid="{97D6DB71-3F4C-4C5F-8C5B-51E3EBF78932}" showPageBreaks="1" showGridLines="0" hiddenRows="1">
      <pane ySplit="7" topLeftCell="A8" activePane="bottomLeft" state="frozen"/>
      <selection pane="bottomLeft" activeCell="E93" sqref="E93"/>
      <pageMargins left="0.70866141732283472" right="0.70866141732283472" top="0.74803149606299213" bottom="0.74803149606299213" header="0.31496062992125984" footer="0.31496062992125984"/>
      <pageSetup paperSize="9" scale="96" orientation="landscape" r:id="rId1"/>
    </customSheetView>
    <customSheetView guid="{99FBDEB7-DD08-4F57-81F4-3C180403E153}" showGridLines="0" hiddenRows="1">
      <pane ySplit="7" topLeftCell="A9" activePane="bottomLeft" state="frozen"/>
      <selection pane="bottomLeft" activeCell="H2" sqref="H2"/>
      <pageMargins left="0.70866141732283472" right="0.70866141732283472" top="0.74803149606299213" bottom="0.74803149606299213" header="0.31496062992125984" footer="0.31496062992125984"/>
      <pageSetup paperSize="9" scale="96" orientation="landscape" r:id="rId2"/>
    </customSheetView>
    <customSheetView guid="{27C9E95B-0E2B-454F-B637-1CECC9579A10}" showGridLines="0" hiddenRows="1" hiddenColumns="1" showRuler="0">
      <pane ySplit="7" topLeftCell="A8" activePane="bottomLeft" state="frozen"/>
      <selection pane="bottomLeft" activeCell="G72" sqref="G72"/>
      <pageMargins left="0.70866141732283472" right="0.70866141732283472" top="0.74803149606299213" bottom="0.74803149606299213" header="0.31496062992125984" footer="0.31496062992125984"/>
      <pageSetup paperSize="9" scale="96" orientation="landscape" r:id="rId3"/>
      <headerFooter alignWithMargins="0"/>
    </customSheetView>
  </customSheetViews>
  <mergeCells count="14">
    <mergeCell ref="IV6:IV7"/>
    <mergeCell ref="Q4:Q7"/>
    <mergeCell ref="M4:M6"/>
    <mergeCell ref="D5:D7"/>
    <mergeCell ref="F5:F7"/>
    <mergeCell ref="G5:G7"/>
    <mergeCell ref="I4:L5"/>
    <mergeCell ref="I38:I42"/>
    <mergeCell ref="I108:I111"/>
    <mergeCell ref="I51:I55"/>
    <mergeCell ref="I65:I69"/>
    <mergeCell ref="I79:I83"/>
    <mergeCell ref="I90:I94"/>
    <mergeCell ref="I99:I102"/>
  </mergeCells>
  <phoneticPr fontId="89" type="noConversion"/>
  <conditionalFormatting sqref="C11">
    <cfRule type="expression" dxfId="73" priority="25" stopIfTrue="1">
      <formula>C11&gt;C8</formula>
    </cfRule>
  </conditionalFormatting>
  <conditionalFormatting sqref="C19 E19 G19 C11 E11 G11 E13 E21 C27 E27 G27 E32:E38 G32:G38 C32:C39 E45:E51 G45:G51 C45:C52 E59:E65 G59:G65 C59:C66 E73:E79 G73:G79 C73:C80 E87:E91 G87:G91 C87:C92 E96:E100 G96:G100 C96:C101">
    <cfRule type="cellIs" dxfId="72" priority="30" stopIfTrue="1" operator="lessThan">
      <formula>-500</formula>
    </cfRule>
  </conditionalFormatting>
  <conditionalFormatting sqref="C19">
    <cfRule type="expression" dxfId="71" priority="28" stopIfTrue="1">
      <formula>C19&gt;C16</formula>
    </cfRule>
  </conditionalFormatting>
  <conditionalFormatting sqref="C27">
    <cfRule type="expression" dxfId="70" priority="20" stopIfTrue="1">
      <formula>C27&gt;C24</formula>
    </cfRule>
  </conditionalFormatting>
  <conditionalFormatting sqref="C40">
    <cfRule type="expression" dxfId="69" priority="49" stopIfTrue="1">
      <formula>ABS(C40/C31)&gt;0.03</formula>
    </cfRule>
  </conditionalFormatting>
  <conditionalFormatting sqref="C53">
    <cfRule type="expression" dxfId="68" priority="44" stopIfTrue="1">
      <formula>ABS(C53/C44)&gt;0.03</formula>
    </cfRule>
  </conditionalFormatting>
  <conditionalFormatting sqref="C67">
    <cfRule type="expression" dxfId="67" priority="43" stopIfTrue="1">
      <formula>ABS(C67/C57)&gt;0.03</formula>
    </cfRule>
  </conditionalFormatting>
  <conditionalFormatting sqref="C81">
    <cfRule type="expression" dxfId="66" priority="40" stopIfTrue="1">
      <formula>ABS(C81/C71)&gt;0.03</formula>
    </cfRule>
  </conditionalFormatting>
  <conditionalFormatting sqref="C93">
    <cfRule type="expression" dxfId="65" priority="37" stopIfTrue="1">
      <formula>ABS(C93/C85)&gt;0.03</formula>
    </cfRule>
  </conditionalFormatting>
  <conditionalFormatting sqref="C102:C103">
    <cfRule type="expression" dxfId="64" priority="34" stopIfTrue="1">
      <formula>ABS(C102/C94)&gt;0.03</formula>
    </cfRule>
  </conditionalFormatting>
  <conditionalFormatting sqref="C111:C112">
    <cfRule type="expression" dxfId="63" priority="6" stopIfTrue="1">
      <formula>ABS(C111/C103)&gt;0.03</formula>
    </cfRule>
  </conditionalFormatting>
  <conditionalFormatting sqref="E11">
    <cfRule type="expression" dxfId="62" priority="24" stopIfTrue="1">
      <formula>E11&gt;E8</formula>
    </cfRule>
  </conditionalFormatting>
  <conditionalFormatting sqref="E13">
    <cfRule type="expression" dxfId="61" priority="22" stopIfTrue="1">
      <formula>E13&gt;E12</formula>
    </cfRule>
  </conditionalFormatting>
  <conditionalFormatting sqref="E19">
    <cfRule type="expression" dxfId="60" priority="27" stopIfTrue="1">
      <formula>E19&gt;E16</formula>
    </cfRule>
  </conditionalFormatting>
  <conditionalFormatting sqref="E21">
    <cfRule type="expression" dxfId="59" priority="21" stopIfTrue="1">
      <formula>E21&gt;E20</formula>
    </cfRule>
  </conditionalFormatting>
  <conditionalFormatting sqref="E27">
    <cfRule type="expression" dxfId="58" priority="19" stopIfTrue="1">
      <formula>E27&gt;E24</formula>
    </cfRule>
  </conditionalFormatting>
  <conditionalFormatting sqref="E40">
    <cfRule type="expression" dxfId="57" priority="48" stopIfTrue="1">
      <formula>ABS(E40/E31)&gt;0.03</formula>
    </cfRule>
  </conditionalFormatting>
  <conditionalFormatting sqref="E53">
    <cfRule type="expression" dxfId="56" priority="46" stopIfTrue="1">
      <formula>ABS(E53/E43)&gt;0.03</formula>
    </cfRule>
  </conditionalFormatting>
  <conditionalFormatting sqref="E67">
    <cfRule type="expression" dxfId="55" priority="42" stopIfTrue="1">
      <formula>ABS(E67/E57)&gt;0.03</formula>
    </cfRule>
  </conditionalFormatting>
  <conditionalFormatting sqref="E81">
    <cfRule type="expression" dxfId="54" priority="39" stopIfTrue="1">
      <formula>ABS(E81/E71)&gt;0.03</formula>
    </cfRule>
  </conditionalFormatting>
  <conditionalFormatting sqref="E93">
    <cfRule type="expression" dxfId="53" priority="36" stopIfTrue="1">
      <formula>ABS(E93/E85)&gt;0.03</formula>
    </cfRule>
  </conditionalFormatting>
  <conditionalFormatting sqref="E102:E103">
    <cfRule type="expression" dxfId="52" priority="33" stopIfTrue="1">
      <formula>ABS(E102/E94)&gt;0.03</formula>
    </cfRule>
  </conditionalFormatting>
  <conditionalFormatting sqref="E105:E109 G105:G109 C105:C110">
    <cfRule type="cellIs" dxfId="51" priority="3" stopIfTrue="1" operator="lessThan">
      <formula>-500</formula>
    </cfRule>
  </conditionalFormatting>
  <conditionalFormatting sqref="E111:E112">
    <cfRule type="expression" dxfId="50" priority="5" stopIfTrue="1">
      <formula>ABS(E111/E103)&gt;0.03</formula>
    </cfRule>
  </conditionalFormatting>
  <conditionalFormatting sqref="G11 G32:G38 G59:G65">
    <cfRule type="expression" dxfId="49" priority="88" stopIfTrue="1">
      <formula>G11&gt;E11</formula>
    </cfRule>
  </conditionalFormatting>
  <conditionalFormatting sqref="G11">
    <cfRule type="expression" dxfId="48" priority="23" stopIfTrue="1">
      <formula>G11&gt;G8</formula>
    </cfRule>
  </conditionalFormatting>
  <conditionalFormatting sqref="G19">
    <cfRule type="expression" dxfId="47" priority="26" stopIfTrue="1">
      <formula>G19&gt;G16</formula>
    </cfRule>
    <cfRule type="expression" dxfId="46" priority="51" stopIfTrue="1">
      <formula>G19&gt;E19</formula>
    </cfRule>
  </conditionalFormatting>
  <conditionalFormatting sqref="G27">
    <cfRule type="expression" dxfId="45" priority="18" stopIfTrue="1">
      <formula>G27&gt;G24</formula>
    </cfRule>
    <cfRule type="expression" dxfId="44" priority="52" stopIfTrue="1">
      <formula>G27&gt;E27</formula>
    </cfRule>
  </conditionalFormatting>
  <conditionalFormatting sqref="G32:G38 G59:G65 G45:G51 G73:G79 G87:G91 G96:G100">
    <cfRule type="expression" dxfId="43" priority="89" stopIfTrue="1">
      <formula>G32&gt;E32</formula>
    </cfRule>
  </conditionalFormatting>
  <conditionalFormatting sqref="G40">
    <cfRule type="expression" dxfId="42" priority="47" stopIfTrue="1">
      <formula>ABS(G40/G31)&gt;0.03</formula>
    </cfRule>
  </conditionalFormatting>
  <conditionalFormatting sqref="G45:G51">
    <cfRule type="expression" dxfId="41" priority="77" stopIfTrue="1">
      <formula>G45&gt;E45</formula>
    </cfRule>
  </conditionalFormatting>
  <conditionalFormatting sqref="G53">
    <cfRule type="expression" dxfId="40" priority="45" stopIfTrue="1">
      <formula>ABS(G53/G43)&gt;0.03</formula>
    </cfRule>
  </conditionalFormatting>
  <conditionalFormatting sqref="G67">
    <cfRule type="expression" dxfId="39" priority="41" stopIfTrue="1">
      <formula>ABS(G67/G57)&gt;0.03</formula>
    </cfRule>
  </conditionalFormatting>
  <conditionalFormatting sqref="G81">
    <cfRule type="expression" dxfId="38" priority="38" stopIfTrue="1">
      <formula>ABS(G81/G71)&gt;0.03</formula>
    </cfRule>
  </conditionalFormatting>
  <conditionalFormatting sqref="G93">
    <cfRule type="expression" dxfId="37" priority="35" stopIfTrue="1">
      <formula>ABS(G93/G85)&gt;0.03</formula>
    </cfRule>
  </conditionalFormatting>
  <conditionalFormatting sqref="G102:G103">
    <cfRule type="expression" dxfId="36" priority="32" stopIfTrue="1">
      <formula>ABS(G102/G94)&gt;0.03</formula>
    </cfRule>
  </conditionalFormatting>
  <conditionalFormatting sqref="G111:G112">
    <cfRule type="expression" dxfId="35" priority="4" stopIfTrue="1">
      <formula>ABS(G111/G103)&gt;0.03</formula>
    </cfRule>
  </conditionalFormatting>
  <dataValidations count="2">
    <dataValidation type="decimal" operator="lessThan" allowBlank="1" showInputMessage="1" showErrorMessage="1" error="Beloppen ska vara i 1000 tal kronor" sqref="C65489:C65490 G65517:K65517 L65533 C65480:C65482 C65464:C65465 E65464:F65465 E65472:F65473 C65472:C65473 E65480:F65482 E65489:F65490" xr:uid="{00000000-0002-0000-0800-000000000000}">
      <formula1>99999999</formula1>
    </dataValidation>
    <dataValidation type="decimal" operator="lessThan" allowBlank="1" showInputMessage="1" showErrorMessage="1" error="Beloppet ska vara i 1000 tal kronor" sqref="C11 G96:G100 E96:E100 E11 G87:G91 E87:E91 C87:C92 G73:G79 E73:E79 C73:C80 G59:G65 E59:E65 C59:C66 G45:G51 E45:E51 C45:C52 G32:G38 E32:E38 C32:C39 G27 E27 C27 C19 E21 E19 G19 G11 E13 C96:C101 G105:G109 E105:E109 C105:C110" xr:uid="{00000000-0002-0000-0800-000001000000}">
      <formula1>99999999</formula1>
    </dataValidation>
  </dataValidations>
  <pageMargins left="0.47" right="0.47" top="0.74803149606299213" bottom="0.74803149606299213" header="0.31" footer="0.31496062992125984"/>
  <pageSetup paperSize="9" scale="96" orientation="landscape" r:id="rId4"/>
  <legacyDrawing r:id="rId5"/>
  <extLst>
    <ext xmlns:x14="http://schemas.microsoft.com/office/spreadsheetml/2009/9/main" uri="{78C0D931-6437-407d-A8EE-F0AAD7539E65}">
      <x14:conditionalFormattings>
        <x14:conditionalFormatting xmlns:xm="http://schemas.microsoft.com/office/excel/2006/main">
          <x14:cfRule type="expression" priority="8" id="{917F4404-C110-4D85-A7BD-AEA4F7FA6FA8}">
            <xm:f>SUM(E38-G38+100)&lt;Motpart!AA18</xm:f>
            <x14:dxf>
              <fill>
                <patternFill>
                  <bgColor theme="9" tint="0.59996337778862885"/>
                </patternFill>
              </fill>
            </x14:dxf>
          </x14:cfRule>
          <xm:sqref>I38:I42</xm:sqref>
        </x14:conditionalFormatting>
        <x14:conditionalFormatting xmlns:xm="http://schemas.microsoft.com/office/excel/2006/main">
          <x14:cfRule type="expression" priority="14" id="{28489C6D-3605-44EB-AF30-2D3BD554AD4E}">
            <xm:f>SUM(E51-G51+100)&lt;Motpart!AA19</xm:f>
            <x14:dxf>
              <font>
                <b val="0"/>
                <i val="0"/>
                <color auto="1"/>
              </font>
              <fill>
                <patternFill>
                  <bgColor theme="9" tint="0.59996337778862885"/>
                </patternFill>
              </fill>
            </x14:dxf>
          </x14:cfRule>
          <xm:sqref>I51:I55</xm:sqref>
        </x14:conditionalFormatting>
        <x14:conditionalFormatting xmlns:xm="http://schemas.microsoft.com/office/excel/2006/main">
          <x14:cfRule type="expression" priority="13" id="{468A7900-2D84-423B-9B3F-94D8EAA45899}">
            <xm:f>SUM(E65-G65+100)&lt;Motpart!AA20</xm:f>
            <x14:dxf>
              <font>
                <b val="0"/>
                <i val="0"/>
                <color auto="1"/>
              </font>
              <fill>
                <patternFill>
                  <bgColor theme="9" tint="0.59996337778862885"/>
                </patternFill>
              </fill>
            </x14:dxf>
          </x14:cfRule>
          <xm:sqref>I65:I68</xm:sqref>
        </x14:conditionalFormatting>
        <x14:conditionalFormatting xmlns:xm="http://schemas.microsoft.com/office/excel/2006/main">
          <x14:cfRule type="expression" priority="12" id="{4F84AA19-49AA-46E8-9ADE-79F22FCE6F07}">
            <xm:f>SUM(E79-G79+100)&lt;Motpart!AA21</xm:f>
            <x14:dxf>
              <font>
                <b val="0"/>
                <i val="0"/>
                <color auto="1"/>
              </font>
              <fill>
                <patternFill>
                  <bgColor theme="9" tint="0.59996337778862885"/>
                </patternFill>
              </fill>
            </x14:dxf>
          </x14:cfRule>
          <xm:sqref>I79:I81</xm:sqref>
        </x14:conditionalFormatting>
        <x14:conditionalFormatting xmlns:xm="http://schemas.microsoft.com/office/excel/2006/main">
          <x14:cfRule type="expression" priority="11" id="{FE6AF082-1113-4046-BE7C-F09FCD0440EC}">
            <xm:f>SUM(E91-G91+100)&lt;Motpart!AA22</xm:f>
            <x14:dxf>
              <font>
                <b val="0"/>
                <i val="0"/>
                <color auto="1"/>
              </font>
              <fill>
                <patternFill>
                  <bgColor theme="9" tint="0.59996337778862885"/>
                </patternFill>
              </fill>
            </x14:dxf>
          </x14:cfRule>
          <xm:sqref>I90:I91</xm:sqref>
        </x14:conditionalFormatting>
        <x14:conditionalFormatting xmlns:xm="http://schemas.microsoft.com/office/excel/2006/main">
          <x14:cfRule type="expression" priority="9" id="{AA617564-E5DF-4D7E-8EA7-BE3A8CD251A2}">
            <xm:f>SUM(E100-G100+100)&lt;Motpart!AA23</xm:f>
            <x14:dxf>
              <font>
                <color auto="1"/>
              </font>
              <fill>
                <patternFill>
                  <bgColor theme="9" tint="0.59996337778862885"/>
                </patternFill>
              </fill>
            </x14:dxf>
          </x14:cfRule>
          <xm:sqref>I99</xm:sqref>
        </x14:conditionalFormatting>
        <x14:conditionalFormatting xmlns:xm="http://schemas.microsoft.com/office/excel/2006/main">
          <x14:cfRule type="expression" priority="1" id="{2AEDF91C-1B73-4577-A410-FC85007A5F9C}">
            <xm:f>SUM(E109-G109+100)&lt;Motpart!AA24</xm:f>
            <x14:dxf>
              <font>
                <color auto="1"/>
              </font>
              <fill>
                <patternFill>
                  <bgColor theme="9" tint="0.59996337778862885"/>
                </patternFill>
              </fill>
            </x14:dxf>
          </x14:cfRule>
          <xm:sqref>I108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11</vt:i4>
      </vt:variant>
      <vt:variant>
        <vt:lpstr>Namngivna områden</vt:lpstr>
      </vt:variant>
      <vt:variant>
        <vt:i4>95</vt:i4>
      </vt:variant>
    </vt:vector>
  </HeadingPairs>
  <TitlesOfParts>
    <vt:vector size="106" baseType="lpstr">
      <vt:lpstr>Information</vt:lpstr>
      <vt:lpstr>RR</vt:lpstr>
      <vt:lpstr>BR</vt:lpstr>
      <vt:lpstr>Verks int o kostn</vt:lpstr>
      <vt:lpstr>Skatter, bidrag o fin poster</vt:lpstr>
      <vt:lpstr>Investeringar</vt:lpstr>
      <vt:lpstr>Drift</vt:lpstr>
      <vt:lpstr>Motpart</vt:lpstr>
      <vt:lpstr>Pedagogisk verksamhet</vt:lpstr>
      <vt:lpstr>Äldre o personer funktionsn</vt:lpstr>
      <vt:lpstr>IFO</vt:lpstr>
      <vt:lpstr>'Skatter, bidrag o fin poster'!_GoBack</vt:lpstr>
      <vt:lpstr>Affärsverksamhet</vt:lpstr>
      <vt:lpstr>Balanskravsutredningen</vt:lpstr>
      <vt:lpstr>Barn_o_ungdomsvård</vt:lpstr>
      <vt:lpstr>Barnomsorg</vt:lpstr>
      <vt:lpstr>Bidrag_o_transfer.</vt:lpstr>
      <vt:lpstr>Block_1</vt:lpstr>
      <vt:lpstr>Block_2</vt:lpstr>
      <vt:lpstr>Block_3</vt:lpstr>
      <vt:lpstr>Block_6</vt:lpstr>
      <vt:lpstr>BR</vt:lpstr>
      <vt:lpstr>Drift</vt:lpstr>
      <vt:lpstr>EKchef</vt:lpstr>
      <vt:lpstr>Ekcheftel</vt:lpstr>
      <vt:lpstr>Epost1RS</vt:lpstr>
      <vt:lpstr>Epost2RS</vt:lpstr>
      <vt:lpstr>Epostaldre</vt:lpstr>
      <vt:lpstr>EpostAO</vt:lpstr>
      <vt:lpstr>EpostEkchef</vt:lpstr>
      <vt:lpstr>Epostforskola</vt:lpstr>
      <vt:lpstr>Epostgrund</vt:lpstr>
      <vt:lpstr>Epostgymn</vt:lpstr>
      <vt:lpstr>Eposthandik</vt:lpstr>
      <vt:lpstr>Epostifo</vt:lpstr>
      <vt:lpstr>EpostPV</vt:lpstr>
      <vt:lpstr>epostpvchef</vt:lpstr>
      <vt:lpstr>epostvochef</vt:lpstr>
      <vt:lpstr>Epostvux</vt:lpstr>
      <vt:lpstr>Extraordinära_RR</vt:lpstr>
      <vt:lpstr>Familjerätt</vt:lpstr>
      <vt:lpstr>Fritidshem</vt:lpstr>
      <vt:lpstr>Funktionsnedsättning</vt:lpstr>
      <vt:lpstr>Förskola</vt:lpstr>
      <vt:lpstr>Förskoleklass</vt:lpstr>
      <vt:lpstr>Förändring_anläggningstillgångar</vt:lpstr>
      <vt:lpstr>Grundskola</vt:lpstr>
      <vt:lpstr>Grundsärskola</vt:lpstr>
      <vt:lpstr>Grundvux</vt:lpstr>
      <vt:lpstr>Gymnasieskola</vt:lpstr>
      <vt:lpstr>Gymnasiesärskola</vt:lpstr>
      <vt:lpstr>Gymnvux</vt:lpstr>
      <vt:lpstr>inv7_15</vt:lpstr>
      <vt:lpstr>invanare</vt:lpstr>
      <vt:lpstr>Investeringar</vt:lpstr>
      <vt:lpstr>Invånare</vt:lpstr>
      <vt:lpstr>Jämförelsestörande_RR</vt:lpstr>
      <vt:lpstr>Kontaktpers1RS</vt:lpstr>
      <vt:lpstr>Kontaktpers2RS</vt:lpstr>
      <vt:lpstr>Kontaktpersaldre</vt:lpstr>
      <vt:lpstr>KontaktpersAO</vt:lpstr>
      <vt:lpstr>Kontaktpersforskola</vt:lpstr>
      <vt:lpstr>Kontaktpersgrund</vt:lpstr>
      <vt:lpstr>Kontaktpersgymn</vt:lpstr>
      <vt:lpstr>Kontaktpershandik</vt:lpstr>
      <vt:lpstr>Kontaktpersifo</vt:lpstr>
      <vt:lpstr>KontaktpersPV</vt:lpstr>
      <vt:lpstr>Kontaktpersvux</vt:lpstr>
      <vt:lpstr>Kontakttel1RS</vt:lpstr>
      <vt:lpstr>Kontakttel2RS</vt:lpstr>
      <vt:lpstr>Kontakttelaldre</vt:lpstr>
      <vt:lpstr>KontakttelAO</vt:lpstr>
      <vt:lpstr>Kontakttelforskola</vt:lpstr>
      <vt:lpstr>Kontakttelgrund</vt:lpstr>
      <vt:lpstr>Kontakttelgymn</vt:lpstr>
      <vt:lpstr>Kontakttelhandik</vt:lpstr>
      <vt:lpstr>Kontakttelifo</vt:lpstr>
      <vt:lpstr>Kontakttelpv</vt:lpstr>
      <vt:lpstr>Kontakttelpvchef</vt:lpstr>
      <vt:lpstr>Kontakttelvux</vt:lpstr>
      <vt:lpstr>Kontakttevochef</vt:lpstr>
      <vt:lpstr>Köp_huvudvht</vt:lpstr>
      <vt:lpstr>LSS</vt:lpstr>
      <vt:lpstr>Pvchef</vt:lpstr>
      <vt:lpstr>SFI</vt:lpstr>
      <vt:lpstr>Skatter_bidrag_finpost</vt:lpstr>
      <vt:lpstr>Spec_intäkter</vt:lpstr>
      <vt:lpstr>Spec_VoO</vt:lpstr>
      <vt:lpstr>Tillägg_1_Invest</vt:lpstr>
      <vt:lpstr>Tillägg_2_Invest</vt:lpstr>
      <vt:lpstr>Utbildning</vt:lpstr>
      <vt:lpstr>Drift!Utskriftsområde</vt:lpstr>
      <vt:lpstr>Information!Utskriftsområde</vt:lpstr>
      <vt:lpstr>Investeringar!Utskriftsområde</vt:lpstr>
      <vt:lpstr>Motpart!Utskriftsområde</vt:lpstr>
      <vt:lpstr>RR!Utskriftsområde</vt:lpstr>
      <vt:lpstr>'Äldre o personer funktionsn'!Utskriftsområde</vt:lpstr>
      <vt:lpstr>Drift!Utskriftsrubriker</vt:lpstr>
      <vt:lpstr>Motpart!Utskriftsrubriker</vt:lpstr>
      <vt:lpstr>Vht_int</vt:lpstr>
      <vt:lpstr>Vht_kostn</vt:lpstr>
      <vt:lpstr>VOchef</vt:lpstr>
      <vt:lpstr>Vuxna_missb.</vt:lpstr>
      <vt:lpstr>ÄF_inkl_IFO</vt:lpstr>
      <vt:lpstr>Äldre</vt:lpstr>
      <vt:lpstr>Övr._o_ek.bistånd</vt:lpstr>
    </vt:vector>
  </TitlesOfParts>
  <Manager/>
  <Company>SCB - Statistikmyndigheten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 Kommun 2024</dc:title>
  <dc:subject>Räkenskapssammandrag för kommuner</dc:subject>
  <dc:creator>SCB</dc:creator>
  <dc:description>RIKSTOTAL</dc:description>
  <cp:lastModifiedBy>Glanzelius Marie ESA/BFN/OE-Ö</cp:lastModifiedBy>
  <cp:lastPrinted>2025-06-10T07:00:28Z</cp:lastPrinted>
  <dcterms:created xsi:type="dcterms:W3CDTF">2025-06-10T07:00:28Z</dcterms:created>
  <dcterms:modified xsi:type="dcterms:W3CDTF">2025-06-10T07:29:19Z</dcterms:modified>
</cp:coreProperties>
</file>