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updateLinks="never" codeName="ThisWorkbook"/>
  <mc:AlternateContent xmlns:mc="http://schemas.openxmlformats.org/markup-compatibility/2006">
    <mc:Choice Requires="x15">
      <x15ac:absPath xmlns:x15ac="http://schemas.microsoft.com/office/spreadsheetml/2010/11/ac" url="P:\Prod\NR\Offentlig Ekonomi\RS\RS2024\Rikstotal\"/>
    </mc:Choice>
  </mc:AlternateContent>
  <xr:revisionPtr revIDLastSave="0" documentId="13_ncr:1_{BBA8CF34-14CA-4AD7-A357-77CB7CA515B2}" xr6:coauthVersionLast="47" xr6:coauthVersionMax="47" xr10:uidLastSave="{00000000-0000-0000-0000-000000000000}"/>
  <bookViews>
    <workbookView xWindow="645" yWindow="150" windowWidth="28125" windowHeight="14940" tabRatio="806"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Motpart!$N$49</definedName>
    <definedName name="Block_1">Drift!$Z$11</definedName>
    <definedName name="Block_2">Drift!$Z$18</definedName>
    <definedName name="Block_3">Drift!$Z$31</definedName>
    <definedName name="Block_6">Drift!$Z$86</definedName>
    <definedName name="BR">BR!$A$94</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funktionsn'!$T$23</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#REF!</definedName>
    <definedName name="Kontrollblad_10">#REF!</definedName>
    <definedName name="Kontrollblad_11">#REF!</definedName>
    <definedName name="Kontrollblad_12">#REF!</definedName>
    <definedName name="Kontrollblad_13">#REF!</definedName>
    <definedName name="Kontrollblad_14">#REF!</definedName>
    <definedName name="Kontrollblad_15">#REF!</definedName>
    <definedName name="Kontrollblad_16">#REF!</definedName>
    <definedName name="Kontrollblad_17">#REF!</definedName>
    <definedName name="Kontrollblad_18">#REF!</definedName>
    <definedName name="Kontrollblad_19">#REF!</definedName>
    <definedName name="Kontrollblad_2">#REF!</definedName>
    <definedName name="Kontrollblad_3">#REF!</definedName>
    <definedName name="Kontrollblad_4">#REF!</definedName>
    <definedName name="Kontrollblad_5">#REF!</definedName>
    <definedName name="Kontrollblad_6">#REF!</definedName>
    <definedName name="Kontrollblad_7">#REF!</definedName>
    <definedName name="Kontrollblad_8">#REF!</definedName>
    <definedName name="Kontrollblad_9">#REF!</definedName>
    <definedName name="Köp_huvudvht">Motpart!$C$49</definedName>
    <definedName name="LSS">'Äldre o personer funktionsn'!$T$33</definedName>
    <definedName name="Pvchef">Information!$B$26</definedName>
    <definedName name="SFI">'Pedagogisk verksamhet'!$R$105</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Motpart!$Y$49</definedName>
    <definedName name="Spec_VoO">'Äldre o personer funktionsn'!$R$47</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Motpart!$A$1:$AD$53</definedName>
    <definedName name="_xlnm.Print_Area" localSheetId="1">RR!$A$1:$K$57</definedName>
    <definedName name="_xlnm.Print_Area" localSheetId="9">'Äldre o personer funktionsn'!$A$1:$U$61</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BR!$100:$65542,BR!#REF!,BR!$95:$95</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Motpart!$55:$65538</definedName>
    <definedName name="Z_27C9E95B_0E2B_454F_B637_1CECC9579A10_.wvu.Rows" localSheetId="8" hidden="1">'Pedagogisk verksamhet'!$105:$65536</definedName>
    <definedName name="Z_27C9E95B_0E2B_454F_B637_1CECC9579A10_.wvu.Rows" localSheetId="1" hidden="1">RR!$67:$65545,RR!$59:$59</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funktionsn'!$63:$65538</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BR!#REF!,BR!#REF!,BR!$95:$95</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RR!#REF!,RR!$59:$59</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BR!#REF!,BR!#REF!,BR!$95:$95</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RR!#REF!,RR!$59:$59</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BR!$100:$65542,BR!#REF!,BR!$95:$95</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Motpart!$55:$65538</definedName>
    <definedName name="Z_FA98FB86_76DB_4A0E_BD94_632DC6B7BC81_.wvu.Rows" localSheetId="8" hidden="1">'Pedagogisk verksamhet'!$105:$65536</definedName>
    <definedName name="Z_FA98FB86_76DB_4A0E_BD94_632DC6B7BC81_.wvu.Rows" localSheetId="1" hidden="1">RR!$67:$65545,RR!$59:$59</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funktionsn'!$63:$65538</definedName>
    <definedName name="År">2024</definedName>
    <definedName name="ÄF_inkl_IFO">Drift!$Z$72</definedName>
    <definedName name="Äldre">'Äldre o personer funktionsn'!$T$12</definedName>
    <definedName name="Övr._o_ek.bistånd">IFO!$P$30</definedName>
  </definedNames>
  <calcPr calcId="191029"/>
  <customWorkbookViews>
    <customWorkbookView name="Håkan Wilén - Personlig vy" guid="{FA98FB86-76DB-4A0E-BD94-632DC6B7BC81}" mergeInterval="0" personalView="1" maximized="1" xWindow="1" yWindow="1" windowWidth="1680" windowHeight="829" tabRatio="806" activeSheetId="3"/>
    <customWorkbookView name="scbelie - Personlig vy" guid="{97D6DB71-3F4C-4C5F-8C5B-51E3EBF78932}" mergeInterval="0" personalView="1" maximized="1" xWindow="1" yWindow="1" windowWidth="1676" windowHeight="829" tabRatio="806" activeSheetId="11"/>
    <customWorkbookView name="scbingj - Personlig vy" guid="{99FBDEB7-DD08-4F57-81F4-3C180403E153}" mergeInterval="0" personalView="1" maximized="1" xWindow="1" yWindow="1" windowWidth="1916" windowHeight="839" tabRatio="806" activeSheetId="10"/>
    <customWorkbookView name="SCB - Personlig vy" guid="{27C9E95B-0E2B-454F-B637-1CECC9579A10}" mergeInterval="0" personalView="1" maximized="1" windowWidth="1916" windowHeight="881" tabRatio="8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2" l="1"/>
  <c r="I33" i="12"/>
  <c r="I32" i="12"/>
  <c r="I31" i="12"/>
  <c r="I30" i="12"/>
  <c r="I29" i="12"/>
  <c r="I26" i="12"/>
  <c r="I25" i="12"/>
  <c r="I24" i="12"/>
  <c r="I23" i="12"/>
  <c r="I22" i="12"/>
  <c r="I21" i="12"/>
  <c r="I18" i="12"/>
  <c r="I17" i="12"/>
  <c r="I16" i="12"/>
  <c r="I15" i="12"/>
  <c r="I14" i="12"/>
  <c r="I13" i="12"/>
  <c r="I12" i="12"/>
  <c r="J1" i="12"/>
  <c r="A1" i="12"/>
  <c r="M36" i="11"/>
  <c r="M35" i="11"/>
  <c r="M34" i="11"/>
  <c r="M33" i="11"/>
  <c r="M32" i="11"/>
  <c r="M28" i="11"/>
  <c r="M27" i="11"/>
  <c r="M26" i="11"/>
  <c r="M25" i="11"/>
  <c r="M24" i="11"/>
  <c r="M23" i="11"/>
  <c r="M22" i="11"/>
  <c r="M18" i="11"/>
  <c r="M17" i="11"/>
  <c r="M16" i="11"/>
  <c r="M15" i="11"/>
  <c r="M14" i="11"/>
  <c r="M13" i="11"/>
  <c r="M12" i="11"/>
  <c r="P1" i="11"/>
  <c r="A1" i="11"/>
  <c r="M99" i="10"/>
  <c r="M98" i="10"/>
  <c r="M97" i="10"/>
  <c r="M96" i="10"/>
  <c r="M91" i="10"/>
  <c r="M90" i="10"/>
  <c r="M9" i="10"/>
  <c r="M89" i="10"/>
  <c r="M88" i="10"/>
  <c r="M87" i="10"/>
  <c r="M84" i="10"/>
  <c r="M83" i="10"/>
  <c r="M82" i="10"/>
  <c r="M81" i="10"/>
  <c r="M80" i="10"/>
  <c r="M8" i="10"/>
  <c r="M79" i="10"/>
  <c r="M78" i="10"/>
  <c r="M77" i="10"/>
  <c r="M76" i="10"/>
  <c r="M75" i="10"/>
  <c r="M74" i="10"/>
  <c r="M73" i="10"/>
  <c r="M70" i="10"/>
  <c r="M69" i="10"/>
  <c r="M68" i="10"/>
  <c r="M67" i="10"/>
  <c r="M66" i="10"/>
  <c r="M65" i="10"/>
  <c r="M64" i="10"/>
  <c r="M63" i="10"/>
  <c r="M62" i="10"/>
  <c r="M61" i="10"/>
  <c r="M60" i="10"/>
  <c r="M59" i="10"/>
  <c r="M56" i="10"/>
  <c r="M55" i="10"/>
  <c r="M54" i="10"/>
  <c r="M53" i="10"/>
  <c r="M52" i="10"/>
  <c r="M51" i="10"/>
  <c r="M50" i="10"/>
  <c r="M49" i="10"/>
  <c r="M48" i="10"/>
  <c r="M47" i="10"/>
  <c r="M46" i="10"/>
  <c r="M45" i="10"/>
  <c r="M42" i="10"/>
  <c r="M41" i="10"/>
  <c r="M40" i="10"/>
  <c r="M39" i="10"/>
  <c r="M38" i="10"/>
  <c r="M37" i="10"/>
  <c r="M36" i="10"/>
  <c r="M35" i="10"/>
  <c r="M34" i="10"/>
  <c r="M33" i="10"/>
  <c r="M32" i="10"/>
  <c r="M30" i="10"/>
  <c r="M29" i="10"/>
  <c r="M28" i="10"/>
  <c r="M27" i="10"/>
  <c r="M25" i="10"/>
  <c r="M24" i="10"/>
  <c r="M22" i="10"/>
  <c r="M21" i="10"/>
  <c r="M20" i="10"/>
  <c r="M19" i="10"/>
  <c r="M17" i="10"/>
  <c r="M16" i="10"/>
  <c r="M14" i="10"/>
  <c r="M13" i="10"/>
  <c r="M12" i="10"/>
  <c r="M110" i="10"/>
  <c r="M11" i="10"/>
  <c r="M109" i="10"/>
  <c r="M108" i="10"/>
  <c r="M107" i="10"/>
  <c r="M106" i="10"/>
  <c r="M105" i="10"/>
  <c r="M100" i="10"/>
  <c r="J1" i="10"/>
  <c r="A1" i="10"/>
  <c r="AA1" i="9"/>
  <c r="K1" i="9"/>
  <c r="S1" i="9"/>
  <c r="C1" i="9"/>
  <c r="Z1" i="8"/>
  <c r="J1" i="8"/>
  <c r="R1" i="8"/>
  <c r="C1" i="8"/>
  <c r="H1" i="7"/>
  <c r="A1" i="7"/>
  <c r="T1" i="20"/>
  <c r="A1" i="20"/>
  <c r="J1" i="19"/>
  <c r="M38" i="19"/>
  <c r="A1" i="19"/>
  <c r="D37" i="19"/>
  <c r="F1" i="4"/>
  <c r="A1" i="4"/>
  <c r="C47" i="17"/>
  <c r="C44" i="17"/>
  <c r="C43" i="17"/>
  <c r="G1" i="17"/>
  <c r="A1" i="17"/>
  <c r="F50" i="4" l="1"/>
  <c r="F49" i="4"/>
  <c r="B39" i="17" l="1"/>
  <c r="F58" i="4"/>
  <c r="F31" i="4" l="1"/>
  <c r="D31" i="4"/>
  <c r="U44" i="9" l="1"/>
  <c r="B38" i="17" l="1"/>
  <c r="B37" i="17"/>
  <c r="B41" i="4" l="1"/>
  <c r="Y43" i="9"/>
  <c r="M77" i="4" l="1"/>
  <c r="J59" i="19"/>
  <c r="J52" i="19"/>
  <c r="E22" i="19"/>
  <c r="C53" i="11"/>
  <c r="C54" i="11"/>
  <c r="I108" i="10"/>
  <c r="F104" i="10"/>
  <c r="D104" i="10"/>
  <c r="N24" i="9" l="1"/>
  <c r="X24" i="9" s="1"/>
  <c r="C24" i="9"/>
  <c r="W62" i="8" l="1"/>
  <c r="AH62" i="8" l="1"/>
  <c r="L17" i="11"/>
  <c r="K17" i="11"/>
  <c r="K16" i="11"/>
  <c r="E111" i="10" l="1"/>
  <c r="E112" i="10" s="1"/>
  <c r="O16" i="11"/>
  <c r="N27" i="9"/>
  <c r="X27" i="9" s="1"/>
  <c r="N26" i="9"/>
  <c r="X26" i="9" s="1"/>
  <c r="N25" i="9"/>
  <c r="C26" i="9"/>
  <c r="M26" i="9" s="1"/>
  <c r="N23" i="9"/>
  <c r="X23" i="9" s="1"/>
  <c r="C27" i="9"/>
  <c r="M27" i="9" s="1"/>
  <c r="M24" i="9"/>
  <c r="C23" i="9"/>
  <c r="G111" i="10" l="1"/>
  <c r="G112" i="10" s="1"/>
  <c r="M104" i="10" l="1"/>
  <c r="W48" i="8"/>
  <c r="AH48" i="8" s="1"/>
  <c r="E19" i="19"/>
  <c r="J57" i="4" l="1"/>
  <c r="F62" i="4"/>
  <c r="I11" i="10"/>
  <c r="I19" i="10"/>
  <c r="I27" i="10"/>
  <c r="B6" i="9"/>
  <c r="B6" i="8"/>
  <c r="I19" i="20"/>
  <c r="I5" i="20"/>
  <c r="B32" i="20"/>
  <c r="B18" i="20"/>
  <c r="B5" i="20"/>
  <c r="B38" i="19"/>
  <c r="B5" i="19"/>
  <c r="H12" i="4"/>
  <c r="B4" i="4"/>
  <c r="D81" i="4"/>
  <c r="M81" i="4"/>
  <c r="B35" i="17"/>
  <c r="B34" i="17"/>
  <c r="L74" i="4" l="1"/>
  <c r="N38" i="19"/>
  <c r="M39" i="19"/>
  <c r="N39" i="19"/>
  <c r="C46" i="19"/>
  <c r="L14" i="11" l="1"/>
  <c r="L15" i="11"/>
  <c r="K15" i="11"/>
  <c r="K14" i="11"/>
  <c r="K25" i="11"/>
  <c r="O15" i="11" l="1"/>
  <c r="F86" i="4" l="1"/>
  <c r="F83" i="4"/>
  <c r="F84" i="4"/>
  <c r="F85" i="4"/>
  <c r="F82" i="4"/>
  <c r="D38" i="11"/>
  <c r="E38" i="11"/>
  <c r="F38" i="11"/>
  <c r="G38" i="11"/>
  <c r="H38" i="11"/>
  <c r="I38" i="11"/>
  <c r="J38" i="11"/>
  <c r="C38" i="11"/>
  <c r="D30" i="11"/>
  <c r="E30" i="11"/>
  <c r="F30" i="11"/>
  <c r="G30" i="11"/>
  <c r="H30" i="11"/>
  <c r="I30" i="11"/>
  <c r="J30" i="11"/>
  <c r="C30" i="11"/>
  <c r="O14" i="11" l="1"/>
  <c r="AC43" i="9" l="1"/>
  <c r="F74" i="4"/>
  <c r="F71" i="4"/>
  <c r="F70" i="4"/>
  <c r="F69" i="4"/>
  <c r="J71" i="4" l="1"/>
  <c r="F67" i="4" l="1"/>
  <c r="L37" i="19" l="1"/>
  <c r="D31" i="19" l="1"/>
  <c r="L67" i="4"/>
  <c r="N36" i="9"/>
  <c r="N34" i="9"/>
  <c r="C36" i="9"/>
  <c r="C34" i="9"/>
  <c r="R37" i="11" l="1"/>
  <c r="R24" i="11"/>
  <c r="R14" i="11"/>
  <c r="E41" i="20" l="1"/>
  <c r="J7" i="7" l="1"/>
  <c r="L66" i="4"/>
  <c r="L65" i="4"/>
  <c r="E22" i="12" l="1"/>
  <c r="E13" i="12"/>
  <c r="J17" i="17" l="1"/>
  <c r="J32" i="19" l="1"/>
  <c r="J30" i="19"/>
  <c r="J25" i="19"/>
  <c r="N55" i="4" l="1"/>
  <c r="M54" i="4"/>
  <c r="M53" i="4"/>
  <c r="F53" i="4"/>
  <c r="F51" i="4"/>
  <c r="E63" i="4" l="1"/>
  <c r="D63" i="4"/>
  <c r="M78" i="4" s="1"/>
  <c r="D55" i="4"/>
  <c r="F55" i="4" s="1"/>
  <c r="M55" i="4" l="1"/>
  <c r="E34" i="19" l="1"/>
  <c r="F21" i="4"/>
  <c r="L75" i="4" l="1"/>
  <c r="J29" i="19" l="1"/>
  <c r="P125" i="8" l="1"/>
  <c r="C53" i="19" l="1"/>
  <c r="D54" i="19"/>
  <c r="G43" i="11" l="1"/>
  <c r="G42" i="11"/>
  <c r="AB43" i="9"/>
  <c r="AA43" i="9"/>
  <c r="Z43" i="9"/>
  <c r="I17" i="17" l="1"/>
  <c r="R15" i="20" l="1"/>
  <c r="R16" i="20"/>
  <c r="D39" i="20" l="1"/>
  <c r="K30" i="20"/>
  <c r="D28" i="20"/>
  <c r="K16" i="20"/>
  <c r="D14" i="20"/>
  <c r="C11" i="17" s="1"/>
  <c r="C11" i="20"/>
  <c r="C10" i="20"/>
  <c r="C9" i="20"/>
  <c r="R8" i="20"/>
  <c r="C12" i="17" l="1"/>
  <c r="K31" i="20"/>
  <c r="K17" i="20"/>
  <c r="E12" i="10" l="1"/>
  <c r="C26" i="10"/>
  <c r="C18" i="10"/>
  <c r="C10" i="10"/>
  <c r="J8" i="7" l="1"/>
  <c r="J10" i="7"/>
  <c r="J9" i="7"/>
  <c r="D76" i="19" l="1"/>
  <c r="D72" i="19"/>
  <c r="N68" i="19"/>
  <c r="N61" i="19"/>
  <c r="D59" i="19"/>
  <c r="J55" i="19"/>
  <c r="N50" i="19"/>
  <c r="N49" i="19"/>
  <c r="E49" i="19"/>
  <c r="N45" i="19"/>
  <c r="D44" i="19"/>
  <c r="D36" i="19"/>
  <c r="D26" i="19"/>
  <c r="N22" i="19"/>
  <c r="D16" i="19"/>
  <c r="N16" i="19" s="1"/>
  <c r="N13" i="19"/>
  <c r="D12" i="19"/>
  <c r="N8" i="19"/>
  <c r="N6" i="19"/>
  <c r="M6" i="19"/>
  <c r="L4" i="19"/>
  <c r="D75" i="19" l="1"/>
  <c r="E26" i="19"/>
  <c r="N44" i="19"/>
  <c r="N12" i="19"/>
  <c r="N26" i="19"/>
  <c r="N59" i="19"/>
  <c r="N72" i="19"/>
  <c r="N31" i="19"/>
  <c r="D35" i="19"/>
  <c r="W122" i="8" l="1"/>
  <c r="I56" i="17" l="1"/>
  <c r="J52" i="17"/>
  <c r="I52" i="17"/>
  <c r="B40" i="17"/>
  <c r="B36" i="17"/>
  <c r="B33" i="17"/>
  <c r="B32" i="17"/>
  <c r="B31" i="17"/>
  <c r="J14" i="17"/>
  <c r="I14" i="17"/>
  <c r="D10" i="17"/>
  <c r="C10" i="17"/>
  <c r="J9" i="17"/>
  <c r="I9" i="17"/>
  <c r="J8" i="17"/>
  <c r="I8" i="17"/>
  <c r="J7" i="17"/>
  <c r="I7" i="17"/>
  <c r="D11" i="17" l="1"/>
  <c r="J11" i="17" s="1"/>
  <c r="I10" i="17"/>
  <c r="I11" i="17"/>
  <c r="J10" i="17"/>
  <c r="Q37" i="11" l="1"/>
  <c r="I38" i="10" l="1"/>
  <c r="A5" i="2" l="1"/>
  <c r="A4" i="2"/>
  <c r="I99" i="10" l="1"/>
  <c r="I90" i="10"/>
  <c r="I79" i="10"/>
  <c r="I65" i="10"/>
  <c r="I51" i="10"/>
  <c r="K88" i="4" l="1"/>
  <c r="D32" i="12" l="1"/>
  <c r="D30" i="12"/>
  <c r="D29" i="12"/>
  <c r="D21" i="12"/>
  <c r="D12" i="12"/>
  <c r="D32" i="11"/>
  <c r="D22" i="11"/>
  <c r="D12" i="11"/>
  <c r="L64" i="4"/>
  <c r="F60" i="4"/>
  <c r="N63" i="4"/>
  <c r="K61" i="4"/>
  <c r="F61" i="4"/>
  <c r="J61" i="4"/>
  <c r="F57" i="4"/>
  <c r="F9" i="4"/>
  <c r="D35" i="12"/>
  <c r="E35" i="12"/>
  <c r="D26" i="12"/>
  <c r="E26" i="12"/>
  <c r="D27" i="12"/>
  <c r="E27" i="12"/>
  <c r="D19" i="12"/>
  <c r="E19" i="12"/>
  <c r="D18" i="12"/>
  <c r="E18" i="12"/>
  <c r="E32" i="12"/>
  <c r="E30" i="12"/>
  <c r="E29" i="12"/>
  <c r="E21" i="12"/>
  <c r="E12" i="12"/>
  <c r="L26" i="11"/>
  <c r="L27" i="11"/>
  <c r="K26" i="11"/>
  <c r="O26" i="11" s="1"/>
  <c r="K27" i="11"/>
  <c r="O27" i="11" s="1"/>
  <c r="L34" i="11"/>
  <c r="L35" i="11"/>
  <c r="L36" i="11"/>
  <c r="L37" i="11"/>
  <c r="L33" i="11"/>
  <c r="L24" i="11"/>
  <c r="L25" i="11"/>
  <c r="L28" i="11"/>
  <c r="L29" i="11"/>
  <c r="L16" i="11"/>
  <c r="L18" i="11"/>
  <c r="L19" i="11"/>
  <c r="L13" i="11"/>
  <c r="L23" i="11"/>
  <c r="D20" i="11"/>
  <c r="H15" i="7"/>
  <c r="G15" i="7"/>
  <c r="D98" i="7"/>
  <c r="C98" i="7"/>
  <c r="E98" i="7" s="1"/>
  <c r="E33" i="4"/>
  <c r="N33" i="4" s="1"/>
  <c r="D26" i="4"/>
  <c r="M84" i="4"/>
  <c r="M82" i="4"/>
  <c r="AB110" i="8"/>
  <c r="J8" i="12"/>
  <c r="I8" i="12"/>
  <c r="K4" i="12"/>
  <c r="O4" i="11"/>
  <c r="N8" i="11"/>
  <c r="M8" i="11"/>
  <c r="AC4" i="8"/>
  <c r="AG38" i="8"/>
  <c r="AF38" i="8"/>
  <c r="AE5" i="8"/>
  <c r="AB5" i="8"/>
  <c r="AA5" i="8"/>
  <c r="AE4" i="8"/>
  <c r="Z5" i="8"/>
  <c r="I32" i="11"/>
  <c r="I22" i="11"/>
  <c r="M6" i="12"/>
  <c r="F12" i="12"/>
  <c r="G12" i="12"/>
  <c r="G13" i="12"/>
  <c r="H13" i="12" s="1"/>
  <c r="H14" i="12"/>
  <c r="H15" i="12"/>
  <c r="K15" i="12" s="1"/>
  <c r="H16" i="12"/>
  <c r="K16" i="12" s="1"/>
  <c r="H17" i="12"/>
  <c r="K17" i="12" s="1"/>
  <c r="C18" i="12"/>
  <c r="F18" i="12"/>
  <c r="G18" i="12"/>
  <c r="C19" i="12"/>
  <c r="F19" i="12"/>
  <c r="F21" i="12"/>
  <c r="G21" i="12"/>
  <c r="G22" i="12"/>
  <c r="H22" i="12" s="1"/>
  <c r="K22" i="12" s="1"/>
  <c r="H23" i="12"/>
  <c r="K23" i="12" s="1"/>
  <c r="H24" i="12"/>
  <c r="K24" i="12" s="1"/>
  <c r="H25" i="12"/>
  <c r="K25" i="12" s="1"/>
  <c r="C26" i="12"/>
  <c r="F26" i="12"/>
  <c r="G26" i="12"/>
  <c r="C27" i="12"/>
  <c r="F27" i="12"/>
  <c r="F29" i="12"/>
  <c r="F30" i="12"/>
  <c r="F32" i="12"/>
  <c r="G32" i="12"/>
  <c r="H33" i="12"/>
  <c r="K33" i="12" s="1"/>
  <c r="H34" i="12"/>
  <c r="C35" i="12"/>
  <c r="F35" i="12"/>
  <c r="G35" i="12"/>
  <c r="Q6" i="11"/>
  <c r="E12" i="11"/>
  <c r="C50" i="11" s="1"/>
  <c r="F12" i="11"/>
  <c r="G12" i="11"/>
  <c r="H12" i="11"/>
  <c r="I12" i="11"/>
  <c r="J12" i="11"/>
  <c r="K13" i="11"/>
  <c r="O13" i="11" s="1"/>
  <c r="K18" i="11"/>
  <c r="K19" i="11"/>
  <c r="C20" i="11"/>
  <c r="E20" i="11"/>
  <c r="F20" i="11"/>
  <c r="G20" i="11"/>
  <c r="H20" i="11"/>
  <c r="I20" i="11"/>
  <c r="J20" i="11"/>
  <c r="E22" i="11"/>
  <c r="F22" i="11"/>
  <c r="H22" i="11"/>
  <c r="J22" i="11"/>
  <c r="K23" i="11"/>
  <c r="K24" i="11"/>
  <c r="K28" i="11"/>
  <c r="K29" i="11"/>
  <c r="E32" i="11"/>
  <c r="F32" i="11"/>
  <c r="G32" i="11"/>
  <c r="H32" i="11"/>
  <c r="J32" i="11"/>
  <c r="K33" i="11"/>
  <c r="K34" i="11"/>
  <c r="O34" i="11"/>
  <c r="K35" i="11"/>
  <c r="K36" i="11"/>
  <c r="O36" i="11"/>
  <c r="K37" i="11"/>
  <c r="E50" i="11"/>
  <c r="F50" i="11"/>
  <c r="G50" i="11"/>
  <c r="H50" i="11"/>
  <c r="I50" i="11"/>
  <c r="J50" i="11"/>
  <c r="L50" i="11"/>
  <c r="M50" i="11"/>
  <c r="C51" i="11"/>
  <c r="C52" i="11"/>
  <c r="E55" i="11"/>
  <c r="F55" i="11"/>
  <c r="G55" i="11"/>
  <c r="H55" i="11"/>
  <c r="I55" i="11"/>
  <c r="J55" i="11"/>
  <c r="L55" i="11"/>
  <c r="M55" i="11"/>
  <c r="C56" i="11"/>
  <c r="C57" i="11"/>
  <c r="C58" i="11"/>
  <c r="E59" i="11"/>
  <c r="F59" i="11"/>
  <c r="G59" i="11"/>
  <c r="H59" i="11"/>
  <c r="I59" i="11"/>
  <c r="J59" i="11"/>
  <c r="L59" i="11"/>
  <c r="M59" i="11"/>
  <c r="C60" i="11"/>
  <c r="M7" i="10"/>
  <c r="D8" i="10"/>
  <c r="F8" i="10"/>
  <c r="G8" i="10"/>
  <c r="D16" i="10"/>
  <c r="F16" i="10"/>
  <c r="G16" i="10"/>
  <c r="E20" i="10"/>
  <c r="D24" i="10"/>
  <c r="F24" i="10"/>
  <c r="G24" i="10"/>
  <c r="D31" i="10"/>
  <c r="F31" i="10"/>
  <c r="G31" i="10"/>
  <c r="G40" i="10" s="1"/>
  <c r="G43" i="10" s="1"/>
  <c r="D44" i="10"/>
  <c r="F44" i="10"/>
  <c r="G44" i="10"/>
  <c r="G53" i="10" s="1"/>
  <c r="G57" i="10" s="1"/>
  <c r="D58" i="10"/>
  <c r="F58" i="10"/>
  <c r="G58" i="10"/>
  <c r="G67" i="10" s="1"/>
  <c r="G71" i="10" s="1"/>
  <c r="D72" i="10"/>
  <c r="F72" i="10"/>
  <c r="G72" i="10"/>
  <c r="G81" i="10" s="1"/>
  <c r="G85" i="10" s="1"/>
  <c r="D86" i="10"/>
  <c r="F86" i="10"/>
  <c r="G86" i="10"/>
  <c r="G93" i="10" s="1"/>
  <c r="G94" i="10" s="1"/>
  <c r="D95" i="10"/>
  <c r="F95" i="10"/>
  <c r="G95" i="10"/>
  <c r="G102" i="10" s="1"/>
  <c r="G103" i="10" s="1"/>
  <c r="C13" i="9"/>
  <c r="M13" i="9" s="1"/>
  <c r="N13" i="9"/>
  <c r="X13" i="9" s="1"/>
  <c r="C14" i="9"/>
  <c r="M14" i="9" s="1"/>
  <c r="N14" i="9"/>
  <c r="X14" i="9" s="1"/>
  <c r="C15" i="9"/>
  <c r="M15" i="9" s="1"/>
  <c r="N15" i="9"/>
  <c r="X15" i="9" s="1"/>
  <c r="C16" i="9"/>
  <c r="M16" i="9" s="1"/>
  <c r="N16" i="9"/>
  <c r="X16" i="9" s="1"/>
  <c r="C17" i="9"/>
  <c r="M17" i="9" s="1"/>
  <c r="N17" i="9"/>
  <c r="X17" i="9" s="1"/>
  <c r="C18" i="9"/>
  <c r="M18" i="9" s="1"/>
  <c r="N18" i="9"/>
  <c r="X18" i="9" s="1"/>
  <c r="C19" i="9"/>
  <c r="M19" i="9" s="1"/>
  <c r="N19" i="9"/>
  <c r="X19" i="9" s="1"/>
  <c r="C20" i="9"/>
  <c r="M20" i="9" s="1"/>
  <c r="N20" i="9"/>
  <c r="X20" i="9" s="1"/>
  <c r="C21" i="9"/>
  <c r="M21" i="9" s="1"/>
  <c r="N21" i="9"/>
  <c r="X21" i="9" s="1"/>
  <c r="C22" i="9"/>
  <c r="M22" i="9" s="1"/>
  <c r="N22" i="9"/>
  <c r="X22" i="9" s="1"/>
  <c r="M23" i="9"/>
  <c r="C25" i="9"/>
  <c r="M25" i="9" s="1"/>
  <c r="X25" i="9"/>
  <c r="C28" i="9"/>
  <c r="M28" i="9" s="1"/>
  <c r="N28" i="9"/>
  <c r="X28" i="9" s="1"/>
  <c r="C29" i="9"/>
  <c r="M29" i="9" s="1"/>
  <c r="N29" i="9"/>
  <c r="X29" i="9" s="1"/>
  <c r="C30" i="9"/>
  <c r="M30" i="9" s="1"/>
  <c r="N30" i="9"/>
  <c r="X30" i="9" s="1"/>
  <c r="C31" i="9"/>
  <c r="M31" i="9" s="1"/>
  <c r="N31" i="9"/>
  <c r="X31" i="9" s="1"/>
  <c r="C32" i="9"/>
  <c r="M32" i="9" s="1"/>
  <c r="N32" i="9"/>
  <c r="X32" i="9" s="1"/>
  <c r="C33" i="9"/>
  <c r="M33" i="9" s="1"/>
  <c r="N33" i="9"/>
  <c r="M34" i="9"/>
  <c r="X34" i="9"/>
  <c r="C35" i="9"/>
  <c r="N35" i="9"/>
  <c r="X35" i="9" s="1"/>
  <c r="M36" i="9"/>
  <c r="X36" i="9"/>
  <c r="C37" i="9"/>
  <c r="M37" i="9" s="1"/>
  <c r="N37" i="9"/>
  <c r="C38" i="9"/>
  <c r="M38" i="9" s="1"/>
  <c r="N38" i="9"/>
  <c r="X38" i="9" s="1"/>
  <c r="C39" i="9"/>
  <c r="M39" i="9" s="1"/>
  <c r="N39" i="9"/>
  <c r="X39" i="9" s="1"/>
  <c r="C41" i="9"/>
  <c r="M41" i="9" s="1"/>
  <c r="N41" i="9"/>
  <c r="X41" i="9" s="1"/>
  <c r="D42" i="9"/>
  <c r="E42" i="9"/>
  <c r="F42" i="9"/>
  <c r="G42" i="9"/>
  <c r="H42" i="9"/>
  <c r="I42" i="9"/>
  <c r="J42" i="9"/>
  <c r="K42" i="9"/>
  <c r="L42" i="9"/>
  <c r="O42" i="9"/>
  <c r="P42" i="9"/>
  <c r="Q42" i="9"/>
  <c r="R42" i="9"/>
  <c r="S42" i="9"/>
  <c r="T42" i="9"/>
  <c r="U42" i="9"/>
  <c r="V42" i="9"/>
  <c r="W42" i="9"/>
  <c r="Y42" i="9"/>
  <c r="Z42" i="9"/>
  <c r="AA42" i="9"/>
  <c r="AB42" i="9"/>
  <c r="AC42" i="9"/>
  <c r="AC44" i="9" s="1"/>
  <c r="W13" i="8"/>
  <c r="AH13" i="8" s="1"/>
  <c r="W14" i="8"/>
  <c r="AH14" i="8" s="1"/>
  <c r="W15" i="8"/>
  <c r="AH15" i="8" s="1"/>
  <c r="W16" i="8"/>
  <c r="AH16" i="8" s="1"/>
  <c r="C17" i="8"/>
  <c r="D17" i="8"/>
  <c r="E17" i="8"/>
  <c r="F17" i="8"/>
  <c r="C9" i="9" s="1"/>
  <c r="M9" i="9" s="1"/>
  <c r="G17" i="8"/>
  <c r="H17" i="8"/>
  <c r="N9" i="9" s="1"/>
  <c r="X9" i="9" s="1"/>
  <c r="I17" i="8"/>
  <c r="J17" i="8"/>
  <c r="L17" i="8"/>
  <c r="M17" i="8"/>
  <c r="N17" i="8"/>
  <c r="R17" i="8"/>
  <c r="S17" i="8"/>
  <c r="T17" i="8"/>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V30" i="8"/>
  <c r="W33" i="8"/>
  <c r="AH33" i="8" s="1"/>
  <c r="W34" i="8"/>
  <c r="AH34" i="8" s="1"/>
  <c r="W35" i="8"/>
  <c r="AH35" i="8" s="1"/>
  <c r="W36" i="8"/>
  <c r="AH36" i="8" s="1"/>
  <c r="C37" i="8"/>
  <c r="D37" i="8"/>
  <c r="E37" i="8"/>
  <c r="E43" i="8" s="1"/>
  <c r="F37" i="8"/>
  <c r="C11" i="9" s="1"/>
  <c r="M11" i="9" s="1"/>
  <c r="G37" i="8"/>
  <c r="H37" i="8"/>
  <c r="I37" i="8"/>
  <c r="J37" i="8"/>
  <c r="L37" i="8"/>
  <c r="M37" i="8"/>
  <c r="N37" i="8"/>
  <c r="R37" i="8"/>
  <c r="S37" i="8"/>
  <c r="T37" i="8"/>
  <c r="V37" i="8"/>
  <c r="W39" i="8"/>
  <c r="AH39" i="8" s="1"/>
  <c r="W40" i="8"/>
  <c r="AH40" i="8" s="1"/>
  <c r="W41" i="8"/>
  <c r="AH41" i="8" s="1"/>
  <c r="C42" i="8"/>
  <c r="D42" i="8"/>
  <c r="E42" i="8"/>
  <c r="F42" i="8"/>
  <c r="C12" i="9" s="1"/>
  <c r="M12" i="9" s="1"/>
  <c r="G42" i="8"/>
  <c r="H42" i="8"/>
  <c r="N12" i="9" s="1"/>
  <c r="X12" i="9" s="1"/>
  <c r="I42" i="8"/>
  <c r="J42" i="8"/>
  <c r="L42" i="8"/>
  <c r="M42" i="8"/>
  <c r="N42" i="8"/>
  <c r="R42" i="8"/>
  <c r="S42" i="8"/>
  <c r="T42" i="8"/>
  <c r="V42" i="8"/>
  <c r="W46" i="8"/>
  <c r="AH46" i="8" s="1"/>
  <c r="W47" i="8"/>
  <c r="AH47" i="8" s="1"/>
  <c r="W49" i="8"/>
  <c r="AH49" i="8" s="1"/>
  <c r="W50" i="8"/>
  <c r="AH50" i="8" s="1"/>
  <c r="C51" i="8"/>
  <c r="D51" i="8"/>
  <c r="E51" i="8"/>
  <c r="F51" i="8"/>
  <c r="G51" i="8"/>
  <c r="H51" i="8"/>
  <c r="I51" i="8"/>
  <c r="J51" i="8"/>
  <c r="L51" i="8"/>
  <c r="M51" i="8"/>
  <c r="N51" i="8"/>
  <c r="R51" i="8"/>
  <c r="AE49" i="8" s="1"/>
  <c r="S51" i="8"/>
  <c r="T51" i="8"/>
  <c r="V51" i="8"/>
  <c r="W53" i="8"/>
  <c r="AH53" i="8" s="1"/>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4" i="8"/>
  <c r="AH64" i="8" s="1"/>
  <c r="W65" i="8"/>
  <c r="AH65" i="8" s="1"/>
  <c r="W66" i="8"/>
  <c r="AH66" i="8" s="1"/>
  <c r="W70" i="8"/>
  <c r="W71" i="8"/>
  <c r="AH71" i="8" s="1"/>
  <c r="W73" i="8"/>
  <c r="AH73" i="8" s="1"/>
  <c r="W74" i="8"/>
  <c r="AH74" i="8" s="1"/>
  <c r="W75" i="8"/>
  <c r="W76" i="8"/>
  <c r="AH76" i="8" s="1"/>
  <c r="C77" i="8"/>
  <c r="D77" i="8"/>
  <c r="E77" i="8"/>
  <c r="F77" i="8"/>
  <c r="G77" i="8"/>
  <c r="H77" i="8"/>
  <c r="I77" i="8"/>
  <c r="J77" i="8"/>
  <c r="L77" i="8"/>
  <c r="M77" i="8"/>
  <c r="N77" i="8"/>
  <c r="R77" i="8"/>
  <c r="S77" i="8"/>
  <c r="T77" i="8"/>
  <c r="V77" i="8"/>
  <c r="W79" i="8"/>
  <c r="AH79" i="8" s="1"/>
  <c r="W80" i="8"/>
  <c r="AH80" i="8" s="1"/>
  <c r="W81" i="8"/>
  <c r="AH81" i="8" s="1"/>
  <c r="W82" i="8"/>
  <c r="AH82" i="8" s="1"/>
  <c r="C83" i="8"/>
  <c r="D83" i="8"/>
  <c r="E83" i="8"/>
  <c r="F83" i="8"/>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V108" i="8"/>
  <c r="P111" i="8"/>
  <c r="W111" i="8"/>
  <c r="P112" i="8"/>
  <c r="M114" i="8"/>
  <c r="C15" i="7"/>
  <c r="D15" i="7"/>
  <c r="F15" i="7"/>
  <c r="C33" i="7"/>
  <c r="D33" i="7"/>
  <c r="D49" i="7" s="1"/>
  <c r="E33" i="7"/>
  <c r="F33" i="7"/>
  <c r="F49" i="7" s="1"/>
  <c r="C40" i="7"/>
  <c r="C41" i="7" s="1"/>
  <c r="D40" i="7"/>
  <c r="D41" i="7"/>
  <c r="E40" i="7"/>
  <c r="E41" i="7" s="1"/>
  <c r="F40" i="7"/>
  <c r="F41" i="7" s="1"/>
  <c r="C47" i="7"/>
  <c r="D47" i="7"/>
  <c r="E47" i="7"/>
  <c r="F47" i="7"/>
  <c r="C54" i="7"/>
  <c r="D54" i="7"/>
  <c r="E54" i="7"/>
  <c r="F54" i="7"/>
  <c r="F64" i="7" s="1"/>
  <c r="C58" i="7"/>
  <c r="D58" i="7"/>
  <c r="E58" i="7"/>
  <c r="F58" i="7"/>
  <c r="C63" i="7"/>
  <c r="D63" i="7"/>
  <c r="E63" i="7"/>
  <c r="F63" i="7"/>
  <c r="D12" i="4"/>
  <c r="M12" i="4" s="1"/>
  <c r="N12" i="4"/>
  <c r="D17" i="4"/>
  <c r="E15" i="7" s="1"/>
  <c r="N17" i="4"/>
  <c r="E18" i="4"/>
  <c r="M19" i="4"/>
  <c r="N19" i="4"/>
  <c r="F32" i="4"/>
  <c r="M63" i="4"/>
  <c r="D74" i="4"/>
  <c r="M74" i="4" s="1"/>
  <c r="N74" i="4"/>
  <c r="N82" i="4"/>
  <c r="M83" i="4"/>
  <c r="N83" i="4"/>
  <c r="N84" i="4"/>
  <c r="M85" i="4"/>
  <c r="N85" i="4"/>
  <c r="M86" i="4"/>
  <c r="N86" i="4"/>
  <c r="D87" i="4"/>
  <c r="E87" i="4"/>
  <c r="M95" i="10"/>
  <c r="K34" i="12"/>
  <c r="H26" i="12"/>
  <c r="K26" i="12" s="1"/>
  <c r="E95" i="10"/>
  <c r="AH60" i="8"/>
  <c r="C82" i="7"/>
  <c r="E75" i="4"/>
  <c r="M58" i="10" l="1"/>
  <c r="E93" i="10"/>
  <c r="E102" i="10"/>
  <c r="E103" i="10" s="1"/>
  <c r="E44" i="10"/>
  <c r="E53" i="10" s="1"/>
  <c r="E57" i="10" s="1"/>
  <c r="M35" i="9"/>
  <c r="C49" i="7"/>
  <c r="F26" i="4"/>
  <c r="D33" i="4"/>
  <c r="I43" i="8"/>
  <c r="S85" i="8"/>
  <c r="H43" i="8"/>
  <c r="G43" i="8"/>
  <c r="M43" i="8"/>
  <c r="D43" i="8"/>
  <c r="T43" i="8"/>
  <c r="V109" i="8"/>
  <c r="N11" i="9"/>
  <c r="X11" i="9" s="1"/>
  <c r="R109" i="8"/>
  <c r="F109" i="8"/>
  <c r="C40" i="9" s="1"/>
  <c r="C42" i="9" s="1"/>
  <c r="N43" i="8"/>
  <c r="T109" i="8"/>
  <c r="AE48" i="8"/>
  <c r="N85" i="8"/>
  <c r="E85" i="8"/>
  <c r="AH70" i="8"/>
  <c r="O35" i="11"/>
  <c r="G19" i="12"/>
  <c r="G31" i="12"/>
  <c r="S68" i="8"/>
  <c r="M109" i="8"/>
  <c r="D109" i="8"/>
  <c r="M72" i="10"/>
  <c r="E58" i="10"/>
  <c r="W102" i="8"/>
  <c r="E49" i="7"/>
  <c r="V43" i="8"/>
  <c r="M68" i="8"/>
  <c r="C55" i="11"/>
  <c r="E34" i="4"/>
  <c r="F12" i="4"/>
  <c r="M17" i="4"/>
  <c r="E24" i="10"/>
  <c r="F43" i="8"/>
  <c r="H85" i="8"/>
  <c r="AE80" i="8" s="1"/>
  <c r="L85" i="8"/>
  <c r="G85" i="8"/>
  <c r="F68" i="8"/>
  <c r="E72" i="10"/>
  <c r="H109" i="8"/>
  <c r="N40" i="9" s="1"/>
  <c r="X40" i="9" s="1"/>
  <c r="L68" i="8"/>
  <c r="G68" i="8"/>
  <c r="T85" i="8"/>
  <c r="R68" i="8"/>
  <c r="C43" i="8"/>
  <c r="W42" i="8"/>
  <c r="AH42" i="8" s="1"/>
  <c r="G109" i="8"/>
  <c r="E8" i="10"/>
  <c r="W17" i="8"/>
  <c r="AH17" i="8" s="1"/>
  <c r="E16" i="10"/>
  <c r="X37" i="9"/>
  <c r="W108" i="8"/>
  <c r="J109" i="8"/>
  <c r="R85" i="8"/>
  <c r="J85" i="8"/>
  <c r="J68" i="8"/>
  <c r="D68" i="8"/>
  <c r="S43" i="8"/>
  <c r="L43" i="8"/>
  <c r="D31" i="12"/>
  <c r="E94" i="10"/>
  <c r="E31" i="12"/>
  <c r="W77" i="8"/>
  <c r="AH77" i="8" s="1"/>
  <c r="O18" i="11"/>
  <c r="I12" i="17"/>
  <c r="C13" i="17"/>
  <c r="I49" i="17"/>
  <c r="D12" i="17"/>
  <c r="I48" i="17"/>
  <c r="I54" i="17"/>
  <c r="I53" i="17"/>
  <c r="C85" i="8"/>
  <c r="L62" i="4"/>
  <c r="L63" i="4"/>
  <c r="D75" i="4"/>
  <c r="F17" i="4"/>
  <c r="F31" i="12"/>
  <c r="C64" i="7"/>
  <c r="C66" i="7" s="1"/>
  <c r="O28" i="11"/>
  <c r="O24" i="11"/>
  <c r="O33" i="11"/>
  <c r="M86" i="10"/>
  <c r="M101" i="10" s="1"/>
  <c r="K14" i="12"/>
  <c r="K13" i="12"/>
  <c r="L43" i="9"/>
  <c r="M44" i="10"/>
  <c r="W51" i="8"/>
  <c r="AH51" i="8" s="1"/>
  <c r="O23" i="11"/>
  <c r="O25" i="11"/>
  <c r="E68" i="8"/>
  <c r="E90" i="8" s="1"/>
  <c r="W58" i="8"/>
  <c r="E31" i="10"/>
  <c r="M31" i="10"/>
  <c r="I85" i="8"/>
  <c r="AH75" i="8"/>
  <c r="F85" i="8"/>
  <c r="AE79" i="8" s="1"/>
  <c r="Z44" i="9"/>
  <c r="AA44" i="9"/>
  <c r="X33" i="9"/>
  <c r="G27" i="12"/>
  <c r="M44" i="9"/>
  <c r="M87" i="4"/>
  <c r="I117" i="8"/>
  <c r="N87" i="4"/>
  <c r="M33" i="4"/>
  <c r="L109" i="8"/>
  <c r="I68" i="8"/>
  <c r="Y44" i="9"/>
  <c r="H18" i="12"/>
  <c r="K18" i="12" s="1"/>
  <c r="S109" i="8"/>
  <c r="D85" i="8"/>
  <c r="V68" i="8"/>
  <c r="N68" i="8"/>
  <c r="W37" i="8"/>
  <c r="AH37" i="8" s="1"/>
  <c r="AB44" i="9"/>
  <c r="D18" i="4"/>
  <c r="E64" i="7"/>
  <c r="E66" i="7" s="1"/>
  <c r="E109" i="8"/>
  <c r="V85" i="8"/>
  <c r="T68" i="8"/>
  <c r="T90" i="8" s="1"/>
  <c r="H68" i="8"/>
  <c r="C68" i="8"/>
  <c r="R43" i="8"/>
  <c r="J43" i="8"/>
  <c r="C109" i="8"/>
  <c r="M85" i="8"/>
  <c r="F66" i="7"/>
  <c r="D64" i="7"/>
  <c r="D66" i="7" s="1"/>
  <c r="N109" i="8"/>
  <c r="AH88" i="8"/>
  <c r="W89" i="8"/>
  <c r="AH89" i="8" s="1"/>
  <c r="I109" i="8"/>
  <c r="AH95" i="8"/>
  <c r="AH97" i="8" s="1"/>
  <c r="W97" i="8"/>
  <c r="W43" i="8"/>
  <c r="C59" i="11"/>
  <c r="W83" i="8"/>
  <c r="AH108" i="8"/>
  <c r="AH102" i="8"/>
  <c r="W30" i="8"/>
  <c r="N90" i="8" l="1"/>
  <c r="N110" i="8" s="1"/>
  <c r="N113" i="8" s="1"/>
  <c r="I119" i="8" s="1"/>
  <c r="I120" i="8" s="1"/>
  <c r="E81" i="10"/>
  <c r="E85" i="10" s="1"/>
  <c r="E67" i="10"/>
  <c r="E71" i="10" s="1"/>
  <c r="N42" i="9"/>
  <c r="M40" i="9"/>
  <c r="M42" i="9" s="1"/>
  <c r="M43" i="9" s="1"/>
  <c r="E40" i="10"/>
  <c r="E43" i="10" s="1"/>
  <c r="W67" i="8"/>
  <c r="AH67" i="8" s="1"/>
  <c r="D90" i="8"/>
  <c r="D110" i="8" s="1"/>
  <c r="D113" i="8" s="1"/>
  <c r="I90" i="8"/>
  <c r="I110" i="8" s="1"/>
  <c r="I113" i="8" s="1"/>
  <c r="S90" i="8"/>
  <c r="S110" i="8" s="1"/>
  <c r="S113" i="8" s="1"/>
  <c r="R90" i="8"/>
  <c r="R110" i="8" s="1"/>
  <c r="R113" i="8" s="1"/>
  <c r="H90" i="8"/>
  <c r="H110" i="8" s="1"/>
  <c r="H113" i="8" s="1"/>
  <c r="T110" i="8"/>
  <c r="T113" i="8" s="1"/>
  <c r="X42" i="9"/>
  <c r="X43" i="9" s="1"/>
  <c r="AH43" i="8"/>
  <c r="M90" i="8"/>
  <c r="M110" i="8" s="1"/>
  <c r="M113" i="8" s="1"/>
  <c r="L90" i="8"/>
  <c r="L110" i="8" s="1"/>
  <c r="I55" i="17"/>
  <c r="G90" i="8"/>
  <c r="G110" i="8" s="1"/>
  <c r="G113" i="8" s="1"/>
  <c r="C16" i="17"/>
  <c r="I50" i="17" s="1"/>
  <c r="I13" i="17"/>
  <c r="E110" i="8"/>
  <c r="E113" i="8" s="1"/>
  <c r="J90" i="8"/>
  <c r="J110" i="8" s="1"/>
  <c r="J113" i="8" s="1"/>
  <c r="V90" i="8"/>
  <c r="V110" i="8" s="1"/>
  <c r="F90" i="8"/>
  <c r="F110" i="8" s="1"/>
  <c r="F113" i="8" s="1"/>
  <c r="C90" i="8"/>
  <c r="C110" i="8" s="1"/>
  <c r="C113" i="8" s="1"/>
  <c r="W109" i="8"/>
  <c r="AH109" i="8" s="1"/>
  <c r="J12" i="17"/>
  <c r="D13" i="17"/>
  <c r="J48" i="17"/>
  <c r="J49" i="17"/>
  <c r="AH58" i="8"/>
  <c r="AH68" i="8" s="1"/>
  <c r="D34" i="4"/>
  <c r="AH83" i="8"/>
  <c r="AH85" i="8" s="1"/>
  <c r="W85" i="8"/>
  <c r="AH30" i="8"/>
  <c r="D61" i="11"/>
  <c r="W68" i="8" l="1"/>
  <c r="W90" i="8" s="1"/>
  <c r="W110" i="8" s="1"/>
  <c r="P62" i="8"/>
  <c r="D110" i="10"/>
  <c r="P48" i="8"/>
  <c r="L113" i="8"/>
  <c r="P115" i="8" s="1"/>
  <c r="P116" i="8"/>
  <c r="I16" i="17"/>
  <c r="C18" i="17"/>
  <c r="D16" i="17"/>
  <c r="J16" i="17" s="1"/>
  <c r="J13" i="17"/>
  <c r="AE92" i="8"/>
  <c r="AH90" i="8"/>
  <c r="AH110" i="8" s="1"/>
  <c r="P82" i="8"/>
  <c r="P40" i="8"/>
  <c r="P28" i="8"/>
  <c r="P84" i="8"/>
  <c r="P101" i="8"/>
  <c r="P65" i="8"/>
  <c r="P74" i="8"/>
  <c r="P26" i="8"/>
  <c r="P81" i="8"/>
  <c r="P80" i="8"/>
  <c r="P27" i="8"/>
  <c r="P21" i="8"/>
  <c r="P15" i="8"/>
  <c r="P79" i="8"/>
  <c r="P94" i="8"/>
  <c r="P47" i="8"/>
  <c r="C8" i="10" s="1"/>
  <c r="D11" i="10" s="1"/>
  <c r="P71" i="8"/>
  <c r="P95" i="8"/>
  <c r="P24" i="8"/>
  <c r="P29" i="8"/>
  <c r="P76" i="8"/>
  <c r="P105" i="8"/>
  <c r="P50" i="8"/>
  <c r="P23" i="8"/>
  <c r="P64" i="8"/>
  <c r="P16" i="8"/>
  <c r="P49" i="8"/>
  <c r="O83" i="8"/>
  <c r="P20" i="8"/>
  <c r="P96" i="8"/>
  <c r="P36" i="8"/>
  <c r="P14" i="8"/>
  <c r="P100" i="8"/>
  <c r="P107" i="8"/>
  <c r="P41" i="8"/>
  <c r="P34" i="8"/>
  <c r="P66" i="8"/>
  <c r="P35" i="8"/>
  <c r="P25" i="8"/>
  <c r="P88" i="8"/>
  <c r="Z88" i="8" s="1"/>
  <c r="P22" i="8"/>
  <c r="P106" i="8"/>
  <c r="V112" i="8"/>
  <c r="D108" i="10" l="1"/>
  <c r="C30" i="17"/>
  <c r="D46" i="4"/>
  <c r="C22" i="11"/>
  <c r="P60" i="8"/>
  <c r="D92" i="10"/>
  <c r="P57" i="8"/>
  <c r="D80" i="10"/>
  <c r="P56" i="8"/>
  <c r="D66" i="10"/>
  <c r="P61" i="8"/>
  <c r="D101" i="10"/>
  <c r="P55" i="8"/>
  <c r="D52" i="10"/>
  <c r="P54" i="8"/>
  <c r="J50" i="17"/>
  <c r="D18" i="17"/>
  <c r="E46" i="4" s="1"/>
  <c r="E48" i="4" s="1"/>
  <c r="I19" i="17"/>
  <c r="I51" i="17"/>
  <c r="C36" i="17"/>
  <c r="I30" i="17"/>
  <c r="P75" i="8"/>
  <c r="AA88" i="8"/>
  <c r="P87" i="8"/>
  <c r="Z87" i="8" s="1"/>
  <c r="O89" i="8"/>
  <c r="Z80" i="8"/>
  <c r="AA80" i="8"/>
  <c r="AC80" i="8" s="1"/>
  <c r="C21" i="12"/>
  <c r="P53" i="8"/>
  <c r="O58" i="8"/>
  <c r="O67" i="8" s="1"/>
  <c r="P13" i="8"/>
  <c r="O17" i="8"/>
  <c r="O108" i="8"/>
  <c r="P104" i="8"/>
  <c r="P39" i="8"/>
  <c r="O42" i="8"/>
  <c r="P42" i="8" s="1"/>
  <c r="C16" i="10"/>
  <c r="D19" i="10" s="1"/>
  <c r="O97" i="8"/>
  <c r="P93" i="8"/>
  <c r="AA81" i="8"/>
  <c r="Z81" i="8"/>
  <c r="C29" i="12"/>
  <c r="C32" i="12"/>
  <c r="Z84" i="8"/>
  <c r="AA84" i="8"/>
  <c r="AC84" i="8" s="1"/>
  <c r="Z79" i="8"/>
  <c r="AA79" i="8"/>
  <c r="AC79" i="8" s="1"/>
  <c r="P83" i="8"/>
  <c r="C12" i="12"/>
  <c r="P99" i="8"/>
  <c r="O102" i="8"/>
  <c r="Z36" i="8"/>
  <c r="AA36" i="8"/>
  <c r="P73" i="8"/>
  <c r="O77" i="8"/>
  <c r="O85" i="8" s="1"/>
  <c r="P46" i="8"/>
  <c r="O51" i="8"/>
  <c r="O30" i="8"/>
  <c r="P19" i="8"/>
  <c r="Z82" i="8"/>
  <c r="AA82" i="8"/>
  <c r="AC82" i="8" s="1"/>
  <c r="C30" i="12"/>
  <c r="W112" i="8"/>
  <c r="W113" i="8" s="1"/>
  <c r="V113" i="8"/>
  <c r="W116" i="8" s="1"/>
  <c r="P33" i="8"/>
  <c r="O37" i="8"/>
  <c r="Z76" i="8"/>
  <c r="AA76" i="8"/>
  <c r="AC76" i="8" s="1"/>
  <c r="AA74" i="8"/>
  <c r="AC74" i="8" s="1"/>
  <c r="Z74" i="8"/>
  <c r="P70" i="8"/>
  <c r="N80" i="4" l="1"/>
  <c r="N79" i="4"/>
  <c r="D38" i="17"/>
  <c r="D37" i="17"/>
  <c r="C40" i="17"/>
  <c r="N48" i="4"/>
  <c r="E76" i="4"/>
  <c r="D48" i="4"/>
  <c r="C12" i="11"/>
  <c r="R16" i="11" s="1"/>
  <c r="C86" i="10"/>
  <c r="D90" i="10" s="1"/>
  <c r="C44" i="10"/>
  <c r="C58" i="10"/>
  <c r="C31" i="10"/>
  <c r="J51" i="17"/>
  <c r="J19" i="17"/>
  <c r="C95" i="10"/>
  <c r="D99" i="10" s="1"/>
  <c r="C72" i="10"/>
  <c r="AC88" i="8"/>
  <c r="AA75" i="8"/>
  <c r="C32" i="11"/>
  <c r="Z75" i="8"/>
  <c r="O43" i="8"/>
  <c r="O68" i="8"/>
  <c r="H30" i="12"/>
  <c r="K30" i="12" s="1"/>
  <c r="P30" i="8"/>
  <c r="P51" i="8"/>
  <c r="Z73" i="8"/>
  <c r="AA73" i="8"/>
  <c r="P77" i="8"/>
  <c r="P85" i="8" s="1"/>
  <c r="AC36" i="8"/>
  <c r="H29" i="12"/>
  <c r="K29" i="12" s="1"/>
  <c r="P97" i="8"/>
  <c r="AA87" i="8"/>
  <c r="P89" i="8"/>
  <c r="P37" i="8"/>
  <c r="P102" i="8"/>
  <c r="C31" i="12"/>
  <c r="H12" i="12"/>
  <c r="K12" i="12" s="1"/>
  <c r="O109" i="8"/>
  <c r="Z42" i="8"/>
  <c r="AA42" i="8"/>
  <c r="P17" i="8"/>
  <c r="P58" i="8"/>
  <c r="P67" i="8" s="1"/>
  <c r="C24" i="10"/>
  <c r="D27" i="10" s="1"/>
  <c r="K22" i="11"/>
  <c r="L22" i="11"/>
  <c r="W121" i="8"/>
  <c r="C9" i="10"/>
  <c r="AA83" i="8"/>
  <c r="Z83" i="8"/>
  <c r="H32" i="12"/>
  <c r="AC81" i="8"/>
  <c r="C17" i="10"/>
  <c r="P108" i="8"/>
  <c r="H21" i="12"/>
  <c r="K21" i="12" s="1"/>
  <c r="M18" i="10" l="1"/>
  <c r="M23" i="10"/>
  <c r="AC83" i="8"/>
  <c r="AE86" i="8"/>
  <c r="AE83" i="8"/>
  <c r="AE84" i="8"/>
  <c r="M80" i="4"/>
  <c r="M79" i="4"/>
  <c r="D76" i="4"/>
  <c r="I40" i="17"/>
  <c r="M48" i="4"/>
  <c r="C111" i="10"/>
  <c r="C112" i="10" s="1"/>
  <c r="D50" i="10"/>
  <c r="D48" i="10"/>
  <c r="D35" i="10"/>
  <c r="D37" i="10"/>
  <c r="D78" i="10"/>
  <c r="D76" i="10"/>
  <c r="D62" i="10"/>
  <c r="D64" i="10"/>
  <c r="C93" i="10"/>
  <c r="C94" i="10" s="1"/>
  <c r="C53" i="10"/>
  <c r="C57" i="10" s="1"/>
  <c r="C81" i="10"/>
  <c r="C85" i="10" s="1"/>
  <c r="C67" i="10"/>
  <c r="C71" i="10" s="1"/>
  <c r="C102" i="10"/>
  <c r="C103" i="10" s="1"/>
  <c r="C40" i="10"/>
  <c r="C43" i="10" s="1"/>
  <c r="M15" i="10"/>
  <c r="M10" i="10"/>
  <c r="H43" i="11"/>
  <c r="AC78" i="8"/>
  <c r="AC75" i="8"/>
  <c r="K32" i="12"/>
  <c r="L32" i="11"/>
  <c r="AC87" i="8"/>
  <c r="K32" i="11"/>
  <c r="O90" i="8"/>
  <c r="O110" i="8" s="1"/>
  <c r="O113" i="8" s="1"/>
  <c r="P117" i="8" s="1"/>
  <c r="Z89" i="8"/>
  <c r="AA89" i="8"/>
  <c r="C25" i="10"/>
  <c r="K12" i="11"/>
  <c r="L12" i="11"/>
  <c r="AC42" i="8"/>
  <c r="Z37" i="8"/>
  <c r="P43" i="8"/>
  <c r="P109" i="8"/>
  <c r="Z77" i="8"/>
  <c r="Z30" i="8"/>
  <c r="AA30" i="8"/>
  <c r="Z17" i="8"/>
  <c r="H31" i="12"/>
  <c r="K31" i="12" s="1"/>
  <c r="AE72" i="8"/>
  <c r="AC73" i="8"/>
  <c r="Z51" i="8"/>
  <c r="M26" i="10" l="1"/>
  <c r="I44" i="17"/>
  <c r="P68" i="8"/>
  <c r="O32" i="11"/>
  <c r="AA37" i="8"/>
  <c r="AA77" i="8"/>
  <c r="AE74" i="8"/>
  <c r="Z67" i="8"/>
  <c r="AA67" i="8"/>
  <c r="AA17" i="8"/>
  <c r="AC89" i="8"/>
  <c r="AE30" i="8"/>
  <c r="AE31" i="8"/>
  <c r="AC30" i="8"/>
  <c r="AA51" i="8"/>
  <c r="AA109" i="8"/>
  <c r="Z109" i="8"/>
  <c r="P90" i="8" l="1"/>
  <c r="AC37" i="8"/>
  <c r="P110" i="8"/>
  <c r="Z90" i="8"/>
  <c r="Z110" i="8" s="1"/>
  <c r="AC17" i="8"/>
  <c r="AA90" i="8"/>
  <c r="AE85" i="8" s="1"/>
  <c r="AC77" i="8"/>
  <c r="AE78" i="8"/>
  <c r="AE77" i="8"/>
  <c r="AC67" i="8"/>
  <c r="AE67" i="8"/>
  <c r="AE68" i="8"/>
  <c r="AE51" i="8"/>
  <c r="AE52" i="8"/>
  <c r="AC51" i="8"/>
  <c r="AE109" i="8"/>
  <c r="AE110" i="8"/>
  <c r="AC109" i="8"/>
  <c r="P113" i="8" l="1"/>
  <c r="P124" i="8"/>
  <c r="AC90" i="8"/>
  <c r="AE90" i="8"/>
  <c r="AE91" i="8"/>
  <c r="AA110" i="8"/>
  <c r="AE93" i="8"/>
  <c r="P30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Hallbäck Ismael D/INS/ES-Ö</author>
    <author>Jakupi Edona D/INS/OFS-Ö</author>
    <author>Siegrist Elisabeth DFO/OU-Ö</author>
    <author>Engblom Linnea D/INS/OFS-Ö</author>
  </authors>
  <commentList>
    <comment ref="C48" authorId="0" shapeId="0" xr:uid="{AB94AD7A-7E3C-44AF-B9C1-EC738D9ABD20}">
      <text>
        <r>
          <rPr>
            <b/>
            <sz val="9"/>
            <color indexed="81"/>
            <rFont val="Tahoma"/>
            <family val="2"/>
          </rPr>
          <t xml:space="preserve">SCB:
</t>
        </r>
        <r>
          <rPr>
            <sz val="9"/>
            <color indexed="81"/>
            <rFont val="Tahoma"/>
            <family val="2"/>
          </rPr>
          <t xml:space="preserve">Namnändring, tidigare Eget kapital, utgående värde
</t>
        </r>
      </text>
    </comment>
    <comment ref="C56" authorId="1" shapeId="0" xr:uid="{CDE7A489-1C7B-469B-AAAC-72365F61EB11}">
      <text>
        <r>
          <rPr>
            <b/>
            <sz val="9"/>
            <color indexed="81"/>
            <rFont val="Tahoma"/>
            <family val="2"/>
          </rPr>
          <t xml:space="preserve">SCB: </t>
        </r>
        <r>
          <rPr>
            <sz val="9"/>
            <color indexed="81"/>
            <rFont val="Tahoma"/>
            <family val="2"/>
          </rPr>
          <t>Nytt kontonamn tidigare Obligations- och förlagslån</t>
        </r>
        <r>
          <rPr>
            <b/>
            <sz val="9"/>
            <color indexed="81"/>
            <rFont val="Tahoma"/>
            <family val="2"/>
          </rPr>
          <t xml:space="preserve">
</t>
        </r>
      </text>
    </comment>
    <comment ref="H56" authorId="1" shapeId="0" xr:uid="{6DDB7BA0-0025-42E6-B592-9E8F693EACAC}">
      <text>
        <r>
          <rPr>
            <b/>
            <sz val="9"/>
            <color indexed="81"/>
            <rFont val="Tahoma"/>
            <family val="2"/>
          </rPr>
          <t xml:space="preserve">SCB: </t>
        </r>
        <r>
          <rPr>
            <sz val="9"/>
            <color indexed="81"/>
            <rFont val="Tahoma"/>
            <family val="2"/>
          </rPr>
          <t>Nytt konto från och med 2024, var tidigare del av 228.</t>
        </r>
        <r>
          <rPr>
            <b/>
            <sz val="9"/>
            <color indexed="81"/>
            <rFont val="Tahoma"/>
            <family val="2"/>
          </rPr>
          <t xml:space="preserve">
</t>
        </r>
        <r>
          <rPr>
            <sz val="9"/>
            <color indexed="81"/>
            <rFont val="Tahoma"/>
            <family val="2"/>
          </rPr>
          <t xml:space="preserve">
</t>
        </r>
      </text>
    </comment>
    <comment ref="I62" authorId="2" shapeId="0" xr:uid="{00000000-0006-0000-0200-00001A000000}">
      <text>
        <r>
          <rPr>
            <b/>
            <sz val="9"/>
            <color indexed="81"/>
            <rFont val="Tahoma"/>
            <family val="2"/>
          </rPr>
          <t xml:space="preserve">SCB:
</t>
        </r>
        <r>
          <rPr>
            <sz val="9"/>
            <color indexed="81"/>
            <rFont val="Tahoma"/>
            <family val="2"/>
          </rPr>
          <t>Avser den delen av långfristiga skulder som är nyupptagna lån, dvs. lån som tagits under det aktuella året.</t>
        </r>
        <r>
          <rPr>
            <b/>
            <sz val="9"/>
            <color indexed="81"/>
            <rFont val="Tahoma"/>
            <family val="2"/>
          </rPr>
          <t xml:space="preserve">
</t>
        </r>
      </text>
    </comment>
    <comment ref="C84" authorId="3"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 ref="I87" authorId="2" shapeId="0" xr:uid="{00000000-0006-0000-0200-00001E000000}">
      <text>
        <r>
          <rPr>
            <b/>
            <sz val="9"/>
            <color indexed="81"/>
            <rFont val="Tahoma"/>
            <family val="2"/>
          </rPr>
          <t xml:space="preserve">SCB:
</t>
        </r>
        <r>
          <rPr>
            <sz val="8"/>
            <color indexed="81"/>
            <rFont val="Tahoma"/>
            <family val="2"/>
          </rPr>
          <t>Rad 161 är en därav-rad till summan av ansvarsförbindelser och avser borgensåtaganden för tagna lån i kreditinstitut och banker.</t>
        </r>
        <r>
          <rPr>
            <sz val="9"/>
            <color indexed="81"/>
            <rFont val="Tahoma"/>
            <family val="2"/>
          </rPr>
          <t xml:space="preserve">
</t>
        </r>
      </text>
    </comment>
    <comment ref="I88" authorId="2" shapeId="0" xr:uid="{00000000-0006-0000-0200-000020000000}">
      <text>
        <r>
          <rPr>
            <b/>
            <sz val="9"/>
            <color indexed="81"/>
            <rFont val="Tahoma"/>
            <family val="2"/>
          </rPr>
          <t>SCB:</t>
        </r>
        <r>
          <rPr>
            <sz val="9"/>
            <color indexed="81"/>
            <rFont val="Tahoma"/>
            <family val="2"/>
          </rPr>
          <t xml:space="preserve">
</t>
        </r>
        <r>
          <rPr>
            <sz val="8"/>
            <color indexed="81"/>
            <rFont val="Tahoma"/>
            <family val="2"/>
          </rPr>
          <t xml:space="preserve">Rad 162 är varav-rad till rad 161. Avser borgensåtaganden för bostadsstiftelser och andra icke-finansiella företag där kommunen ensam eller tillsammans med annan kommun, landsting eller staten (eller en kombination av dessa) äger minst 50 % av aktie- eller andelskapitalet. Avser även dotterbolag till kommunägda företag.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scbingj</author>
    <author>Siegrist Elisabeth DFO/OU-Ö</author>
    <author>Jakupi Edona D/INS/OFS-Ö</author>
  </authors>
  <commentList>
    <comment ref="C21" authorId="0"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 ref="B74" authorId="2" shapeId="0" xr:uid="{993D41C1-022B-438A-B62C-E41A0AFA1633}">
      <text>
        <r>
          <rPr>
            <b/>
            <sz val="9"/>
            <color indexed="81"/>
            <rFont val="Tahoma"/>
            <family val="2"/>
          </rPr>
          <t xml:space="preserve">SCB:Konto 787 tas bort från och med 2024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Jakupi Edona D/INS/OFS-Ö</author>
  </authors>
  <commentList>
    <comment ref="C27" authorId="0" shapeId="0" xr:uid="{F3B89A9C-9E5D-42D6-8D70-6694FCFAF151}">
      <text>
        <r>
          <rPr>
            <b/>
            <sz val="9"/>
            <color indexed="81"/>
            <rFont val="Tahoma"/>
            <family val="2"/>
          </rPr>
          <t xml:space="preserve">SCB: </t>
        </r>
        <r>
          <rPr>
            <sz val="9"/>
            <color indexed="81"/>
            <rFont val="Tahoma"/>
            <family val="2"/>
          </rPr>
          <t xml:space="preserve">Innehåller från 2024 endast generella bidrag från staten.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Jakupi Edona D/INS/OFS-Ö</author>
    <author>Hallbäck Ismael D/INS/ES-Ö</author>
  </authors>
  <commentList>
    <comment ref="G6" authorId="0" shapeId="0" xr:uid="{DFF1DBF5-143D-491F-8FB9-739A4AFCC89F}">
      <text>
        <r>
          <rPr>
            <b/>
            <sz val="9"/>
            <color indexed="81"/>
            <rFont val="Tahoma"/>
            <family val="2"/>
          </rPr>
          <t>SCB: Konto 787 efterfrågas ej</t>
        </r>
        <r>
          <rPr>
            <sz val="9"/>
            <color indexed="81"/>
            <rFont val="Tahoma"/>
            <family val="2"/>
          </rPr>
          <t xml:space="preserve">
</t>
        </r>
      </text>
    </comment>
    <comment ref="O121" authorId="1" shapeId="0" xr:uid="{92E8E3F5-03D6-41F9-A49F-B5701C3D9027}">
      <text>
        <r>
          <rPr>
            <b/>
            <sz val="9"/>
            <color indexed="81"/>
            <rFont val="Tahoma"/>
            <family val="2"/>
          </rPr>
          <t xml:space="preserve">SCB: </t>
        </r>
        <r>
          <rPr>
            <sz val="9"/>
            <color indexed="81"/>
            <rFont val="Tahoma"/>
            <family val="2"/>
          </rPr>
          <t>Hela kontogrupp 78, tidigare var 787 exkluderad.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Pettersson Åsa D/INS/FS-Ö</author>
    <author>Siegrist Elisabeth DFO/OU-Ö</author>
  </authors>
  <commentList>
    <comment ref="B24" authorId="0" shapeId="0" xr:uid="{D2589336-7B5A-4B46-A37B-F11800BABAD3}">
      <text>
        <r>
          <rPr>
            <b/>
            <sz val="9"/>
            <color indexed="81"/>
            <rFont val="Tahoma"/>
            <family val="2"/>
          </rPr>
          <t>SCB:</t>
        </r>
        <r>
          <rPr>
            <sz val="9"/>
            <color indexed="81"/>
            <rFont val="Tahoma"/>
            <family val="2"/>
          </rPr>
          <t xml:space="preserve"> Ny variabel samlas in från RS 2024.
</t>
        </r>
      </text>
    </comment>
    <comment ref="B26" authorId="0" shapeId="0" xr:uid="{F870757F-E813-487C-84F8-9C4950940508}">
      <text>
        <r>
          <rPr>
            <b/>
            <sz val="9"/>
            <color indexed="81"/>
            <rFont val="Tahoma"/>
            <family val="2"/>
          </rPr>
          <t xml:space="preserve">SCB: </t>
        </r>
        <r>
          <rPr>
            <sz val="9"/>
            <color indexed="81"/>
            <rFont val="Tahoma"/>
            <family val="2"/>
          </rPr>
          <t xml:space="preserve">Ny variabel samlas in från RS 2024. 
</t>
        </r>
      </text>
    </comment>
    <comment ref="B27" authorId="0" shapeId="0" xr:uid="{4FF23E25-167B-496A-9077-DE87F1C132B2}">
      <text>
        <r>
          <rPr>
            <b/>
            <sz val="9"/>
            <color indexed="81"/>
            <rFont val="Tahoma"/>
            <family val="2"/>
          </rPr>
          <t xml:space="preserve">SCB: </t>
        </r>
        <r>
          <rPr>
            <sz val="9"/>
            <color indexed="81"/>
            <rFont val="Tahoma"/>
            <family val="2"/>
          </rPr>
          <t xml:space="preserve">Ny variabel samlas in från RS 2024.
</t>
        </r>
      </text>
    </comment>
    <comment ref="L43" authorId="1" shapeId="0" xr:uid="{00000000-0006-0000-0700-00001B000000}">
      <text>
        <r>
          <rPr>
            <b/>
            <sz val="9"/>
            <color indexed="81"/>
            <rFont val="Tahoma"/>
            <family val="2"/>
          </rPr>
          <t xml:space="preserve">SCB:
</t>
        </r>
        <r>
          <rPr>
            <sz val="8"/>
            <color indexed="81"/>
            <rFont val="Tahoma"/>
            <family val="2"/>
          </rPr>
          <t xml:space="preserve">SCB behöver information om vad köp av huvudverksamhet från utlandet avser.Kommenera i kommentarrutan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Pettersson Åsa D/INS/FS-Ö</author>
  </authors>
  <commentList>
    <comment ref="B44" authorId="0" shapeId="0" xr:uid="{A8CF4BF9-9B9F-4B80-85A0-F4650D09BAA5}">
      <text>
        <r>
          <rPr>
            <sz val="9"/>
            <color indexed="81"/>
            <rFont val="Tahoma"/>
            <family val="2"/>
          </rPr>
          <t>SCB: Namnändring, tidigare grundsärskola.</t>
        </r>
      </text>
    </comment>
    <comment ref="B72" authorId="0" shapeId="0" xr:uid="{B6032A76-54E1-48E5-A8D8-BE53C506C335}">
      <text>
        <r>
          <rPr>
            <sz val="9"/>
            <color indexed="81"/>
            <rFont val="Tahoma"/>
            <family val="2"/>
          </rPr>
          <t xml:space="preserve">SCB: Namnändring, tidigare gymnasiesärskola.
</t>
        </r>
      </text>
    </comment>
    <comment ref="B104" authorId="1" shapeId="0" xr:uid="{4C1FEB97-9466-4C86-A3C6-F1A732360A4E}">
      <text>
        <r>
          <rPr>
            <b/>
            <sz val="9"/>
            <color indexed="81"/>
            <rFont val="Tahoma"/>
            <family val="2"/>
          </rPr>
          <t xml:space="preserve">SCB: </t>
        </r>
        <r>
          <rPr>
            <sz val="9"/>
            <color indexed="81"/>
            <rFont val="Tahoma"/>
            <family val="2"/>
          </rPr>
          <t>Uppgifter för svenska för invandrare samlas in från och med RS 2024</t>
        </r>
        <r>
          <rPr>
            <b/>
            <sz val="9"/>
            <color indexed="81"/>
            <rFont val="Tahoma"/>
            <family val="2"/>
          </rPr>
          <t>.</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Pettersson Åsa D/INS/FS-Ö</author>
    <author>Siegrist Elisabeth DFO/OU-Ö</author>
    <author>annelie hallberg</author>
    <author>Jakupi Edona D/INS/OFS-Ö</author>
  </authors>
  <commentList>
    <comment ref="B16" authorId="0" shapeId="0" xr:uid="{2835A062-B83A-427D-AF47-0C64C85AB250}">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B17" authorId="0" shapeId="0" xr:uid="{A0BABD4C-60F5-4DA8-9BE8-9075D242E674}">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K32" authorId="1" shapeId="0" xr:uid="{00000000-0006-0000-0900-00000B000000}">
      <text>
        <r>
          <rPr>
            <b/>
            <sz val="9"/>
            <color indexed="81"/>
            <rFont val="Tahoma"/>
            <family val="2"/>
          </rPr>
          <t xml:space="preserve">SCB:
</t>
        </r>
        <r>
          <rPr>
            <sz val="9"/>
            <color indexed="81"/>
            <rFont val="Tahoma"/>
            <family val="2"/>
          </rPr>
          <t>Kostnad för eget åtagande är exklusive ersättning från FK för personlig assistent samt kostnaden för rådgivning m.m. för Jämtlands kommuner.</t>
        </r>
        <r>
          <rPr>
            <sz val="9"/>
            <color indexed="81"/>
            <rFont val="Tahoma"/>
            <family val="2"/>
          </rPr>
          <t xml:space="preserve">
</t>
        </r>
      </text>
    </comment>
    <comment ref="G43" authorId="2" shapeId="0" xr:uid="{00000000-0006-0000-0900-000011000000}">
      <text>
        <r>
          <rPr>
            <b/>
            <sz val="8"/>
            <color indexed="81"/>
            <rFont val="Tahoma"/>
            <family val="2"/>
          </rPr>
          <t xml:space="preserve">SCB: 
</t>
        </r>
        <r>
          <rPr>
            <sz val="8"/>
            <color indexed="81"/>
            <rFont val="Tahoma"/>
            <family val="2"/>
          </rPr>
          <t xml:space="preserve">Beloppet länkas från rad 630 i avdelningen "Verksamhetens intäkter och kostnader". Ersättning från och till FK ska bruttoredovisas.
</t>
        </r>
      </text>
    </comment>
    <comment ref="B53" authorId="3" shapeId="0" xr:uid="{8908C022-3506-451B-A161-2C4806142B06}">
      <text>
        <r>
          <rPr>
            <b/>
            <sz val="8"/>
            <color indexed="81"/>
            <rFont val="Tahoma"/>
            <family val="2"/>
          </rPr>
          <t xml:space="preserve">SCB: </t>
        </r>
        <r>
          <rPr>
            <sz val="9"/>
            <color indexed="81"/>
            <rFont val="Tahoma"/>
            <family val="2"/>
          </rPr>
          <t xml:space="preserve">Tidigare rad 5105 Särskilt boende/annat boende samlas från och med RS 2024 in på egna rader.
</t>
        </r>
      </text>
    </comment>
    <comment ref="B54" authorId="3" shapeId="0" xr:uid="{6E6412B0-3B7C-4B3A-965B-635C4A1FE8EB}">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List>
</comments>
</file>

<file path=xl/sharedStrings.xml><?xml version="1.0" encoding="utf-8"?>
<sst xmlns="http://schemas.openxmlformats.org/spreadsheetml/2006/main" count="1607" uniqueCount="1248">
  <si>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</si>
  <si>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</si>
  <si>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</si>
  <si>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</si>
  <si>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</si>
  <si>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</si>
  <si>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</si>
  <si>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</si>
  <si>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</si>
  <si>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</si>
  <si>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</si>
  <si>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</si>
  <si>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</si>
  <si>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</si>
  <si>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</si>
  <si>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</si>
  <si>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</si>
  <si>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</si>
  <si>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</si>
  <si>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</si>
  <si>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</si>
  <si>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</si>
  <si>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</si>
  <si>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</si>
  <si>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</si>
  <si>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</si>
  <si>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</si>
  <si>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</si>
  <si>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</si>
  <si>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</si>
  <si>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</si>
  <si>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</si>
  <si>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</si>
  <si>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</si>
  <si>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</si>
  <si>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</si>
  <si>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</si>
  <si>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</si>
  <si>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</si>
  <si>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</si>
  <si>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</si>
  <si>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</si>
  <si>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</si>
  <si>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</si>
  <si>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</si>
  <si>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</si>
  <si>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</si>
  <si>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</si>
  <si>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</si>
  <si>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</si>
  <si>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</si>
  <si>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</si>
  <si>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</si>
  <si>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</si>
  <si>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</si>
  <si>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</si>
  <si>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</si>
  <si>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</si>
  <si>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</si>
  <si>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</si>
  <si>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</si>
  <si>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</si>
  <si>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</si>
  <si>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</si>
  <si>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</si>
  <si>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</si>
  <si>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</si>
  <si>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</si>
  <si>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</si>
  <si>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</si>
  <si>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</si>
  <si>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</si>
  <si>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</si>
  <si>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</si>
  <si>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</si>
  <si>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</si>
  <si>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</si>
  <si>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</si>
  <si>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</si>
  <si>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</si>
  <si>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</si>
  <si>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</si>
  <si>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</si>
  <si>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</si>
  <si>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</si>
  <si>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</si>
  <si>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</si>
  <si>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</si>
  <si>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Verksamhetens kostnad enligt RR</t>
  </si>
  <si>
    <t>Verksamhetens intäkter enl. RR</t>
  </si>
  <si>
    <t>Verksamhetens kostnader enl. RR</t>
  </si>
  <si>
    <t>Verksamhetens intäkter enl.RR</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</si>
  <si>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</si>
  <si>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</si>
  <si>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</si>
  <si>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</si>
  <si>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</si>
  <si>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</si>
  <si>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</si>
  <si>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</si>
  <si>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</si>
  <si>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</si>
  <si>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</si>
  <si>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</si>
  <si>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</si>
  <si>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</si>
  <si>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</si>
  <si>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</si>
  <si>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</si>
  <si>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</si>
  <si>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</si>
  <si>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</si>
  <si>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</si>
  <si>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</si>
  <si>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</si>
  <si>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</si>
  <si>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</si>
  <si>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</si>
  <si>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</si>
  <si>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</si>
  <si>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</si>
  <si>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</si>
  <si>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</si>
  <si>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</si>
  <si>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</si>
  <si>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</si>
  <si>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</si>
  <si>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</si>
  <si>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</si>
  <si>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</si>
  <si>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</si>
  <si>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</si>
  <si>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</si>
  <si>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</si>
  <si>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</si>
  <si>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</si>
  <si>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</si>
  <si>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</si>
  <si>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</si>
  <si>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</si>
  <si>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</si>
  <si>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</si>
  <si>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</si>
  <si>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</si>
  <si>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</si>
  <si>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</si>
  <si>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</si>
  <si>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</si>
  <si>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</si>
  <si>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</si>
  <si>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</si>
  <si>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</si>
  <si>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</si>
  <si>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</si>
  <si>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</si>
  <si>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</si>
  <si>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</si>
  <si>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</si>
  <si>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</si>
  <si>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</si>
  <si>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</si>
  <si>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</si>
  <si>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</si>
  <si>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</si>
  <si>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</si>
  <si>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</si>
  <si>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</si>
  <si>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</si>
  <si>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</si>
  <si>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</si>
  <si>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</si>
  <si>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</si>
  <si>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</si>
  <si>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</si>
  <si>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</si>
  <si>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</si>
  <si>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</si>
  <si>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</si>
  <si>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</si>
  <si>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</si>
  <si>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</si>
  <si>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</si>
  <si>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</si>
  <si>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</si>
  <si>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</si>
  <si>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</si>
  <si>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Ange kommunens kostnad för rådgivning och annat personligt stöd enl 9 § punkt 1 LSS, tkr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</si>
  <si>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</si>
  <si>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</si>
  <si>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</si>
  <si>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</si>
  <si>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</si>
  <si>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</si>
  <si>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</si>
  <si>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</si>
  <si>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</si>
  <si>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</si>
  <si>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</si>
  <si>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</si>
  <si>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</si>
  <si>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</si>
  <si>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</si>
  <si>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</si>
  <si>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</si>
  <si>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</si>
  <si>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</si>
  <si>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</si>
  <si>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</si>
  <si>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</si>
  <si>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</si>
  <si>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</si>
  <si>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</si>
  <si>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</si>
  <si>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</si>
  <si>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</si>
  <si>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</si>
  <si>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</si>
  <si>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</si>
  <si>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</si>
  <si>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</si>
  <si>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</si>
  <si>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</si>
  <si>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</si>
  <si>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</si>
  <si>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</si>
  <si>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</si>
  <si>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</si>
  <si>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</si>
  <si>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</si>
  <si>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</si>
  <si>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</si>
  <si>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</si>
  <si>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</si>
  <si>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</si>
  <si>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</si>
  <si>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</si>
  <si>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</si>
  <si>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</si>
  <si>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</si>
  <si>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</si>
  <si>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</si>
  <si>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</si>
  <si>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</si>
  <si>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</si>
  <si>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</si>
  <si>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</si>
  <si>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</si>
  <si>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</si>
  <si>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</si>
  <si>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</si>
  <si>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</si>
  <si>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</si>
  <si>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</si>
  <si>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</si>
  <si>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</si>
  <si>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</si>
  <si>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</si>
  <si>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</si>
  <si>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</si>
  <si>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</si>
  <si>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</si>
  <si>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</si>
  <si>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</si>
  <si>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</si>
  <si>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</si>
  <si>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</si>
  <si>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</si>
  <si>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</si>
  <si>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</si>
  <si>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</si>
  <si>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</si>
  <si>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</si>
  <si>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</si>
  <si>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</si>
  <si>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</si>
  <si>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</si>
  <si>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</si>
  <si>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</si>
  <si>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</si>
  <si>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</si>
  <si>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</si>
  <si>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</si>
  <si>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</si>
  <si>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</si>
  <si>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</si>
  <si>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</si>
  <si>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</si>
  <si>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</si>
  <si>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</si>
  <si>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</si>
  <si>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</si>
  <si>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</si>
  <si>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</si>
  <si>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</si>
  <si>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</si>
  <si>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</si>
  <si>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</si>
  <si>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</si>
  <si>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</si>
  <si>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</si>
  <si>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</si>
  <si>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</si>
  <si>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</si>
  <si>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</si>
  <si>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</si>
  <si>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</si>
  <si>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</si>
  <si>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</si>
  <si>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</si>
  <si>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</si>
  <si>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</si>
  <si>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</si>
  <si>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</si>
  <si>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</si>
  <si>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</si>
  <si>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</si>
  <si>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</si>
  <si>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</si>
  <si>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</si>
  <si>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</si>
  <si>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</si>
  <si>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</si>
  <si>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</si>
  <si>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</si>
  <si>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</si>
  <si>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</si>
  <si>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</si>
  <si>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</si>
  <si>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</si>
  <si>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</si>
  <si>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</si>
  <si>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</si>
  <si>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</si>
  <si>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</si>
  <si>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</si>
  <si>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</si>
  <si>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</si>
  <si>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</si>
  <si>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</si>
  <si>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</si>
  <si>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</si>
  <si>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</si>
  <si>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</si>
  <si>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</si>
  <si>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</si>
  <si>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</si>
  <si>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</si>
  <si>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</si>
  <si>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</si>
  <si>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</si>
  <si>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</si>
  <si>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</si>
  <si>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</si>
  <si>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</si>
  <si>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</si>
  <si>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</si>
  <si>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</si>
  <si>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Övriga insatser i ordinärt boende</t>
  </si>
  <si>
    <t>IB Anläggningstillgångar</t>
  </si>
  <si>
    <t>UB Anläggningstillgångar</t>
  </si>
  <si>
    <t>Insatser till personer med funktionsnedsättning (ej LSS/SFB)</t>
  </si>
  <si>
    <t>Insatser enligt LSS/SFB</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</si>
  <si>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</si>
  <si>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</si>
  <si>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</si>
  <si>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</si>
  <si>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</si>
  <si>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</si>
  <si>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</si>
  <si>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</si>
  <si>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</si>
  <si>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</si>
  <si>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</si>
  <si>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</si>
  <si>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</si>
  <si>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</si>
  <si>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</si>
  <si>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</si>
  <si>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</si>
  <si>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</si>
  <si>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</si>
  <si>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</si>
  <si>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</si>
  <si>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</si>
  <si>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</si>
  <si>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</si>
  <si>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</si>
  <si>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</si>
  <si>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</si>
  <si>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</si>
  <si>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</si>
  <si>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</si>
  <si>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</si>
  <si>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</si>
  <si>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</si>
  <si>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</si>
  <si>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</si>
  <si>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</si>
  <si>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</si>
  <si>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</si>
  <si>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</si>
  <si>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</si>
  <si>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</si>
  <si>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</si>
  <si>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</si>
  <si>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</si>
  <si>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</si>
  <si>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</si>
  <si>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</si>
  <si>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</si>
  <si>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</si>
  <si>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</si>
  <si>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</si>
  <si>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</si>
  <si>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</si>
  <si>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</si>
  <si>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</si>
  <si>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</si>
  <si>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</si>
  <si>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</si>
  <si>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</si>
  <si>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</si>
  <si>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</si>
  <si>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</si>
  <si>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</si>
  <si>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</si>
  <si>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</si>
  <si>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</si>
  <si>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</si>
  <si>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</si>
  <si>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</si>
  <si>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</si>
  <si>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</si>
  <si>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</si>
  <si>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</si>
  <si>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</si>
  <si>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</si>
  <si>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</si>
  <si>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</si>
  <si>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</si>
  <si>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</si>
  <si>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</si>
  <si>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</si>
  <si>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</si>
  <si>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</si>
  <si>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</si>
  <si>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</si>
  <si>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</si>
  <si>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</si>
  <si>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</si>
  <si>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</si>
  <si>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</si>
  <si>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</si>
  <si>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</si>
  <si>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</si>
  <si>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</si>
  <si>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</si>
  <si>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</si>
  <si>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</si>
  <si>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</si>
  <si>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</si>
  <si>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</si>
  <si>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</si>
  <si>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</si>
  <si>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</si>
  <si>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</si>
  <si>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</si>
  <si>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</si>
  <si>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</si>
  <si>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</si>
  <si>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</si>
  <si>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</si>
  <si>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</si>
  <si>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</si>
  <si>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</si>
  <si>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</si>
  <si>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</si>
  <si>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</si>
  <si>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</si>
  <si>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</si>
  <si>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</si>
  <si>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</si>
  <si>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</si>
  <si>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</si>
  <si>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</si>
  <si>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</si>
  <si>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</si>
  <si>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</si>
  <si>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</si>
  <si>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</si>
  <si>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</si>
  <si>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</si>
  <si>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</si>
  <si>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</si>
  <si>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Differens grundskolan</t>
  </si>
  <si>
    <t>Differens gymnasieskolan</t>
  </si>
  <si>
    <t>Differens grundläggande vuxenutbildning</t>
  </si>
  <si>
    <t>Differens gymnasial vuxenutbildning</t>
  </si>
  <si>
    <t>Differens mot drift-  redovisningen</t>
  </si>
  <si>
    <t>Vård och omsorg om äldre (från motpart)</t>
  </si>
  <si>
    <t>inv 21-64 år</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</si>
  <si>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</si>
  <si>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</si>
  <si>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</si>
  <si>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</si>
  <si>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</si>
  <si>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</si>
  <si>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</si>
  <si>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</si>
  <si>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</si>
  <si>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Förskola, avgiftsfinansierringsgrad %</t>
  </si>
  <si>
    <t>Fritidshem, avgiftsfinansieringsgrad</t>
  </si>
  <si>
    <t>Soliditet, % enligt balansräkningen</t>
  </si>
  <si>
    <t>Soliditet, % inkl. pensionsåtaganden före 1998</t>
  </si>
  <si>
    <t>Långfristiga skulder exkl. utlåning till kommunägda bolag</t>
  </si>
  <si>
    <t>Verksamhetens självfinansieringsgrad</t>
  </si>
  <si>
    <t>Förs. expl.fastigheter, tomträtter [37]</t>
  </si>
  <si>
    <t>Interna lokal-kostnader</t>
  </si>
  <si>
    <t>Utlämnade lån till koncernföretag  (rad 088)</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</si>
  <si>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</si>
  <si>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</si>
  <si>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</si>
  <si>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</si>
  <si>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</si>
  <si>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</si>
  <si>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</si>
  <si>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</si>
  <si>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</si>
  <si>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</si>
  <si>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</si>
  <si>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</si>
  <si>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</si>
  <si>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</si>
  <si>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</si>
  <si>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</si>
  <si>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</si>
  <si>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</si>
  <si>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</si>
  <si>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</si>
  <si>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</si>
  <si>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</si>
  <si>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</si>
  <si>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</si>
  <si>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</si>
  <si>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</si>
  <si>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</si>
  <si>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</si>
  <si>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</si>
  <si>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</si>
  <si>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</si>
  <si>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</si>
  <si>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</si>
  <si>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</si>
  <si>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</si>
  <si>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</si>
  <si>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</si>
  <si>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</si>
  <si>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</si>
  <si>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</si>
  <si>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</si>
  <si>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</si>
  <si>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</si>
  <si>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</si>
  <si>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</si>
  <si>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</si>
  <si>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</si>
  <si>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</si>
  <si>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</si>
  <si>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</si>
  <si>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</si>
  <si>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</si>
  <si>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</si>
  <si>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</si>
  <si>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</si>
  <si>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</si>
  <si>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</si>
  <si>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</si>
  <si>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</si>
  <si>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</si>
  <si>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</si>
  <si>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</si>
  <si>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</si>
  <si>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</si>
  <si>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</si>
  <si>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</si>
  <si>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</si>
  <si>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</si>
  <si>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</si>
  <si>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</si>
  <si>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</si>
  <si>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</si>
  <si>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</si>
  <si>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</si>
  <si>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</si>
  <si>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</si>
  <si>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</si>
  <si>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</si>
  <si>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</si>
  <si>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</si>
  <si>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</si>
  <si>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</si>
  <si>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</si>
  <si>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r>
      <t>Omsättningstillgångar</t>
    </r>
    <r>
      <rPr>
        <sz val="7"/>
        <rFont val="Helvetica"/>
        <family val="2"/>
      </rPr>
      <t xml:space="preserve">                                       </t>
    </r>
  </si>
  <si>
    <t>Rad-</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</si>
  <si>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</si>
  <si>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</si>
  <si>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</si>
  <si>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</si>
  <si>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</si>
  <si>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</si>
  <si>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</si>
  <si>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</si>
  <si>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</si>
  <si>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</si>
  <si>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</si>
  <si>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</si>
  <si>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</si>
  <si>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</si>
  <si>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</si>
  <si>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</si>
  <si>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</si>
  <si>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</si>
  <si>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</si>
  <si>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</si>
  <si>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</si>
  <si>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</si>
  <si>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</si>
  <si>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</si>
  <si>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</si>
  <si>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</si>
  <si>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</si>
  <si>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221</t>
  </si>
  <si>
    <t>222</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</si>
  <si>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</si>
  <si>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</si>
  <si>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</si>
  <si>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</si>
  <si>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</si>
  <si>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</si>
  <si>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</si>
  <si>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</si>
  <si>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</si>
  <si>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</si>
  <si>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</si>
  <si>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</si>
  <si>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</si>
  <si>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</si>
  <si>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</si>
  <si>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</si>
  <si>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</si>
  <si>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</si>
  <si>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</si>
  <si>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</si>
  <si>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</si>
  <si>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</si>
  <si>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</si>
  <si>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</si>
  <si>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</si>
  <si>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</si>
  <si>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</si>
  <si>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</si>
  <si>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</si>
  <si>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</si>
  <si>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</si>
  <si>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</si>
  <si>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</si>
  <si>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</si>
  <si>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</si>
  <si>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</si>
  <si>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</si>
  <si>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</si>
  <si>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</si>
  <si>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</si>
  <si>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</si>
  <si>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</si>
  <si>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</si>
  <si>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</si>
  <si>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</si>
  <si>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</si>
  <si>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</si>
  <si>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</si>
  <si>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</si>
  <si>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</si>
  <si>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</si>
  <si>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</si>
  <si>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</si>
  <si>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</si>
  <si>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</si>
  <si>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</si>
  <si>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</si>
  <si>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</si>
  <si>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</si>
  <si>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</si>
  <si>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</si>
  <si>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</si>
  <si>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</si>
  <si>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</si>
  <si>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</si>
  <si>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</si>
  <si>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</si>
  <si>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</si>
  <si>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</si>
  <si>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</si>
  <si>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</si>
  <si>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</si>
  <si>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</si>
  <si>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</si>
  <si>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</si>
  <si>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</si>
  <si>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</si>
  <si>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</si>
  <si>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</si>
  <si>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</si>
  <si>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</si>
  <si>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</si>
  <si>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</si>
  <si>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</si>
  <si>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</si>
  <si>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</si>
  <si>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</si>
  <si>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Borgensförbindelser och övriga ansvarsförbindelser</t>
  </si>
  <si>
    <t>Förskola, fritidshem o annan pedagogisk verksamhet, totalt</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</si>
  <si>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</si>
  <si>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</si>
  <si>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</si>
  <si>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</si>
  <si>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</si>
  <si>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</si>
  <si>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</si>
  <si>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</si>
  <si>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</si>
  <si>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</si>
  <si>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</si>
  <si>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</si>
  <si>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</si>
  <si>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</si>
  <si>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</si>
  <si>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</si>
  <si>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</si>
  <si>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</si>
  <si>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</si>
  <si>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</si>
  <si>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</si>
  <si>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</si>
  <si>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</si>
  <si>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</si>
  <si>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</si>
  <si>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</si>
  <si>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</si>
  <si>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</si>
  <si>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</si>
  <si>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</si>
  <si>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</si>
  <si>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</si>
  <si>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</si>
  <si>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</si>
  <si>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</si>
  <si>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</si>
  <si>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</si>
  <si>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238</t>
  </si>
  <si>
    <t>232, 239</t>
  </si>
  <si>
    <t>Upplupna sociala avgifter</t>
  </si>
  <si>
    <t>62, 691</t>
  </si>
  <si>
    <t>361, 363, 365</t>
  </si>
  <si>
    <t>Övriga främmande tjänster</t>
  </si>
  <si>
    <t>781, 782,784</t>
  </si>
  <si>
    <t>Pensionsutbetalningar intjänade fr.o.m.98</t>
  </si>
  <si>
    <t>[46]</t>
  </si>
  <si>
    <t>Köp av huvudverksamhet [46]</t>
  </si>
  <si>
    <t>verksamhet [46]</t>
  </si>
  <si>
    <t>617, 618</t>
  </si>
  <si>
    <t>63, 695</t>
  </si>
  <si>
    <t>361, 363</t>
  </si>
  <si>
    <t>361</t>
  </si>
  <si>
    <t>Därav köp av huvudverksamhet</t>
  </si>
  <si>
    <t>Motpartsredovisning av köp av huvudverksamhet [46]</t>
  </si>
  <si>
    <t>341</t>
  </si>
  <si>
    <t>651</t>
  </si>
  <si>
    <t>317</t>
  </si>
  <si>
    <t>327</t>
  </si>
  <si>
    <t>087</t>
  </si>
  <si>
    <t>062</t>
  </si>
  <si>
    <t>064</t>
  </si>
  <si>
    <t xml:space="preserve">6192, 692, 696 </t>
  </si>
  <si>
    <t>Differens mellan summan av rad 900-984 och RR rad 070</t>
  </si>
  <si>
    <t>Enskilda personer, hushåll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</si>
  <si>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</si>
  <si>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</si>
  <si>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</si>
  <si>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</si>
  <si>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</si>
  <si>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</si>
  <si>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138</t>
  </si>
  <si>
    <t>Grundfondskapital</t>
  </si>
  <si>
    <t>133, 134</t>
  </si>
  <si>
    <t>132, 137</t>
  </si>
  <si>
    <t>104</t>
  </si>
  <si>
    <t>[31]</t>
  </si>
  <si>
    <t>Buss, bil och spårbundna persontransporter</t>
  </si>
  <si>
    <t>Väg- och järnvägsnät, parkering</t>
  </si>
  <si>
    <t xml:space="preserve">Lärverktyg </t>
  </si>
  <si>
    <t>Varor m.m.</t>
  </si>
  <si>
    <t>Kommun-                  nyckel</t>
  </si>
  <si>
    <t>SCB-             nyckel</t>
  </si>
  <si>
    <t xml:space="preserve">             Fördelning i kolumnen kommunnyckel </t>
  </si>
  <si>
    <t xml:space="preserve">             Fördelning i kolumnen SCB-nyckel</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</si>
  <si>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</si>
  <si>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</si>
  <si>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</si>
  <si>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</si>
  <si>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</si>
  <si>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</si>
  <si>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</si>
  <si>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</si>
  <si>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</si>
  <si>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</si>
  <si>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</si>
  <si>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</si>
  <si>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</si>
  <si>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</si>
  <si>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</si>
  <si>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</si>
  <si>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</si>
  <si>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</si>
  <si>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</si>
  <si>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</si>
  <si>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</si>
  <si>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</si>
  <si>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</si>
  <si>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</si>
  <si>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</si>
  <si>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</si>
  <si>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</si>
  <si>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</si>
  <si>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</si>
  <si>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</si>
  <si>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</si>
  <si>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</si>
  <si>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</si>
  <si>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</si>
  <si>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</si>
  <si>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</si>
  <si>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</si>
  <si>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</si>
  <si>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</si>
  <si>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</si>
  <si>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</si>
  <si>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</si>
  <si>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</si>
  <si>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</si>
  <si>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</si>
  <si>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</si>
  <si>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</si>
  <si>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</si>
  <si>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</si>
  <si>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</si>
  <si>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</si>
  <si>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</si>
  <si>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</si>
  <si>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</si>
  <si>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</si>
  <si>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</si>
  <si>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</si>
  <si>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</si>
  <si>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</si>
  <si>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</si>
  <si>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</si>
  <si>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</si>
  <si>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</si>
  <si>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</si>
  <si>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</si>
  <si>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</si>
  <si>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</si>
  <si>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</si>
  <si>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</si>
  <si>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</si>
  <si>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</si>
  <si>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</si>
  <si>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</si>
  <si>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</si>
  <si>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</si>
  <si>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</si>
  <si>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</si>
  <si>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</si>
  <si>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Pensionsutbetalningar</t>
  </si>
  <si>
    <t>Uppdragsutbildning m.m.</t>
  </si>
  <si>
    <t>Avgifter till utjämningssystemen</t>
  </si>
  <si>
    <t>(Reavinst vid) Försälj. av anl.tillg.[38]</t>
  </si>
  <si>
    <t>Nyckeltal kostnad kr per invånare eller andel av verksamhet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</si>
  <si>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</si>
  <si>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</si>
  <si>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</si>
  <si>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</si>
  <si>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</si>
  <si>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</si>
  <si>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</si>
  <si>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</si>
  <si>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</si>
  <si>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</si>
  <si>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</si>
  <si>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</si>
  <si>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</si>
  <si>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</si>
  <si>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</si>
  <si>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</si>
  <si>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</si>
  <si>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</si>
  <si>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</si>
  <si>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</si>
  <si>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</si>
  <si>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</si>
  <si>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</si>
  <si>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</si>
  <si>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</si>
  <si>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</si>
  <si>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</si>
  <si>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</si>
  <si>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</si>
  <si>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</si>
  <si>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</si>
  <si>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Avskrivningar, inklusive nedskrivningar</t>
  </si>
  <si>
    <t>bindelser (inklusive borgens- o förlustansvar                   småhus)</t>
  </si>
  <si>
    <t>Pensionsförplikt.    Inkl. löneskatt på</t>
  </si>
  <si>
    <t xml:space="preserve"> som inte har upptagits bland skulder el. avsättningar                pensionsförpliktelse</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</si>
  <si>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</si>
  <si>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</si>
  <si>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</si>
  <si>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</si>
  <si>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</si>
  <si>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</si>
  <si>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</si>
  <si>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</si>
  <si>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</si>
  <si>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</si>
  <si>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</si>
  <si>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</si>
  <si>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</si>
  <si>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</si>
  <si>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</si>
  <si>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</si>
  <si>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</si>
  <si>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</si>
  <si>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</si>
  <si>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</si>
  <si>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</si>
  <si>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</si>
  <si>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</si>
  <si>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</si>
  <si>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</si>
  <si>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</si>
  <si>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</si>
  <si>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</si>
  <si>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</si>
  <si>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</si>
  <si>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</si>
  <si>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</si>
  <si>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</si>
  <si>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</si>
  <si>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</si>
  <si>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</si>
  <si>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</si>
  <si>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</si>
  <si>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</si>
  <si>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</si>
  <si>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</si>
  <si>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</si>
  <si>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</si>
  <si>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</si>
  <si>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</si>
  <si>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</si>
  <si>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</si>
  <si>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</si>
  <si>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</si>
  <si>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del av 238</t>
  </si>
  <si>
    <t>del av 23</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</si>
  <si>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</si>
  <si>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</si>
  <si>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</si>
  <si>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</si>
  <si>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</si>
  <si>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</si>
  <si>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</si>
  <si>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</si>
  <si>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</si>
  <si>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</si>
  <si>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</si>
  <si>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</si>
  <si>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</si>
  <si>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</si>
  <si>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</si>
  <si>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</si>
  <si>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Därav                                köp av huvud-verksamhet</t>
  </si>
  <si>
    <t>Differens mellan summan av rad 800-844 och RR rad 060:</t>
  </si>
  <si>
    <t>Självrisker</t>
  </si>
  <si>
    <t>Infriad borgen</t>
  </si>
  <si>
    <t>Avgifter</t>
  </si>
  <si>
    <t>Nämnare nyckeltal och kommentar till kontroller</t>
  </si>
  <si>
    <t>Följande jämförelsestörande poster ingår i Resultaträkningen ovan:</t>
  </si>
  <si>
    <t>170</t>
  </si>
  <si>
    <t>175</t>
  </si>
  <si>
    <t>180</t>
  </si>
  <si>
    <t>del av 16</t>
  </si>
  <si>
    <t>Fördelad gemensam verksamhet (rad 920)</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</si>
  <si>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</si>
  <si>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</si>
  <si>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</si>
  <si>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</si>
  <si>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</si>
  <si>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</si>
  <si>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</si>
  <si>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</si>
  <si>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</si>
  <si>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</si>
  <si>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</si>
  <si>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</si>
  <si>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</si>
  <si>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</si>
  <si>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</si>
  <si>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</si>
  <si>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</si>
  <si>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</si>
  <si>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</si>
  <si>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</si>
  <si>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</si>
  <si>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</si>
  <si>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</si>
  <si>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</si>
  <si>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</si>
  <si>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</si>
  <si>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</si>
  <si>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</si>
  <si>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</si>
  <si>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</si>
  <si>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</si>
  <si>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</si>
  <si>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</si>
  <si>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</si>
  <si>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</si>
  <si>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</si>
  <si>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</si>
  <si>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</si>
  <si>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</si>
  <si>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</si>
  <si>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</si>
  <si>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</si>
  <si>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</si>
  <si>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</si>
  <si>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</si>
  <si>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</si>
  <si>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</si>
  <si>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</si>
  <si>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</si>
  <si>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</si>
  <si>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</si>
  <si>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</si>
  <si>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Verksamhetens resultat</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</si>
  <si>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</si>
  <si>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</si>
  <si>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</si>
  <si>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</si>
  <si>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</si>
  <si>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Kommunalförbund och SKR</t>
  </si>
  <si>
    <t>Kostn.ers. o rikt bidrag, MP Arbetsförmedlingen</t>
  </si>
  <si>
    <t>Kostn.ers. o rikt.bidrag, MP kommuner, komm.förb. o region</t>
  </si>
  <si>
    <t>Kostn.ers. o rikt. bidrag, MP staten o statl. myndigh exkl AF, ej invest</t>
  </si>
  <si>
    <t>Förs. av v-het. till region</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</si>
  <si>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</si>
  <si>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</si>
  <si>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</si>
  <si>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</si>
  <si>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</si>
  <si>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</si>
  <si>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</si>
  <si>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</si>
  <si>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</si>
  <si>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</si>
  <si>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</si>
  <si>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</si>
  <si>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</si>
  <si>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</si>
  <si>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</si>
  <si>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</si>
  <si>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</si>
  <si>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</si>
  <si>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</si>
  <si>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</si>
  <si>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</si>
  <si>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</si>
  <si>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</si>
  <si>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</si>
  <si>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</si>
  <si>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</si>
  <si>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</si>
  <si>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</si>
  <si>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</si>
  <si>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</si>
  <si>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[601 (interna poster)]</t>
  </si>
  <si>
    <t xml:space="preserve">Försäljning av mark, brutto </t>
  </si>
  <si>
    <t>79,                  852 (interna poster) ]</t>
  </si>
  <si>
    <t>+/- Omklassificeringar mellan kontogrupper</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</si>
  <si>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</si>
  <si>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</si>
  <si>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</si>
  <si>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</si>
  <si>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</si>
  <si>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</si>
  <si>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</si>
  <si>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</si>
  <si>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</si>
  <si>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</si>
  <si>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</si>
  <si>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</si>
  <si>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</si>
  <si>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</si>
  <si>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</si>
  <si>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</si>
  <si>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</si>
  <si>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</si>
  <si>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</si>
  <si>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</si>
  <si>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</si>
  <si>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</si>
  <si>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Justering av eget kapital, ingående värde</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</si>
  <si>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</si>
  <si>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</si>
  <si>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</si>
  <si>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</si>
  <si>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</si>
  <si>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</si>
  <si>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</si>
  <si>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</si>
  <si>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</si>
  <si>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</si>
  <si>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</si>
  <si>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</si>
  <si>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</si>
  <si>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</si>
  <si>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</si>
  <si>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</si>
  <si>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</si>
  <si>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</si>
  <si>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</si>
  <si>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</si>
  <si>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</si>
  <si>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</si>
  <si>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</si>
  <si>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</si>
  <si>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</si>
  <si>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</si>
  <si>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</si>
  <si>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</si>
  <si>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</si>
  <si>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</si>
  <si>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</si>
  <si>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</si>
  <si>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</si>
  <si>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</si>
  <si>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</si>
  <si>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</si>
  <si>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</si>
  <si>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</si>
  <si>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</si>
  <si>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</si>
  <si>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</si>
  <si>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</si>
  <si>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</si>
  <si>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</si>
  <si>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</si>
  <si>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</si>
  <si>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</si>
  <si>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</si>
  <si>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</si>
  <si>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</si>
  <si>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</si>
  <si>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</si>
  <si>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</si>
  <si>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</si>
  <si>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</si>
  <si>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</si>
  <si>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</si>
  <si>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</si>
  <si>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</si>
  <si>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</si>
  <si>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</si>
  <si>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</si>
  <si>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</si>
  <si>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</si>
  <si>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Komvux, anpassad utbildning</t>
  </si>
  <si>
    <t>Grundskola inkl förskoleklass och anpassad grundskola</t>
  </si>
  <si>
    <t>Gymnasieskola inkl anpassad gymnasieskola</t>
  </si>
  <si>
    <t>Svenska för invandrare</t>
  </si>
  <si>
    <t>Differens svenska för invandrare</t>
  </si>
  <si>
    <t xml:space="preserve">Särskilt boende </t>
  </si>
  <si>
    <t>Annat boende</t>
  </si>
  <si>
    <t>[41"ej 418", 43, 617, 618, 62, 64-65, 691]</t>
  </si>
  <si>
    <t>476</t>
  </si>
  <si>
    <t>4761</t>
  </si>
  <si>
    <t>4762</t>
  </si>
  <si>
    <t>4766</t>
  </si>
  <si>
    <t>4767</t>
  </si>
  <si>
    <t>4768</t>
  </si>
  <si>
    <t>47681</t>
  </si>
  <si>
    <t>59 [ej 591]</t>
  </si>
  <si>
    <t>Övriga lönejusteringar</t>
  </si>
  <si>
    <t>[55x1, 5597, 60,"ej 601", 61"ej 617,618", 63, 66, 68, 69"ej 691", 70-72, 731-734, 74, 75, 76]</t>
  </si>
  <si>
    <t>Särskilt boende</t>
  </si>
  <si>
    <t>Obligationsprogram och förlagslån</t>
  </si>
  <si>
    <t>2282</t>
  </si>
  <si>
    <t>Generella bidrag från staten.</t>
  </si>
  <si>
    <t>Reaförluster o div. period. [78]</t>
  </si>
  <si>
    <t>varav för lån</t>
  </si>
  <si>
    <t xml:space="preserve">Rad nr </t>
  </si>
  <si>
    <t xml:space="preserve">        varav resultatreserv </t>
  </si>
  <si>
    <t xml:space="preserve">        varav resultatutjämningsreserv</t>
  </si>
  <si>
    <t>Förändr.pens.avs.[572] o.särsk.lönesk.pens.avs.[5635], del av 59</t>
  </si>
  <si>
    <t>Invånarantal 16 - w</t>
  </si>
  <si>
    <t>Kostnad per invånare 16-w år kommunal regi</t>
  </si>
  <si>
    <t>Kostnad per invånare 16-w år för undervisning.</t>
  </si>
  <si>
    <t>Kostnad per invånare 16-w år för lärverktyg</t>
  </si>
  <si>
    <t>Kostnad per invånare 16-w år för elevhälsa.</t>
  </si>
  <si>
    <t>Kostnad per invånare 16-w år för lokaler.</t>
  </si>
  <si>
    <t>Kostnad per invånare 16-w år för övigt.</t>
  </si>
  <si>
    <t>Kostnad per invånare 16-w år för hemkommunen, svenska för invandrare.</t>
  </si>
  <si>
    <t>061</t>
  </si>
  <si>
    <t>0732</t>
  </si>
  <si>
    <t>0733</t>
  </si>
  <si>
    <t>Övriga kortfristiga placeringar</t>
  </si>
  <si>
    <t>057</t>
  </si>
  <si>
    <t xml:space="preserve">        varav resultatreserv</t>
  </si>
  <si>
    <t>Eget kapital vid årets början</t>
  </si>
  <si>
    <t>EGET KAPITAL VID ÅRETS SLUT</t>
  </si>
  <si>
    <t>Åberopar synnerliga skäl för att inte återställa hela eller delar av årets negativa balanskravsresultat - ange belopp!</t>
  </si>
  <si>
    <t>Ackumulerat negativt balanskravsresultat att återställa</t>
  </si>
  <si>
    <t>Åberopar synnerliga skäl för att återställa årets negativa balanskravsresultat på fler än tre år - ange antal år!</t>
  </si>
  <si>
    <t>Årets balanskravsresultat att återställa, efter synnerliga skäl</t>
  </si>
  <si>
    <t>Synnerliga skäl (årets balanskravsresultat)</t>
  </si>
  <si>
    <t>Negativt balanskravsresultat att återställa från tidigare år</t>
  </si>
  <si>
    <t>Ackumulerat ej återställt negativt balanskravsresultat (från tidigare år inkl. årets ev negativa balanskravsresultat)</t>
  </si>
  <si>
    <t>Övriga justeringar i eget kapital</t>
  </si>
  <si>
    <t>Soc.avg o pens.utbet./kostn. [56 "ej 5635", del av 59, 57 "ej 572"]</t>
  </si>
  <si>
    <t>[50-51, 53, 54, 55x2, 5598, del av 59]</t>
  </si>
  <si>
    <t>RIKSTOTAL</t>
  </si>
  <si>
    <t>Kommunernas finanser</t>
  </si>
  <si>
    <t>Räkenskapssammandraget 2024</t>
  </si>
  <si>
    <t>Värde Mnkr</t>
  </si>
  <si>
    <t>Därav interna intäkter</t>
  </si>
  <si>
    <t>Publiceringsdatum: 20250829</t>
  </si>
  <si>
    <t>till 50 % av kommunen, anges på raden för fastighetsverksamhet. I beloppet ska bolagets samtliga investeringsutgifter/inkomster avseende materiella och immateriella anläggningstillgångar ingå, dvs. inte enbart fastighetsinvesteringar.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</si>
</sst>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kr&quot;#,##0_);[Red]\(&quot;kr&quot;#,##0\)"/>
    <numFmt numFmtId="165" formatCode="_(* #,##0.00_);_(* \(#,##0.00\);_(* &quot;-&quot;??_);_(@_)"/>
    <numFmt numFmtId="166" formatCode="000"/>
    <numFmt numFmtId="167" formatCode="###,###,###"/>
    <numFmt numFmtId="168" formatCode=";;;"/>
    <numFmt numFmtId="169" formatCode="#,##0.0000"/>
    <numFmt numFmtId="170" formatCode="###,##0"/>
    <numFmt numFmtId="171" formatCode="#,###"/>
    <numFmt numFmtId="172" formatCode="#,##0.0000000"/>
    <numFmt numFmtId="173" formatCode="#\ ##0"/>
  </numFmts>
  <fonts count="148">
    <font>
      <sz val="10"/>
      <name val="Arial"/>
    </font>
    <font>
      <sz val="11"/>
      <color theme="1"/>
      <name val="Calibri"/>
      <family val="2"/>
      <scheme val="minor"/>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8"/>
      <name val="Arial"/>
      <family val="2"/>
    </font>
    <font>
      <sz val="10"/>
      <color indexed="39"/>
      <name val="Helvetica"/>
      <family val="2"/>
    </font>
    <font>
      <b/>
      <sz val="9"/>
      <name val="Arial"/>
      <family val="2"/>
    </font>
    <font>
      <sz val="10"/>
      <color indexed="9"/>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7"/>
      <name val="Helvetica "/>
    </font>
    <font>
      <sz val="8"/>
      <color indexed="9"/>
      <name val="Helvetica"/>
      <family val="2"/>
    </font>
    <font>
      <sz val="8"/>
      <color indexed="9"/>
      <name val="Cambria"/>
      <family val="1"/>
    </font>
    <font>
      <sz val="10"/>
      <color indexed="9"/>
      <name val="Cambria"/>
      <family val="1"/>
    </font>
    <font>
      <sz val="7"/>
      <name val="Cambria"/>
      <family val="1"/>
    </font>
    <font>
      <u/>
      <sz val="10"/>
      <name val="Arial"/>
      <family val="2"/>
    </font>
    <font>
      <sz val="6.5"/>
      <name val="Helvetica"/>
      <family val="2"/>
    </font>
    <font>
      <sz val="9"/>
      <color indexed="81"/>
      <name val="Tahoma"/>
      <family val="2"/>
    </font>
    <font>
      <b/>
      <sz val="9"/>
      <color indexed="81"/>
      <name val="Tahoma"/>
      <family val="2"/>
    </font>
    <font>
      <sz val="11"/>
      <color theme="1"/>
      <name val="Calibri"/>
      <family val="2"/>
      <scheme val="minor"/>
    </font>
    <font>
      <sz val="11"/>
      <color rgb="FF9C0006"/>
      <name val="Calibri"/>
      <family val="2"/>
      <scheme val="minor"/>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rgb="FFFFFFCC"/>
      <name val="Helvetica"/>
      <family val="2"/>
    </font>
    <font>
      <sz val="10"/>
      <color rgb="FFFFFFCC"/>
      <name val="Arial"/>
      <family val="2"/>
    </font>
    <font>
      <sz val="8"/>
      <color rgb="FF00B050"/>
      <name val="Helvetica"/>
      <family val="2"/>
    </font>
    <font>
      <sz val="8"/>
      <color theme="1"/>
      <name val="Helvetica"/>
      <family val="2"/>
    </font>
    <font>
      <b/>
      <sz val="7"/>
      <color theme="1"/>
      <name val="Helvetica"/>
      <family val="2"/>
    </font>
    <font>
      <b/>
      <sz val="8"/>
      <color theme="1"/>
      <name val="Helvetica"/>
      <family val="2"/>
    </font>
    <font>
      <sz val="8"/>
      <color rgb="FFFFFFCC"/>
      <name val="Helvetica"/>
      <family val="2"/>
    </font>
    <font>
      <b/>
      <sz val="7"/>
      <color rgb="FFFFFFCC"/>
      <name val="Helvetica"/>
      <family val="2"/>
    </font>
    <font>
      <sz val="7"/>
      <color rgb="FFFF000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sz val="7"/>
      <color rgb="FFFFFFCC"/>
      <name val="Helvetia"/>
    </font>
    <font>
      <sz val="7"/>
      <name val="Helvetia"/>
    </font>
    <font>
      <sz val="8"/>
      <color theme="0"/>
      <name val="Arial"/>
      <family val="2"/>
    </font>
    <font>
      <sz val="10"/>
      <color theme="0"/>
      <name val="Arial"/>
      <family val="2"/>
    </font>
    <font>
      <sz val="8"/>
      <color theme="0"/>
      <name val="Helvetica"/>
      <family val="2"/>
    </font>
    <font>
      <strike/>
      <sz val="7"/>
      <color rgb="FFFF0000"/>
      <name val="Helvetica"/>
      <family val="2"/>
    </font>
    <font>
      <strike/>
      <sz val="7"/>
      <name val="Helvetica"/>
      <family val="2"/>
    </font>
    <font>
      <b/>
      <sz val="7"/>
      <color theme="0"/>
      <name val="Helvetica"/>
      <family val="2"/>
    </font>
    <font>
      <b/>
      <sz val="8"/>
      <color indexed="10"/>
      <name val="Tahoma"/>
      <family val="2"/>
    </font>
    <font>
      <sz val="7"/>
      <color rgb="FFFF0000"/>
      <name val="Helvetica"/>
      <family val="2"/>
    </font>
    <font>
      <sz val="7"/>
      <color rgb="FFFF0000"/>
      <name val="Calibri"/>
      <family val="2"/>
      <scheme val="minor"/>
    </font>
    <font>
      <sz val="10"/>
      <name val="Arial"/>
      <family val="2"/>
    </font>
    <font>
      <b/>
      <sz val="7"/>
      <name val="Helvetica"/>
      <family val="2"/>
    </font>
    <font>
      <i/>
      <sz val="10"/>
      <name val="Arial"/>
      <family val="2"/>
    </font>
    <font>
      <b/>
      <sz val="10"/>
      <color rgb="FFFFFFC0"/>
      <name val="Helvetica"/>
      <family val="2"/>
    </font>
    <font>
      <sz val="26"/>
      <name val="Arial"/>
      <family val="2"/>
    </font>
  </fonts>
  <fills count="38">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gray125">
        <fgColor indexed="22"/>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gray125">
        <fgColor indexed="22"/>
        <bgColor theme="0"/>
      </patternFill>
    </fill>
    <fill>
      <patternFill patternType="solid">
        <fgColor theme="0"/>
        <bgColor indexed="64"/>
      </patternFill>
    </fill>
    <fill>
      <patternFill patternType="solid">
        <fgColor rgb="FFFFFFE5"/>
        <bgColor indexed="64"/>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gray125">
        <fgColor rgb="FFC0C0C0"/>
        <bgColor indexed="9"/>
      </patternFill>
    </fill>
    <fill>
      <patternFill patternType="solid">
        <fgColor rgb="FFFFFFFF"/>
        <bgColor indexed="64"/>
      </patternFill>
    </fill>
    <fill>
      <patternFill patternType="solid">
        <fgColor rgb="FFFFFFCC"/>
        <bgColor rgb="FFFFFFFF"/>
      </patternFill>
    </fill>
    <fill>
      <patternFill patternType="solid">
        <fgColor rgb="FFFFFFFF"/>
        <bgColor rgb="FFFFFFFF"/>
      </patternFill>
    </fill>
    <fill>
      <patternFill patternType="lightGray">
        <fgColor rgb="FF00CCFF"/>
        <bgColor rgb="FFFFFFFF"/>
      </patternFill>
    </fill>
  </fills>
  <borders count="315">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medium">
        <color rgb="FF000000"/>
      </right>
      <top/>
      <bottom/>
      <diagonal/>
    </border>
    <border>
      <left/>
      <right/>
      <top/>
      <bottom style="medium">
        <color rgb="FF000000"/>
      </bottom>
      <diagonal/>
    </border>
    <border>
      <left style="medium">
        <color rgb="FF000000"/>
      </left>
      <right style="medium">
        <color indexed="64"/>
      </right>
      <top style="hair">
        <color indexed="64"/>
      </top>
      <bottom style="medium">
        <color rgb="FF000000"/>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style="hair">
        <color indexed="64"/>
      </left>
      <right style="medium">
        <color rgb="FF000000"/>
      </right>
      <top style="medium">
        <color indexed="64"/>
      </top>
      <bottom/>
      <diagonal/>
    </border>
    <border>
      <left style="hair">
        <color indexed="64"/>
      </left>
      <right style="medium">
        <color rgb="FF000000"/>
      </right>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medium">
        <color indexed="64"/>
      </bottom>
      <diagonal/>
    </border>
    <border>
      <left style="hair">
        <color indexed="64"/>
      </left>
      <right style="medium">
        <color rgb="FF000000"/>
      </right>
      <top style="hair">
        <color indexed="64"/>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medium">
        <color indexed="64"/>
      </bottom>
      <diagonal/>
    </border>
    <border>
      <left style="hair">
        <color indexed="64"/>
      </left>
      <right/>
      <top style="thin">
        <color indexed="64"/>
      </top>
      <bottom style="medium">
        <color indexed="64"/>
      </bottom>
      <diagonal/>
    </border>
    <border>
      <left style="hair">
        <color indexed="64"/>
      </left>
      <right style="medium">
        <color rgb="FF000000"/>
      </right>
      <top/>
      <bottom style="thin">
        <color indexed="64"/>
      </bottom>
      <diagonal/>
    </border>
    <border>
      <left style="hair">
        <color indexed="64"/>
      </left>
      <right style="medium">
        <color rgb="FF000000"/>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hair">
        <color indexed="64"/>
      </top>
      <bottom style="hair">
        <color indexed="64"/>
      </bottom>
      <diagonal/>
    </border>
    <border>
      <left style="hair">
        <color indexed="64"/>
      </left>
      <right style="medium">
        <color rgb="FF000000"/>
      </right>
      <top style="hair">
        <color indexed="64"/>
      </top>
      <bottom style="thin">
        <color indexed="64"/>
      </bottom>
      <diagonal/>
    </border>
    <border>
      <left/>
      <right style="medium">
        <color rgb="FF000000"/>
      </right>
      <top style="hair">
        <color indexed="64"/>
      </top>
      <bottom style="medium">
        <color indexed="64"/>
      </bottom>
      <diagonal/>
    </border>
    <border>
      <left style="hair">
        <color indexed="64"/>
      </left>
      <right style="medium">
        <color rgb="FF000000"/>
      </right>
      <top style="thin">
        <color indexed="64"/>
      </top>
      <bottom style="thin">
        <color indexed="64"/>
      </bottom>
      <diagonal/>
    </border>
    <border>
      <left style="hair">
        <color indexed="64"/>
      </left>
      <right style="medium">
        <color rgb="FF000000"/>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rgb="FF000000"/>
      </right>
      <top/>
      <bottom style="hair">
        <color indexed="64"/>
      </bottom>
      <diagonal/>
    </border>
    <border>
      <left/>
      <right style="medium">
        <color rgb="FF000000"/>
      </right>
      <top style="hair">
        <color indexed="64"/>
      </top>
      <bottom/>
      <diagonal/>
    </border>
    <border>
      <left/>
      <right style="medium">
        <color rgb="FF000000"/>
      </right>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style="hair">
        <color indexed="64"/>
      </top>
      <bottom style="hair">
        <color indexed="64"/>
      </bottom>
      <diagonal/>
    </border>
    <border>
      <left style="medium">
        <color rgb="FF000000"/>
      </left>
      <right style="thin">
        <color indexed="64"/>
      </right>
      <top style="hair">
        <color indexed="64"/>
      </top>
      <bottom style="medium">
        <color indexed="64"/>
      </bottom>
      <diagonal/>
    </border>
    <border>
      <left style="medium">
        <color rgb="FF000000"/>
      </left>
      <right style="thin">
        <color indexed="64"/>
      </right>
      <top style="medium">
        <color indexed="64"/>
      </top>
      <bottom style="hair">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medium">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style="thin">
        <color indexed="64"/>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indexed="64"/>
      </right>
      <top style="hair">
        <color indexed="64"/>
      </top>
      <bottom style="medium">
        <color rgb="FF000000"/>
      </bottom>
      <diagonal/>
    </border>
    <border>
      <left/>
      <right style="hair">
        <color indexed="64"/>
      </right>
      <top style="hair">
        <color indexed="64"/>
      </top>
      <bottom style="medium">
        <color rgb="FF000000"/>
      </bottom>
      <diagonal/>
    </border>
    <border>
      <left style="hair">
        <color rgb="FF000000"/>
      </left>
      <right style="hair">
        <color rgb="FF000000"/>
      </right>
      <top/>
      <bottom/>
      <diagonal/>
    </border>
    <border>
      <left/>
      <right style="hair">
        <color rgb="FF000000"/>
      </right>
      <top/>
      <bottom/>
      <diagonal/>
    </border>
    <border>
      <left style="medium">
        <color rgb="FF000000"/>
      </left>
      <right style="medium">
        <color rgb="FF000000"/>
      </right>
      <top style="hair">
        <color indexed="64"/>
      </top>
      <bottom/>
      <diagonal/>
    </border>
    <border>
      <left style="medium">
        <color rgb="FF000000"/>
      </left>
      <right style="medium">
        <color rgb="FF000000"/>
      </right>
      <top style="hair">
        <color indexed="64"/>
      </top>
      <bottom style="thick">
        <color indexed="64"/>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medium">
        <color indexed="64"/>
      </top>
      <bottom style="hair">
        <color indexed="64"/>
      </bottom>
      <diagonal/>
    </border>
    <border>
      <left style="medium">
        <color indexed="64"/>
      </left>
      <right style="medium">
        <color rgb="FF000000"/>
      </right>
      <top/>
      <bottom style="hair">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hair">
        <color indexed="64"/>
      </top>
      <bottom/>
      <diagonal/>
    </border>
    <border>
      <left style="medium">
        <color indexed="64"/>
      </left>
      <right style="medium">
        <color rgb="FF000000"/>
      </right>
      <top style="hair">
        <color indexed="64"/>
      </top>
      <bottom style="medium">
        <color indexed="64"/>
      </bottom>
      <diagonal/>
    </border>
    <border>
      <left style="medium">
        <color indexed="64"/>
      </left>
      <right style="medium">
        <color rgb="FF000000"/>
      </right>
      <top style="hair">
        <color indexed="64"/>
      </top>
      <bottom style="thick">
        <color indexed="64"/>
      </bottom>
      <diagonal/>
    </border>
    <border>
      <left style="medium">
        <color rgb="FF000000"/>
      </left>
      <right style="medium">
        <color indexed="64"/>
      </right>
      <top/>
      <bottom/>
      <diagonal/>
    </border>
    <border>
      <left style="medium">
        <color rgb="FF000000"/>
      </left>
      <right style="medium">
        <color indexed="64"/>
      </right>
      <top/>
      <bottom style="thick">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hair">
        <color indexed="64"/>
      </left>
      <right style="medium">
        <color rgb="FF000000"/>
      </right>
      <top style="thin">
        <color indexed="64"/>
      </top>
      <bottom style="hair">
        <color indexed="64"/>
      </bottom>
      <diagonal/>
    </border>
    <border>
      <left style="hair">
        <color indexed="64"/>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thin">
        <color indexed="64"/>
      </bottom>
      <diagonal/>
    </border>
    <border>
      <left style="medium">
        <color rgb="FF000000"/>
      </left>
      <right/>
      <top style="thin">
        <color indexed="64"/>
      </top>
      <bottom/>
      <diagonal/>
    </border>
    <border>
      <left/>
      <right style="medium">
        <color rgb="FF000000"/>
      </right>
      <top style="medium">
        <color indexed="64"/>
      </top>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bottom style="medium">
        <color indexed="64"/>
      </bottom>
      <diagonal/>
    </border>
    <border>
      <left style="medium">
        <color rgb="FF000000"/>
      </left>
      <right/>
      <top style="hair">
        <color indexed="64"/>
      </top>
      <bottom style="medium">
        <color rgb="FF000000"/>
      </bottom>
      <diagonal/>
    </border>
    <border>
      <left style="medium">
        <color rgb="FF000000"/>
      </left>
      <right style="hair">
        <color indexed="64"/>
      </right>
      <top/>
      <bottom style="hair">
        <color indexed="64"/>
      </bottom>
      <diagonal/>
    </border>
    <border>
      <left style="medium">
        <color rgb="FF000000"/>
      </left>
      <right/>
      <top/>
      <bottom style="medium">
        <color rgb="FF000000"/>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bottom style="medium">
        <color rgb="FF000000"/>
      </bottom>
      <diagonal/>
    </border>
    <border>
      <left style="thin">
        <color indexed="64"/>
      </left>
      <right style="medium">
        <color rgb="FF000000"/>
      </right>
      <top/>
      <bottom style="thin">
        <color indexed="64"/>
      </bottom>
      <diagonal/>
    </border>
    <border>
      <left/>
      <right style="medium">
        <color rgb="FF000000"/>
      </right>
      <top/>
      <bottom style="medium">
        <color rgb="FF000000"/>
      </bottom>
      <diagonal/>
    </border>
    <border>
      <left style="hair">
        <color indexed="64"/>
      </left>
      <right style="medium">
        <color rgb="FF000000"/>
      </right>
      <top style="hair">
        <color indexed="64"/>
      </top>
      <bottom style="medium">
        <color rgb="FF000000"/>
      </bottom>
      <diagonal/>
    </border>
    <border>
      <left style="medium">
        <color rgb="FF000000"/>
      </left>
      <right/>
      <top style="medium">
        <color rgb="FF000000"/>
      </top>
      <bottom style="hair">
        <color indexed="64"/>
      </bottom>
      <diagonal/>
    </border>
    <border>
      <left style="medium">
        <color rgb="FF000000"/>
      </left>
      <right/>
      <top/>
      <bottom style="hair">
        <color indexed="64"/>
      </bottom>
      <diagonal/>
    </border>
    <border>
      <left/>
      <right style="medium">
        <color rgb="FF000000"/>
      </right>
      <top style="thin">
        <color indexed="64"/>
      </top>
      <bottom/>
      <diagonal/>
    </border>
    <border>
      <left/>
      <right style="medium">
        <color rgb="FF000000"/>
      </right>
      <top style="medium">
        <color rgb="FF000000"/>
      </top>
      <bottom style="hair">
        <color indexed="64"/>
      </bottom>
      <diagonal/>
    </border>
  </borders>
  <cellStyleXfs count="23">
    <xf numFmtId="0" fontId="0" fillId="0" borderId="0"/>
    <xf numFmtId="0" fontId="110" fillId="18" borderId="218" applyNumberFormat="0" applyFont="0" applyAlignment="0" applyProtection="0"/>
    <xf numFmtId="0" fontId="110" fillId="18" borderId="218" applyNumberFormat="0" applyFont="0" applyAlignment="0" applyProtection="0"/>
    <xf numFmtId="0" fontId="111" fillId="19" borderId="0" applyNumberFormat="0" applyBorder="0" applyAlignment="0" applyProtection="0"/>
    <xf numFmtId="0" fontId="58" fillId="0" borderId="0" applyNumberFormat="0" applyFill="0" applyBorder="0" applyAlignment="0" applyProtection="0">
      <alignment vertical="top"/>
      <protection locked="0"/>
    </xf>
    <xf numFmtId="0" fontId="25" fillId="0" borderId="0"/>
    <xf numFmtId="0" fontId="25" fillId="0" borderId="0"/>
    <xf numFmtId="0" fontId="110" fillId="0" borderId="0"/>
    <xf numFmtId="0" fontId="110" fillId="0" borderId="0"/>
    <xf numFmtId="0" fontId="20" fillId="0" borderId="0"/>
    <xf numFmtId="0" fontId="36" fillId="0" borderId="0"/>
    <xf numFmtId="0" fontId="2" fillId="0" borderId="0"/>
    <xf numFmtId="9" fontId="35" fillId="0" borderId="0" applyFont="0" applyFill="0" applyBorder="0" applyAlignment="0" applyProtection="0"/>
    <xf numFmtId="9" fontId="25" fillId="0" borderId="0" applyFont="0" applyFill="0" applyBorder="0" applyAlignment="0" applyProtection="0"/>
    <xf numFmtId="38" fontId="24" fillId="0" borderId="0" applyFont="0" applyFill="0" applyBorder="0" applyAlignment="0" applyProtection="0"/>
    <xf numFmtId="164" fontId="24" fillId="0" borderId="0" applyFont="0" applyFill="0" applyBorder="0" applyAlignment="0" applyProtection="0"/>
    <xf numFmtId="165" fontId="143" fillId="0" borderId="0" applyFont="0" applyFill="0" applyBorder="0" applyAlignment="0" applyProtection="0"/>
    <xf numFmtId="0" fontId="1" fillId="18" borderId="218" applyNumberFormat="0" applyFont="0" applyAlignment="0" applyProtection="0"/>
    <xf numFmtId="0" fontId="1" fillId="18" borderId="218" applyNumberFormat="0" applyFont="0" applyAlignment="0" applyProtection="0"/>
    <xf numFmtId="0" fontId="1" fillId="0" borderId="0"/>
    <xf numFmtId="0" fontId="1" fillId="0" borderId="0"/>
    <xf numFmtId="165" fontId="25" fillId="0" borderId="0" applyFont="0" applyFill="0" applyBorder="0" applyAlignment="0" applyProtection="0"/>
    <xf numFmtId="0" fontId="1" fillId="0" borderId="0"/>
  </cellStyleXfs>
  <cellXfs count="2682">
    <xf numFmtId="0" fontId="0" fillId="0" borderId="0" xfId="0"/>
    <xf numFmtId="0" fontId="2" fillId="0" borderId="0" xfId="0" applyFont="1" applyProtection="1"/>
    <xf numFmtId="0" fontId="21"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0" fillId="2" borderId="0" xfId="0" applyFill="1" applyProtection="1"/>
    <xf numFmtId="0" fontId="2" fillId="2" borderId="0" xfId="0" applyFont="1" applyFill="1" applyProtection="1"/>
    <xf numFmtId="1" fontId="4" fillId="2" borderId="0" xfId="0" applyNumberFormat="1" applyFont="1" applyFill="1" applyBorder="1" applyAlignment="1" applyProtection="1">
      <alignment horizontal="left"/>
    </xf>
    <xf numFmtId="0" fontId="4"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2" fillId="2" borderId="0" xfId="0" applyFont="1" applyFill="1" applyBorder="1" applyProtection="1"/>
    <xf numFmtId="0" fontId="9" fillId="2" borderId="0" xfId="0" applyFont="1" applyFill="1" applyProtection="1"/>
    <xf numFmtId="3" fontId="5" fillId="2" borderId="0" xfId="0" applyNumberFormat="1" applyFont="1" applyFill="1" applyBorder="1" applyProtection="1"/>
    <xf numFmtId="166" fontId="12" fillId="0" borderId="1" xfId="0" applyNumberFormat="1" applyFont="1" applyFill="1" applyBorder="1" applyAlignment="1" applyProtection="1">
      <alignment horizontal="center" vertical="center"/>
    </xf>
    <xf numFmtId="0" fontId="14" fillId="2" borderId="0" xfId="0" applyFont="1" applyFill="1" applyBorder="1" applyAlignment="1" applyProtection="1">
      <alignment horizontal="left"/>
    </xf>
    <xf numFmtId="1" fontId="17" fillId="0" borderId="0" xfId="0" applyNumberFormat="1" applyFont="1" applyFill="1" applyBorder="1" applyAlignment="1" applyProtection="1">
      <alignment horizontal="center"/>
    </xf>
    <xf numFmtId="0" fontId="17" fillId="0" borderId="0" xfId="0" applyFont="1" applyFill="1" applyBorder="1" applyProtection="1"/>
    <xf numFmtId="3" fontId="14" fillId="0" borderId="0" xfId="0" applyNumberFormat="1" applyFont="1" applyFill="1" applyBorder="1" applyProtection="1"/>
    <xf numFmtId="3" fontId="14" fillId="2" borderId="2" xfId="0" applyNumberFormat="1" applyFont="1" applyFill="1" applyBorder="1" applyAlignment="1" applyProtection="1">
      <alignment horizontal="right"/>
      <protection locked="0"/>
    </xf>
    <xf numFmtId="3" fontId="14" fillId="2" borderId="3" xfId="0" applyNumberFormat="1" applyFont="1" applyFill="1" applyBorder="1" applyAlignment="1" applyProtection="1">
      <alignment horizontal="right"/>
      <protection locked="0"/>
    </xf>
    <xf numFmtId="3" fontId="14" fillId="2" borderId="4" xfId="0" applyNumberFormat="1" applyFont="1" applyFill="1" applyBorder="1" applyAlignment="1" applyProtection="1">
      <alignment horizontal="right"/>
      <protection locked="0"/>
    </xf>
    <xf numFmtId="3" fontId="14" fillId="2" borderId="5" xfId="0" applyNumberFormat="1" applyFont="1" applyFill="1" applyBorder="1" applyAlignment="1" applyProtection="1">
      <alignment horizontal="right"/>
      <protection locked="0"/>
    </xf>
    <xf numFmtId="3" fontId="14" fillId="2" borderId="6" xfId="0" applyNumberFormat="1" applyFont="1" applyFill="1" applyBorder="1" applyAlignment="1" applyProtection="1">
      <alignment horizontal="right"/>
      <protection locked="0"/>
    </xf>
    <xf numFmtId="3" fontId="14" fillId="2" borderId="7" xfId="0" applyNumberFormat="1" applyFont="1" applyFill="1" applyBorder="1" applyAlignment="1" applyProtection="1">
      <alignment horizontal="right"/>
      <protection locked="0"/>
    </xf>
    <xf numFmtId="3" fontId="14" fillId="3" borderId="6" xfId="0" applyNumberFormat="1" applyFont="1" applyFill="1" applyBorder="1" applyAlignment="1" applyProtection="1">
      <alignment horizontal="right"/>
    </xf>
    <xf numFmtId="3" fontId="14" fillId="2" borderId="8" xfId="0" applyNumberFormat="1" applyFont="1" applyFill="1" applyBorder="1" applyAlignment="1" applyProtection="1">
      <alignment horizontal="right"/>
      <protection locked="0"/>
    </xf>
    <xf numFmtId="3" fontId="14" fillId="2" borderId="9" xfId="0" applyNumberFormat="1" applyFont="1" applyFill="1" applyBorder="1" applyAlignment="1" applyProtection="1">
      <alignment horizontal="right"/>
      <protection locked="0"/>
    </xf>
    <xf numFmtId="3" fontId="14" fillId="2" borderId="10" xfId="0" applyNumberFormat="1" applyFont="1" applyFill="1" applyBorder="1" applyAlignment="1" applyProtection="1">
      <alignment horizontal="right"/>
      <protection locked="0"/>
    </xf>
    <xf numFmtId="3" fontId="14" fillId="2" borderId="0" xfId="0" applyNumberFormat="1" applyFont="1" applyFill="1" applyBorder="1" applyProtection="1"/>
    <xf numFmtId="3" fontId="14" fillId="2" borderId="0" xfId="0" applyNumberFormat="1" applyFont="1" applyFill="1" applyBorder="1" applyAlignment="1" applyProtection="1">
      <alignment horizontal="right"/>
    </xf>
    <xf numFmtId="0" fontId="26" fillId="2" borderId="0" xfId="0" applyFont="1" applyFill="1" applyBorder="1" applyProtection="1"/>
    <xf numFmtId="3" fontId="9" fillId="2" borderId="0" xfId="0" applyNumberFormat="1" applyFont="1" applyFill="1" applyBorder="1" applyProtection="1"/>
    <xf numFmtId="3" fontId="9" fillId="2" borderId="0" xfId="0" applyNumberFormat="1" applyFont="1" applyFill="1" applyBorder="1" applyAlignment="1" applyProtection="1"/>
    <xf numFmtId="0" fontId="26" fillId="2" borderId="0" xfId="0" applyFont="1" applyFill="1" applyProtection="1"/>
    <xf numFmtId="0" fontId="56" fillId="2" borderId="0" xfId="0" applyFont="1" applyFill="1" applyBorder="1" applyAlignment="1" applyProtection="1">
      <alignment vertical="top"/>
    </xf>
    <xf numFmtId="168" fontId="9" fillId="2" borderId="0" xfId="0" applyNumberFormat="1" applyFont="1" applyFill="1" applyBorder="1" applyProtection="1"/>
    <xf numFmtId="3" fontId="14" fillId="2" borderId="0" xfId="0" applyNumberFormat="1" applyFont="1" applyFill="1" applyBorder="1" applyAlignment="1" applyProtection="1">
      <alignment horizontal="left"/>
    </xf>
    <xf numFmtId="3" fontId="6" fillId="2" borderId="0" xfId="0" applyNumberFormat="1" applyFont="1" applyFill="1" applyBorder="1" applyProtection="1"/>
    <xf numFmtId="0" fontId="14" fillId="2" borderId="0" xfId="0" applyFont="1" applyFill="1" applyBorder="1" applyProtection="1"/>
    <xf numFmtId="1" fontId="40" fillId="2" borderId="0" xfId="0" applyNumberFormat="1" applyFont="1" applyFill="1" applyBorder="1" applyAlignment="1" applyProtection="1">
      <alignment horizontal="left"/>
    </xf>
    <xf numFmtId="167" fontId="47" fillId="2" borderId="0" xfId="0" applyNumberFormat="1" applyFont="1" applyFill="1" applyBorder="1" applyProtection="1"/>
    <xf numFmtId="3" fontId="37" fillId="2" borderId="0" xfId="0" applyNumberFormat="1" applyFont="1" applyFill="1" applyProtection="1"/>
    <xf numFmtId="0" fontId="8" fillId="2" borderId="0" xfId="0" applyFont="1" applyFill="1" applyProtection="1"/>
    <xf numFmtId="0" fontId="4" fillId="2" borderId="0" xfId="0" applyFont="1" applyFill="1" applyProtection="1"/>
    <xf numFmtId="3" fontId="8" fillId="2" borderId="0" xfId="0" applyNumberFormat="1" applyFont="1" applyFill="1" applyBorder="1" applyProtection="1"/>
    <xf numFmtId="3" fontId="9" fillId="4" borderId="0" xfId="0" applyNumberFormat="1" applyFont="1" applyFill="1" applyBorder="1" applyProtection="1"/>
    <xf numFmtId="3" fontId="14" fillId="5"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left"/>
    </xf>
    <xf numFmtId="3" fontId="14" fillId="5" borderId="0" xfId="0" applyNumberFormat="1" applyFont="1" applyFill="1" applyBorder="1" applyAlignment="1" applyProtection="1"/>
    <xf numFmtId="3" fontId="3" fillId="2" borderId="5" xfId="0" applyNumberFormat="1" applyFont="1" applyFill="1" applyBorder="1" applyAlignment="1" applyProtection="1">
      <alignment horizontal="right"/>
      <protection locked="0"/>
    </xf>
    <xf numFmtId="3" fontId="3" fillId="2" borderId="12" xfId="0" applyNumberFormat="1" applyFont="1" applyFill="1" applyBorder="1" applyAlignment="1" applyProtection="1">
      <alignment horizontal="right"/>
      <protection locked="0"/>
    </xf>
    <xf numFmtId="3" fontId="53" fillId="2" borderId="0" xfId="0" applyNumberFormat="1" applyFont="1" applyFill="1" applyBorder="1" applyProtection="1"/>
    <xf numFmtId="3" fontId="14" fillId="6" borderId="0" xfId="0" applyNumberFormat="1" applyFont="1" applyFill="1" applyBorder="1" applyAlignment="1" applyProtection="1">
      <alignment horizontal="right"/>
    </xf>
    <xf numFmtId="3" fontId="14" fillId="6" borderId="0" xfId="0" applyNumberFormat="1" applyFont="1" applyFill="1" applyBorder="1" applyAlignment="1" applyProtection="1"/>
    <xf numFmtId="0" fontId="64" fillId="2" borderId="0" xfId="0" applyFont="1" applyFill="1" applyBorder="1" applyAlignment="1" applyProtection="1"/>
    <xf numFmtId="0" fontId="66" fillId="2" borderId="0" xfId="0" quotePrefix="1" applyFont="1" applyFill="1" applyBorder="1" applyAlignment="1" applyProtection="1"/>
    <xf numFmtId="0" fontId="67" fillId="2" borderId="0" xfId="0" applyNumberFormat="1" applyFont="1" applyFill="1" applyProtection="1">
      <protection hidden="1"/>
    </xf>
    <xf numFmtId="0" fontId="67" fillId="2" borderId="0" xfId="0" applyNumberFormat="1" applyFont="1" applyFill="1" applyProtection="1"/>
    <xf numFmtId="0" fontId="68" fillId="2" borderId="0" xfId="0" applyNumberFormat="1" applyFont="1" applyFill="1" applyProtection="1"/>
    <xf numFmtId="0" fontId="68" fillId="2" borderId="0" xfId="0" applyFont="1" applyFill="1" applyProtection="1"/>
    <xf numFmtId="3" fontId="4" fillId="2" borderId="0" xfId="0" applyNumberFormat="1" applyFont="1" applyFill="1" applyBorder="1" applyProtection="1"/>
    <xf numFmtId="3" fontId="3" fillId="2" borderId="2" xfId="0" applyNumberFormat="1" applyFont="1" applyFill="1" applyBorder="1" applyAlignment="1" applyProtection="1">
      <alignment horizontal="right"/>
      <protection locked="0"/>
    </xf>
    <xf numFmtId="0" fontId="10" fillId="2" borderId="0" xfId="0" applyFont="1" applyFill="1" applyProtection="1"/>
    <xf numFmtId="168" fontId="10" fillId="2" borderId="0" xfId="0" applyNumberFormat="1" applyFont="1" applyFill="1" applyProtection="1"/>
    <xf numFmtId="0" fontId="38" fillId="2" borderId="0" xfId="0" applyFont="1" applyFill="1" applyProtection="1"/>
    <xf numFmtId="0" fontId="69" fillId="2" borderId="0" xfId="0" applyFont="1" applyFill="1" applyProtection="1"/>
    <xf numFmtId="0" fontId="37" fillId="2" borderId="0" xfId="0" applyFont="1" applyFill="1" applyBorder="1" applyAlignment="1" applyProtection="1">
      <alignment horizontal="left" vertical="top"/>
    </xf>
    <xf numFmtId="3" fontId="3" fillId="0" borderId="0" xfId="0" applyNumberFormat="1" applyFont="1" applyFill="1" applyBorder="1" applyAlignment="1" applyProtection="1">
      <alignment horizontal="right"/>
    </xf>
    <xf numFmtId="3" fontId="6" fillId="4" borderId="0" xfId="0" applyNumberFormat="1" applyFont="1" applyFill="1" applyBorder="1" applyProtection="1"/>
    <xf numFmtId="0" fontId="56" fillId="2" borderId="0" xfId="0" applyFont="1" applyFill="1" applyAlignment="1" applyProtection="1">
      <alignment vertical="top"/>
    </xf>
    <xf numFmtId="0" fontId="52" fillId="2" borderId="0" xfId="0" applyFont="1" applyFill="1" applyAlignment="1" applyProtection="1"/>
    <xf numFmtId="0" fontId="52" fillId="2" borderId="0" xfId="0" applyFont="1" applyFill="1" applyAlignment="1" applyProtection="1">
      <alignment vertical="top"/>
    </xf>
    <xf numFmtId="0" fontId="34" fillId="7" borderId="0" xfId="0" applyFont="1" applyFill="1" applyBorder="1" applyAlignment="1" applyProtection="1">
      <alignment horizontal="left"/>
    </xf>
    <xf numFmtId="0" fontId="31" fillId="7" borderId="0" xfId="0" applyFont="1" applyFill="1" applyBorder="1" applyAlignment="1" applyProtection="1">
      <alignment horizontal="left"/>
    </xf>
    <xf numFmtId="0" fontId="4" fillId="0" borderId="0" xfId="0" applyFont="1" applyFill="1" applyProtection="1"/>
    <xf numFmtId="3" fontId="3" fillId="8" borderId="13" xfId="0" applyNumberFormat="1" applyFont="1" applyFill="1" applyBorder="1" applyAlignment="1" applyProtection="1">
      <alignment horizontal="right"/>
    </xf>
    <xf numFmtId="3" fontId="3" fillId="9" borderId="14" xfId="0" applyNumberFormat="1" applyFont="1" applyFill="1" applyBorder="1" applyAlignment="1" applyProtection="1">
      <alignment horizontal="right"/>
    </xf>
    <xf numFmtId="3" fontId="3" fillId="9" borderId="9" xfId="0" applyNumberFormat="1" applyFont="1" applyFill="1" applyBorder="1" applyAlignment="1" applyProtection="1">
      <alignment horizontal="right"/>
    </xf>
    <xf numFmtId="3" fontId="3" fillId="9" borderId="7" xfId="0" applyNumberFormat="1" applyFont="1" applyFill="1" applyBorder="1" applyAlignment="1" applyProtection="1">
      <alignment horizontal="right"/>
    </xf>
    <xf numFmtId="3" fontId="3" fillId="9" borderId="15" xfId="0" applyNumberFormat="1" applyFont="1" applyFill="1" applyBorder="1" applyAlignment="1" applyProtection="1">
      <alignment horizontal="right"/>
    </xf>
    <xf numFmtId="3" fontId="3" fillId="9" borderId="17" xfId="0" applyNumberFormat="1" applyFont="1" applyFill="1" applyBorder="1" applyAlignment="1" applyProtection="1">
      <alignment horizontal="right"/>
    </xf>
    <xf numFmtId="3" fontId="3" fillId="9" borderId="5" xfId="0" applyNumberFormat="1" applyFont="1" applyFill="1" applyBorder="1" applyAlignment="1" applyProtection="1">
      <alignment horizontal="right"/>
    </xf>
    <xf numFmtId="0" fontId="6" fillId="0" borderId="0" xfId="0" applyFont="1" applyFill="1" applyBorder="1" applyAlignment="1" applyProtection="1">
      <alignment horizontal="left"/>
    </xf>
    <xf numFmtId="0" fontId="6" fillId="0" borderId="0" xfId="0" applyFont="1" applyFill="1" applyBorder="1" applyProtection="1"/>
    <xf numFmtId="0" fontId="4" fillId="0" borderId="0" xfId="0" applyFont="1" applyFill="1" applyBorder="1" applyAlignment="1" applyProtection="1">
      <alignment horizontal="left"/>
    </xf>
    <xf numFmtId="0" fontId="34" fillId="7" borderId="0" xfId="0" applyFont="1" applyFill="1" applyAlignment="1" applyProtection="1">
      <alignment vertical="top"/>
    </xf>
    <xf numFmtId="0" fontId="32" fillId="7" borderId="0" xfId="0" applyFont="1" applyFill="1" applyProtection="1"/>
    <xf numFmtId="0" fontId="33" fillId="7" borderId="0" xfId="0" applyFont="1" applyFill="1" applyProtection="1"/>
    <xf numFmtId="0" fontId="34" fillId="7" borderId="0" xfId="0" quotePrefix="1" applyFont="1" applyFill="1" applyBorder="1" applyAlignment="1" applyProtection="1">
      <alignment horizontal="left"/>
    </xf>
    <xf numFmtId="0" fontId="61" fillId="7" borderId="0" xfId="0" applyFont="1" applyFill="1" applyProtection="1"/>
    <xf numFmtId="0" fontId="62" fillId="7" borderId="0" xfId="0" applyFont="1" applyFill="1" applyProtection="1"/>
    <xf numFmtId="168" fontId="62" fillId="7" borderId="0" xfId="0" applyNumberFormat="1" applyFont="1" applyFill="1" applyProtection="1"/>
    <xf numFmtId="3" fontId="3" fillId="9" borderId="9" xfId="0" applyNumberFormat="1" applyFont="1" applyFill="1" applyBorder="1" applyProtection="1"/>
    <xf numFmtId="3" fontId="3" fillId="9" borderId="5" xfId="0" applyNumberFormat="1" applyFont="1" applyFill="1" applyBorder="1" applyProtection="1"/>
    <xf numFmtId="3" fontId="3" fillId="2" borderId="18" xfId="0" applyNumberFormat="1" applyFont="1" applyFill="1" applyBorder="1" applyAlignment="1" applyProtection="1">
      <alignment horizontal="right"/>
      <protection locked="0"/>
    </xf>
    <xf numFmtId="3" fontId="14" fillId="2" borderId="18" xfId="0" applyNumberFormat="1" applyFont="1" applyFill="1" applyBorder="1" applyAlignment="1" applyProtection="1">
      <alignment horizontal="right"/>
      <protection locked="0"/>
    </xf>
    <xf numFmtId="3" fontId="14" fillId="2" borderId="19" xfId="0" applyNumberFormat="1" applyFont="1" applyFill="1" applyBorder="1" applyAlignment="1" applyProtection="1">
      <alignment horizontal="right"/>
      <protection locked="0"/>
    </xf>
    <xf numFmtId="3" fontId="14" fillId="2" borderId="20" xfId="0" applyNumberFormat="1" applyFont="1" applyFill="1" applyBorder="1" applyAlignment="1" applyProtection="1">
      <alignment horizontal="right"/>
      <protection locked="0"/>
    </xf>
    <xf numFmtId="3" fontId="14" fillId="2" borderId="21" xfId="0" applyNumberFormat="1" applyFont="1" applyFill="1" applyBorder="1" applyAlignment="1" applyProtection="1">
      <alignment horizontal="right"/>
      <protection locked="0"/>
    </xf>
    <xf numFmtId="3" fontId="14" fillId="2" borderId="22" xfId="0" applyNumberFormat="1" applyFont="1" applyFill="1" applyBorder="1" applyAlignment="1" applyProtection="1">
      <alignment horizontal="right"/>
      <protection locked="0"/>
    </xf>
    <xf numFmtId="3" fontId="14" fillId="3" borderId="19" xfId="0" applyNumberFormat="1" applyFont="1" applyFill="1" applyBorder="1" applyAlignment="1" applyProtection="1">
      <alignment horizontal="right"/>
    </xf>
    <xf numFmtId="3" fontId="14" fillId="2" borderId="23" xfId="0" applyNumberFormat="1" applyFont="1" applyFill="1" applyBorder="1" applyAlignment="1" applyProtection="1">
      <alignment horizontal="right"/>
      <protection locked="0"/>
    </xf>
    <xf numFmtId="3" fontId="14" fillId="2" borderId="24" xfId="0" applyNumberFormat="1" applyFont="1" applyFill="1" applyBorder="1" applyAlignment="1" applyProtection="1">
      <alignment horizontal="right"/>
      <protection locked="0"/>
    </xf>
    <xf numFmtId="3" fontId="14" fillId="2" borderId="25" xfId="0" applyNumberFormat="1" applyFont="1" applyFill="1" applyBorder="1" applyAlignment="1" applyProtection="1">
      <alignment horizontal="right"/>
      <protection locked="0"/>
    </xf>
    <xf numFmtId="3" fontId="14" fillId="2" borderId="26" xfId="0" applyNumberFormat="1" applyFont="1" applyFill="1" applyBorder="1" applyAlignment="1" applyProtection="1">
      <alignment horizontal="right"/>
      <protection locked="0"/>
    </xf>
    <xf numFmtId="0" fontId="6" fillId="2" borderId="0" xfId="0" applyFont="1" applyFill="1" applyBorder="1" applyProtection="1"/>
    <xf numFmtId="0" fontId="9" fillId="4" borderId="0" xfId="0" applyFont="1" applyFill="1" applyBorder="1" applyProtection="1"/>
    <xf numFmtId="3" fontId="14" fillId="5" borderId="27" xfId="0" applyNumberFormat="1" applyFont="1" applyFill="1" applyBorder="1" applyAlignment="1" applyProtection="1">
      <alignment horizontal="right"/>
    </xf>
    <xf numFmtId="3" fontId="14" fillId="2" borderId="28" xfId="0" applyNumberFormat="1" applyFont="1" applyFill="1" applyBorder="1" applyAlignment="1" applyProtection="1">
      <alignment horizontal="right"/>
      <protection locked="0"/>
    </xf>
    <xf numFmtId="3" fontId="14" fillId="2" borderId="29" xfId="0" applyNumberFormat="1" applyFont="1" applyFill="1" applyBorder="1" applyAlignment="1" applyProtection="1">
      <alignment horizontal="right"/>
      <protection locked="0"/>
    </xf>
    <xf numFmtId="3" fontId="14" fillId="2" borderId="30" xfId="0" applyNumberFormat="1" applyFont="1" applyFill="1" applyBorder="1" applyAlignment="1" applyProtection="1">
      <alignment horizontal="right"/>
      <protection locked="0"/>
    </xf>
    <xf numFmtId="3" fontId="14" fillId="3" borderId="31" xfId="0" applyNumberFormat="1" applyFont="1" applyFill="1" applyBorder="1" applyAlignment="1" applyProtection="1">
      <alignment horizontal="right"/>
    </xf>
    <xf numFmtId="3" fontId="14" fillId="3" borderId="29" xfId="0" applyNumberFormat="1" applyFont="1" applyFill="1" applyBorder="1" applyAlignment="1" applyProtection="1">
      <alignment horizontal="right"/>
    </xf>
    <xf numFmtId="3" fontId="14" fillId="3" borderId="32" xfId="0" applyNumberFormat="1" applyFont="1" applyFill="1" applyBorder="1" applyAlignment="1" applyProtection="1">
      <alignment horizontal="right"/>
    </xf>
    <xf numFmtId="3" fontId="14" fillId="2" borderId="32" xfId="0" applyNumberFormat="1" applyFont="1" applyFill="1" applyBorder="1" applyAlignment="1" applyProtection="1">
      <alignment horizontal="right"/>
      <protection locked="0"/>
    </xf>
    <xf numFmtId="3" fontId="3" fillId="9" borderId="33" xfId="0" applyNumberFormat="1" applyFont="1" applyFill="1" applyBorder="1" applyProtection="1"/>
    <xf numFmtId="3" fontId="3" fillId="9" borderId="34" xfId="0" applyNumberFormat="1" applyFont="1" applyFill="1" applyBorder="1" applyAlignment="1" applyProtection="1">
      <alignment horizontal="right"/>
    </xf>
    <xf numFmtId="3" fontId="3" fillId="9" borderId="35" xfId="0" applyNumberFormat="1" applyFont="1" applyFill="1" applyBorder="1" applyAlignment="1" applyProtection="1">
      <alignment horizontal="right"/>
    </xf>
    <xf numFmtId="0" fontId="4" fillId="10" borderId="37" xfId="0" applyFont="1" applyFill="1" applyBorder="1" applyAlignment="1" applyProtection="1">
      <alignment horizontal="center"/>
    </xf>
    <xf numFmtId="0" fontId="37" fillId="2" borderId="0" xfId="0" applyFont="1" applyFill="1" applyBorder="1" applyProtection="1"/>
    <xf numFmtId="3" fontId="8" fillId="2" borderId="38" xfId="0" applyNumberFormat="1" applyFont="1" applyFill="1" applyBorder="1" applyProtection="1"/>
    <xf numFmtId="3" fontId="39" fillId="2" borderId="38" xfId="0" applyNumberFormat="1" applyFont="1" applyFill="1" applyBorder="1" applyAlignment="1" applyProtection="1">
      <alignment horizontal="left"/>
    </xf>
    <xf numFmtId="3" fontId="3" fillId="9" borderId="39" xfId="0" applyNumberFormat="1" applyFont="1" applyFill="1" applyBorder="1" applyAlignment="1" applyProtection="1">
      <alignment horizontal="right"/>
    </xf>
    <xf numFmtId="3" fontId="3" fillId="9" borderId="20" xfId="0" applyNumberFormat="1" applyFont="1" applyFill="1" applyBorder="1" applyAlignment="1" applyProtection="1">
      <alignment horizontal="right"/>
    </xf>
    <xf numFmtId="3" fontId="3" fillId="9" borderId="40" xfId="0" applyNumberFormat="1" applyFont="1" applyFill="1" applyBorder="1" applyAlignment="1" applyProtection="1">
      <alignment horizontal="right"/>
    </xf>
    <xf numFmtId="0" fontId="34" fillId="7" borderId="0" xfId="5" applyFont="1" applyFill="1" applyBorder="1" applyAlignment="1" applyProtection="1">
      <alignment horizontal="left"/>
    </xf>
    <xf numFmtId="0" fontId="31" fillId="7" borderId="0" xfId="5" applyFont="1" applyFill="1" applyBorder="1" applyAlignment="1" applyProtection="1">
      <alignment horizontal="left"/>
    </xf>
    <xf numFmtId="3" fontId="3" fillId="2" borderId="5" xfId="5" applyNumberFormat="1" applyFont="1" applyFill="1" applyBorder="1" applyAlignment="1" applyProtection="1">
      <alignment horizontal="right"/>
      <protection locked="0"/>
    </xf>
    <xf numFmtId="3" fontId="3" fillId="9" borderId="5" xfId="5" applyNumberFormat="1" applyFont="1" applyFill="1" applyBorder="1" applyAlignment="1" applyProtection="1">
      <alignment horizontal="right"/>
    </xf>
    <xf numFmtId="3" fontId="38" fillId="8" borderId="5" xfId="5" applyNumberFormat="1" applyFont="1" applyFill="1" applyBorder="1" applyProtection="1"/>
    <xf numFmtId="3" fontId="38" fillId="8" borderId="2" xfId="5" applyNumberFormat="1" applyFont="1" applyFill="1" applyBorder="1" applyProtection="1"/>
    <xf numFmtId="3" fontId="38" fillId="8" borderId="41" xfId="5" applyNumberFormat="1" applyFont="1" applyFill="1" applyBorder="1" applyProtection="1"/>
    <xf numFmtId="0" fontId="79" fillId="7" borderId="0" xfId="0" applyFont="1" applyFill="1" applyBorder="1" applyAlignment="1" applyProtection="1">
      <alignment horizontal="left"/>
    </xf>
    <xf numFmtId="3" fontId="59" fillId="2" borderId="0" xfId="0" applyNumberFormat="1" applyFont="1" applyFill="1" applyBorder="1" applyAlignment="1" applyProtection="1"/>
    <xf numFmtId="3" fontId="37" fillId="0" borderId="0" xfId="0" applyNumberFormat="1" applyFont="1" applyFill="1" applyBorder="1" applyProtection="1"/>
    <xf numFmtId="49" fontId="6" fillId="0" borderId="0" xfId="0" applyNumberFormat="1" applyFont="1" applyFill="1" applyBorder="1" applyAlignment="1" applyProtection="1">
      <alignment horizontal="left"/>
    </xf>
    <xf numFmtId="0" fontId="2" fillId="0" borderId="0" xfId="0" applyFont="1" applyFill="1" applyBorder="1" applyProtection="1"/>
    <xf numFmtId="0" fontId="8" fillId="0" borderId="0" xfId="0" applyFont="1" applyFill="1" applyBorder="1" applyProtection="1"/>
    <xf numFmtId="3" fontId="4" fillId="0" borderId="0" xfId="0" applyNumberFormat="1" applyFont="1" applyFill="1" applyBorder="1" applyProtection="1"/>
    <xf numFmtId="0" fontId="4" fillId="0" borderId="0" xfId="0" applyFont="1" applyFill="1" applyBorder="1" applyProtection="1"/>
    <xf numFmtId="3" fontId="14" fillId="0" borderId="0" xfId="0" applyNumberFormat="1" applyFont="1" applyFill="1" applyBorder="1" applyAlignment="1" applyProtection="1">
      <alignment horizontal="right"/>
    </xf>
    <xf numFmtId="3" fontId="14" fillId="0" borderId="0" xfId="0" applyNumberFormat="1" applyFont="1" applyFill="1" applyBorder="1" applyAlignment="1" applyProtection="1"/>
    <xf numFmtId="49" fontId="3" fillId="10" borderId="43" xfId="0" applyNumberFormat="1" applyFont="1" applyFill="1" applyBorder="1" applyAlignment="1" applyProtection="1"/>
    <xf numFmtId="49" fontId="3" fillId="10" borderId="28" xfId="0" applyNumberFormat="1" applyFont="1" applyFill="1" applyBorder="1" applyAlignment="1" applyProtection="1"/>
    <xf numFmtId="49" fontId="3" fillId="10" borderId="29" xfId="0" applyNumberFormat="1" applyFont="1" applyFill="1" applyBorder="1" applyAlignment="1" applyProtection="1"/>
    <xf numFmtId="49" fontId="3" fillId="10" borderId="44" xfId="0" applyNumberFormat="1" applyFont="1" applyFill="1" applyBorder="1" applyAlignment="1" applyProtection="1"/>
    <xf numFmtId="49" fontId="3" fillId="10" borderId="45" xfId="0" applyNumberFormat="1" applyFont="1" applyFill="1" applyBorder="1" applyAlignment="1" applyProtection="1"/>
    <xf numFmtId="49" fontId="3" fillId="10" borderId="46" xfId="0" applyNumberFormat="1" applyFont="1" applyFill="1" applyBorder="1" applyAlignment="1" applyProtection="1"/>
    <xf numFmtId="49" fontId="3" fillId="10" borderId="30" xfId="0" applyNumberFormat="1" applyFont="1" applyFill="1" applyBorder="1" applyAlignment="1" applyProtection="1"/>
    <xf numFmtId="3" fontId="83" fillId="0" borderId="0" xfId="0" applyNumberFormat="1" applyFont="1" applyFill="1" applyBorder="1" applyProtection="1"/>
    <xf numFmtId="0" fontId="63" fillId="2" borderId="0" xfId="0" applyFont="1" applyFill="1" applyProtection="1"/>
    <xf numFmtId="0" fontId="85" fillId="7" borderId="0" xfId="0" applyFont="1" applyFill="1" applyProtection="1"/>
    <xf numFmtId="0" fontId="63" fillId="2" borderId="0" xfId="0" applyNumberFormat="1" applyFont="1" applyFill="1" applyBorder="1" applyProtection="1"/>
    <xf numFmtId="170" fontId="83" fillId="2" borderId="0" xfId="0" applyNumberFormat="1" applyFont="1" applyFill="1" applyBorder="1" applyAlignment="1" applyProtection="1">
      <alignment horizontal="left"/>
    </xf>
    <xf numFmtId="3" fontId="83" fillId="2" borderId="0" xfId="0" applyNumberFormat="1" applyFont="1" applyFill="1" applyBorder="1" applyProtection="1"/>
    <xf numFmtId="0" fontId="83" fillId="2" borderId="0" xfId="0" applyFont="1" applyFill="1" applyProtection="1"/>
    <xf numFmtId="3" fontId="3" fillId="9" borderId="47" xfId="0" applyNumberFormat="1" applyFont="1" applyFill="1" applyBorder="1" applyAlignment="1" applyProtection="1">
      <alignment horizontal="right"/>
    </xf>
    <xf numFmtId="3" fontId="3" fillId="9" borderId="48" xfId="0" applyNumberFormat="1" applyFont="1" applyFill="1" applyBorder="1" applyAlignment="1" applyProtection="1">
      <alignment horizontal="right"/>
    </xf>
    <xf numFmtId="49" fontId="3" fillId="10" borderId="0" xfId="0" applyNumberFormat="1" applyFont="1" applyFill="1" applyBorder="1" applyAlignment="1" applyProtection="1"/>
    <xf numFmtId="49" fontId="3" fillId="10" borderId="49" xfId="0" applyNumberFormat="1" applyFont="1" applyFill="1" applyBorder="1" applyAlignment="1" applyProtection="1"/>
    <xf numFmtId="49" fontId="3" fillId="10" borderId="50" xfId="0" applyNumberFormat="1" applyFont="1" applyFill="1" applyBorder="1" applyAlignment="1" applyProtection="1"/>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0" fillId="0" borderId="0" xfId="0" applyBorder="1" applyAlignment="1" applyProtection="1"/>
    <xf numFmtId="3" fontId="3" fillId="0" borderId="5" xfId="0" applyNumberFormat="1" applyFont="1" applyFill="1" applyBorder="1" applyAlignment="1" applyProtection="1">
      <alignment horizontal="right"/>
      <protection locked="0"/>
    </xf>
    <xf numFmtId="3" fontId="3" fillId="0" borderId="51" xfId="0" applyNumberFormat="1" applyFont="1" applyFill="1" applyBorder="1" applyAlignment="1" applyProtection="1">
      <alignment horizontal="right"/>
      <protection locked="0"/>
    </xf>
    <xf numFmtId="3" fontId="3" fillId="2" borderId="52" xfId="0" applyNumberFormat="1" applyFont="1" applyFill="1" applyBorder="1" applyAlignment="1" applyProtection="1">
      <alignment horizontal="right"/>
      <protection locked="0"/>
    </xf>
    <xf numFmtId="3" fontId="3" fillId="2" borderId="19" xfId="0" applyNumberFormat="1" applyFont="1" applyFill="1" applyBorder="1" applyAlignment="1" applyProtection="1">
      <alignment horizontal="right"/>
      <protection locked="0"/>
    </xf>
    <xf numFmtId="0" fontId="37" fillId="2" borderId="0" xfId="0" applyFont="1" applyFill="1" applyProtection="1"/>
    <xf numFmtId="0" fontId="37" fillId="2" borderId="0" xfId="0" applyFont="1" applyFill="1" applyBorder="1" applyAlignment="1" applyProtection="1">
      <alignment horizontal="left"/>
    </xf>
    <xf numFmtId="0" fontId="52" fillId="2" borderId="0" xfId="0" applyFont="1" applyFill="1" applyProtection="1"/>
    <xf numFmtId="0" fontId="52" fillId="0" borderId="0" xfId="0" applyFont="1" applyFill="1" applyBorder="1" applyProtection="1"/>
    <xf numFmtId="49" fontId="0" fillId="2" borderId="0" xfId="0" applyNumberFormat="1" applyFill="1" applyProtection="1"/>
    <xf numFmtId="0" fontId="84" fillId="2" borderId="0" xfId="0" applyFont="1" applyFill="1" applyProtection="1"/>
    <xf numFmtId="0" fontId="25" fillId="2" borderId="0" xfId="0" applyFont="1" applyFill="1" applyProtection="1"/>
    <xf numFmtId="3" fontId="3" fillId="2" borderId="53" xfId="0" applyNumberFormat="1" applyFont="1" applyFill="1" applyBorder="1" applyAlignment="1" applyProtection="1">
      <alignment horizontal="right"/>
      <protection locked="0"/>
    </xf>
    <xf numFmtId="3" fontId="3" fillId="6" borderId="18" xfId="0" applyNumberFormat="1" applyFont="1" applyFill="1" applyBorder="1" applyAlignment="1" applyProtection="1">
      <alignment horizontal="right"/>
      <protection locked="0"/>
    </xf>
    <xf numFmtId="3" fontId="3" fillId="2" borderId="54" xfId="0" applyNumberFormat="1" applyFont="1" applyFill="1" applyBorder="1" applyAlignment="1" applyProtection="1">
      <alignment horizontal="right"/>
      <protection locked="0"/>
    </xf>
    <xf numFmtId="3" fontId="3" fillId="6" borderId="19" xfId="0" applyNumberFormat="1" applyFont="1" applyFill="1" applyBorder="1" applyAlignment="1" applyProtection="1">
      <alignment horizontal="right"/>
      <protection locked="0"/>
    </xf>
    <xf numFmtId="3" fontId="3" fillId="11" borderId="18" xfId="0" applyNumberFormat="1" applyFont="1" applyFill="1" applyBorder="1" applyAlignment="1" applyProtection="1">
      <alignment horizontal="right"/>
      <protection locked="0"/>
    </xf>
    <xf numFmtId="3" fontId="3" fillId="6" borderId="53" xfId="0" applyNumberFormat="1" applyFont="1" applyFill="1" applyBorder="1" applyAlignment="1" applyProtection="1">
      <alignment horizontal="right"/>
      <protection locked="0"/>
    </xf>
    <xf numFmtId="3" fontId="3" fillId="6" borderId="12" xfId="0" applyNumberFormat="1" applyFont="1" applyFill="1" applyBorder="1" applyAlignment="1" applyProtection="1">
      <alignment horizontal="right"/>
      <protection locked="0"/>
    </xf>
    <xf numFmtId="3" fontId="3" fillId="6" borderId="55" xfId="0" applyNumberFormat="1" applyFont="1" applyFill="1" applyBorder="1" applyAlignment="1" applyProtection="1">
      <alignment horizontal="right"/>
      <protection locked="0"/>
    </xf>
    <xf numFmtId="0" fontId="0" fillId="7" borderId="0" xfId="0" applyFill="1" applyBorder="1" applyProtection="1"/>
    <xf numFmtId="0" fontId="25" fillId="2" borderId="0" xfId="0" applyFont="1" applyFill="1" applyBorder="1" applyProtection="1"/>
    <xf numFmtId="0" fontId="55" fillId="2" borderId="0" xfId="0" quotePrefix="1" applyFont="1" applyFill="1" applyAlignment="1" applyProtection="1">
      <alignment horizontal="left"/>
    </xf>
    <xf numFmtId="0" fontId="41" fillId="0" borderId="0" xfId="0" applyFont="1" applyFill="1" applyBorder="1" applyProtection="1"/>
    <xf numFmtId="0" fontId="52" fillId="0" borderId="0" xfId="0" applyFont="1" applyFill="1" applyProtection="1"/>
    <xf numFmtId="0" fontId="0" fillId="0" borderId="0" xfId="0" applyFill="1" applyProtection="1"/>
    <xf numFmtId="0" fontId="12" fillId="4" borderId="0" xfId="0" applyFont="1" applyFill="1" applyBorder="1" applyProtection="1"/>
    <xf numFmtId="49" fontId="12" fillId="0" borderId="57" xfId="0" applyNumberFormat="1" applyFont="1" applyFill="1" applyBorder="1" applyProtection="1"/>
    <xf numFmtId="0" fontId="25" fillId="0" borderId="0" xfId="0" applyFont="1" applyFill="1" applyBorder="1" applyProtection="1"/>
    <xf numFmtId="0" fontId="26" fillId="4" borderId="0" xfId="0" applyFont="1" applyFill="1" applyBorder="1" applyProtection="1"/>
    <xf numFmtId="3" fontId="14" fillId="4" borderId="0" xfId="0" applyNumberFormat="1" applyFont="1" applyFill="1" applyBorder="1" applyProtection="1"/>
    <xf numFmtId="0" fontId="52" fillId="2" borderId="0" xfId="0" applyFont="1" applyFill="1" applyBorder="1" applyProtection="1"/>
    <xf numFmtId="0" fontId="22" fillId="2" borderId="0" xfId="0" applyFont="1" applyFill="1" applyBorder="1" applyProtection="1"/>
    <xf numFmtId="0" fontId="12" fillId="2" borderId="0" xfId="0" applyFont="1" applyFill="1" applyBorder="1" applyProtection="1"/>
    <xf numFmtId="49" fontId="12" fillId="2" borderId="0" xfId="0" applyNumberFormat="1" applyFont="1" applyFill="1" applyBorder="1" applyAlignment="1" applyProtection="1">
      <alignment horizontal="center"/>
    </xf>
    <xf numFmtId="0" fontId="0" fillId="2" borderId="0" xfId="0" applyFill="1" applyBorder="1" applyAlignment="1" applyProtection="1"/>
    <xf numFmtId="0" fontId="25" fillId="0" borderId="0" xfId="0" applyFont="1" applyProtection="1"/>
    <xf numFmtId="0" fontId="25" fillId="0" borderId="0" xfId="0" applyFont="1" applyBorder="1" applyProtection="1"/>
    <xf numFmtId="0" fontId="81" fillId="0" borderId="0" xfId="0" applyFont="1" applyFill="1" applyBorder="1" applyProtection="1"/>
    <xf numFmtId="3" fontId="3" fillId="0" borderId="32" xfId="0" applyNumberFormat="1" applyFont="1" applyFill="1" applyBorder="1" applyAlignment="1" applyProtection="1">
      <alignment horizontal="right"/>
      <protection locked="0"/>
    </xf>
    <xf numFmtId="0" fontId="10" fillId="2" borderId="0" xfId="0" applyFont="1" applyFill="1" applyBorder="1" applyProtection="1"/>
    <xf numFmtId="0" fontId="10" fillId="2" borderId="1" xfId="0" applyFont="1" applyFill="1" applyBorder="1" applyProtection="1"/>
    <xf numFmtId="0" fontId="22" fillId="2" borderId="0" xfId="0" applyFont="1" applyFill="1" applyProtection="1"/>
    <xf numFmtId="0" fontId="10" fillId="0" borderId="0" xfId="0" applyFont="1" applyFill="1" applyBorder="1" applyProtection="1"/>
    <xf numFmtId="3" fontId="3" fillId="2" borderId="58" xfId="0" applyNumberFormat="1" applyFont="1" applyFill="1" applyBorder="1" applyAlignment="1" applyProtection="1">
      <alignment horizontal="right"/>
      <protection locked="0"/>
    </xf>
    <xf numFmtId="3" fontId="14" fillId="2" borderId="52" xfId="0" applyNumberFormat="1" applyFont="1" applyFill="1" applyBorder="1" applyAlignment="1" applyProtection="1">
      <alignment horizontal="right"/>
      <protection locked="0"/>
    </xf>
    <xf numFmtId="3" fontId="14" fillId="0" borderId="20" xfId="0" applyNumberFormat="1" applyFont="1" applyFill="1" applyBorder="1" applyAlignment="1" applyProtection="1">
      <alignment horizontal="right"/>
      <protection locked="0"/>
    </xf>
    <xf numFmtId="3" fontId="14" fillId="0" borderId="19" xfId="0" applyNumberFormat="1" applyFont="1" applyFill="1" applyBorder="1" applyAlignment="1" applyProtection="1">
      <alignment horizontal="right"/>
      <protection locked="0"/>
    </xf>
    <xf numFmtId="3" fontId="3" fillId="2" borderId="59" xfId="0" applyNumberFormat="1" applyFont="1" applyFill="1" applyBorder="1" applyAlignment="1" applyProtection="1">
      <alignment horizontal="right"/>
      <protection locked="0"/>
    </xf>
    <xf numFmtId="3" fontId="11" fillId="2" borderId="18" xfId="0" applyNumberFormat="1" applyFont="1" applyFill="1" applyBorder="1" applyAlignment="1" applyProtection="1">
      <alignment horizontal="right"/>
      <protection locked="0"/>
    </xf>
    <xf numFmtId="3" fontId="14" fillId="0" borderId="18" xfId="0" applyNumberFormat="1" applyFont="1" applyFill="1" applyBorder="1" applyAlignment="1" applyProtection="1">
      <alignment horizontal="right"/>
      <protection locked="0"/>
    </xf>
    <xf numFmtId="3" fontId="14" fillId="0" borderId="26" xfId="0" applyNumberFormat="1" applyFont="1" applyFill="1" applyBorder="1" applyAlignment="1" applyProtection="1">
      <alignment horizontal="right"/>
      <protection locked="0"/>
    </xf>
    <xf numFmtId="3" fontId="14" fillId="2" borderId="60" xfId="0" applyNumberFormat="1" applyFont="1" applyFill="1" applyBorder="1" applyAlignment="1" applyProtection="1">
      <alignment horizontal="right"/>
      <protection locked="0"/>
    </xf>
    <xf numFmtId="3" fontId="14" fillId="0" borderId="61" xfId="0" applyNumberFormat="1" applyFont="1" applyFill="1" applyBorder="1" applyAlignment="1" applyProtection="1">
      <alignment horizontal="right"/>
      <protection locked="0"/>
    </xf>
    <xf numFmtId="0" fontId="37" fillId="0" borderId="0" xfId="0" applyFont="1" applyProtection="1"/>
    <xf numFmtId="0" fontId="37" fillId="0" borderId="0" xfId="0" applyFont="1" applyFill="1" applyProtection="1"/>
    <xf numFmtId="0" fontId="12" fillId="0" borderId="0" xfId="0" applyFont="1" applyFill="1" applyBorder="1" applyAlignment="1" applyProtection="1">
      <alignment horizontal="center"/>
    </xf>
    <xf numFmtId="3" fontId="14" fillId="0" borderId="62" xfId="0" applyNumberFormat="1" applyFont="1" applyFill="1" applyBorder="1" applyAlignment="1" applyProtection="1">
      <alignment horizontal="right"/>
      <protection locked="0"/>
    </xf>
    <xf numFmtId="0" fontId="60" fillId="0" borderId="0" xfId="0" applyFont="1" applyFill="1" applyBorder="1" applyProtection="1"/>
    <xf numFmtId="0" fontId="60" fillId="2" borderId="0" xfId="0" applyFont="1" applyFill="1" applyProtection="1"/>
    <xf numFmtId="0" fontId="65" fillId="2" borderId="0" xfId="0" applyFont="1" applyFill="1" applyAlignment="1" applyProtection="1"/>
    <xf numFmtId="0" fontId="65"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4" fillId="0" borderId="0" xfId="0" applyNumberFormat="1" applyFont="1" applyFill="1" applyBorder="1" applyProtection="1"/>
    <xf numFmtId="3" fontId="11" fillId="2" borderId="8" xfId="0" applyNumberFormat="1" applyFont="1" applyFill="1" applyBorder="1" applyAlignment="1" applyProtection="1">
      <alignment horizontal="right"/>
      <protection locked="0"/>
    </xf>
    <xf numFmtId="3" fontId="11" fillId="2" borderId="5" xfId="0" applyNumberFormat="1" applyFont="1" applyFill="1" applyBorder="1" applyAlignment="1" applyProtection="1">
      <alignment horizontal="right"/>
      <protection locked="0"/>
    </xf>
    <xf numFmtId="3" fontId="11" fillId="2" borderId="5" xfId="0" quotePrefix="1" applyNumberFormat="1" applyFont="1" applyFill="1" applyBorder="1" applyAlignment="1" applyProtection="1">
      <alignment horizontal="right"/>
      <protection locked="0"/>
    </xf>
    <xf numFmtId="3" fontId="11" fillId="0" borderId="8" xfId="0" applyNumberFormat="1" applyFont="1" applyFill="1" applyBorder="1" applyAlignment="1" applyProtection="1">
      <alignment horizontal="right"/>
      <protection locked="0"/>
    </xf>
    <xf numFmtId="3" fontId="11" fillId="0" borderId="5" xfId="0" applyNumberFormat="1" applyFont="1" applyFill="1" applyBorder="1" applyAlignment="1" applyProtection="1">
      <alignment horizontal="right"/>
      <protection locked="0"/>
    </xf>
    <xf numFmtId="3" fontId="14" fillId="2" borderId="41" xfId="0" applyNumberFormat="1" applyFont="1" applyFill="1" applyBorder="1" applyAlignment="1" applyProtection="1">
      <alignment horizontal="right"/>
      <protection locked="0"/>
    </xf>
    <xf numFmtId="3" fontId="14" fillId="6" borderId="41" xfId="0" applyNumberFormat="1" applyFont="1" applyFill="1" applyBorder="1" applyAlignment="1" applyProtection="1">
      <alignment horizontal="right"/>
      <protection locked="0"/>
    </xf>
    <xf numFmtId="3" fontId="14" fillId="2" borderId="13" xfId="0" applyNumberFormat="1" applyFont="1" applyFill="1" applyBorder="1" applyAlignment="1" applyProtection="1">
      <alignment horizontal="right"/>
      <protection locked="0"/>
    </xf>
    <xf numFmtId="0" fontId="8" fillId="2" borderId="38" xfId="0" applyFont="1" applyFill="1" applyBorder="1" applyProtection="1"/>
    <xf numFmtId="0" fontId="82" fillId="0" borderId="38" xfId="11" applyFont="1" applyFill="1" applyBorder="1" applyProtection="1"/>
    <xf numFmtId="3" fontId="10" fillId="2" borderId="0" xfId="0" applyNumberFormat="1" applyFont="1" applyFill="1" applyBorder="1" applyProtection="1"/>
    <xf numFmtId="3" fontId="81" fillId="2" borderId="0" xfId="0" applyNumberFormat="1" applyFont="1" applyFill="1" applyBorder="1" applyProtection="1"/>
    <xf numFmtId="49" fontId="25" fillId="7" borderId="0" xfId="0" applyNumberFormat="1" applyFont="1" applyFill="1" applyProtection="1"/>
    <xf numFmtId="49" fontId="4" fillId="10" borderId="46" xfId="0" applyNumberFormat="1" applyFont="1" applyFill="1" applyBorder="1" applyAlignment="1" applyProtection="1">
      <alignment vertical="top" wrapText="1"/>
    </xf>
    <xf numFmtId="0" fontId="42" fillId="0" borderId="0" xfId="0" applyFont="1" applyFill="1" applyBorder="1" applyAlignment="1" applyProtection="1">
      <alignment horizontal="left"/>
    </xf>
    <xf numFmtId="0" fontId="3" fillId="0" borderId="0" xfId="0" applyFont="1" applyFill="1" applyBorder="1" applyProtection="1"/>
    <xf numFmtId="0" fontId="4" fillId="0" borderId="0" xfId="0" applyFont="1" applyFill="1" applyBorder="1" applyAlignment="1" applyProtection="1">
      <alignment vertical="top"/>
    </xf>
    <xf numFmtId="49" fontId="25" fillId="0" borderId="0" xfId="0" applyNumberFormat="1" applyFont="1" applyAlignment="1" applyProtection="1">
      <alignment horizontal="left"/>
    </xf>
    <xf numFmtId="49" fontId="25" fillId="0" borderId="0" xfId="0" applyNumberFormat="1" applyFont="1" applyProtection="1"/>
    <xf numFmtId="0" fontId="80" fillId="0" borderId="0" xfId="0" applyFont="1" applyProtection="1"/>
    <xf numFmtId="3" fontId="11" fillId="0" borderId="19" xfId="0" applyNumberFormat="1" applyFont="1" applyFill="1" applyBorder="1" applyAlignment="1" applyProtection="1">
      <alignment horizontal="right"/>
      <protection locked="0"/>
    </xf>
    <xf numFmtId="3" fontId="11" fillId="0" borderId="4" xfId="0" applyNumberFormat="1" applyFont="1" applyFill="1" applyBorder="1" applyAlignment="1" applyProtection="1">
      <alignment horizontal="right"/>
      <protection locked="0"/>
    </xf>
    <xf numFmtId="0" fontId="25" fillId="7" borderId="0" xfId="5" applyFill="1" applyProtection="1"/>
    <xf numFmtId="1" fontId="25" fillId="7" borderId="0" xfId="5" applyNumberFormat="1" applyFill="1" applyProtection="1"/>
    <xf numFmtId="0" fontId="25" fillId="0" borderId="0" xfId="5" applyFill="1" applyBorder="1" applyProtection="1"/>
    <xf numFmtId="0" fontId="25" fillId="0" borderId="0" xfId="5" applyProtection="1"/>
    <xf numFmtId="0" fontId="25" fillId="0" borderId="0" xfId="5" applyBorder="1" applyProtection="1"/>
    <xf numFmtId="1" fontId="54" fillId="2" borderId="0" xfId="11" applyNumberFormat="1" applyFont="1" applyFill="1" applyBorder="1" applyAlignment="1" applyProtection="1">
      <alignment horizontal="left"/>
    </xf>
    <xf numFmtId="0" fontId="25" fillId="2" borderId="0" xfId="5" applyFont="1" applyFill="1" applyProtection="1"/>
    <xf numFmtId="0" fontId="52" fillId="2" borderId="0" xfId="5" applyFont="1" applyFill="1" applyProtection="1"/>
    <xf numFmtId="1" fontId="25" fillId="0" borderId="0" xfId="5" applyNumberFormat="1" applyProtection="1"/>
    <xf numFmtId="0" fontId="25" fillId="0" borderId="0" xfId="5" applyFont="1" applyProtection="1"/>
    <xf numFmtId="3" fontId="3" fillId="2" borderId="2" xfId="5" applyNumberFormat="1" applyFont="1" applyFill="1" applyBorder="1" applyAlignment="1" applyProtection="1">
      <alignment horizontal="right"/>
      <protection locked="0"/>
    </xf>
    <xf numFmtId="0" fontId="25" fillId="0" borderId="0" xfId="0" applyFont="1" applyFill="1" applyProtection="1"/>
    <xf numFmtId="49" fontId="25"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3" fillId="2" borderId="60" xfId="0" applyNumberFormat="1" applyFont="1" applyFill="1" applyBorder="1" applyAlignment="1" applyProtection="1">
      <alignment horizontal="right"/>
      <protection locked="0"/>
    </xf>
    <xf numFmtId="3" fontId="3" fillId="2" borderId="61" xfId="0" applyNumberFormat="1" applyFont="1" applyFill="1" applyBorder="1" applyAlignment="1" applyProtection="1">
      <alignment horizontal="right"/>
      <protection locked="0"/>
    </xf>
    <xf numFmtId="3" fontId="3" fillId="2" borderId="63" xfId="0" applyNumberFormat="1" applyFont="1" applyFill="1" applyBorder="1" applyAlignment="1" applyProtection="1">
      <alignment horizontal="right"/>
      <protection locked="0"/>
    </xf>
    <xf numFmtId="3" fontId="3" fillId="2" borderId="64" xfId="0" applyNumberFormat="1" applyFont="1" applyFill="1" applyBorder="1" applyAlignment="1" applyProtection="1">
      <alignment horizontal="right"/>
      <protection locked="0"/>
    </xf>
    <xf numFmtId="3" fontId="14" fillId="2" borderId="61" xfId="0" applyNumberFormat="1" applyFont="1" applyFill="1" applyBorder="1" applyAlignment="1" applyProtection="1">
      <alignment horizontal="right"/>
      <protection locked="0"/>
    </xf>
    <xf numFmtId="3" fontId="3" fillId="6" borderId="62" xfId="0" applyNumberFormat="1" applyFont="1" applyFill="1" applyBorder="1" applyAlignment="1" applyProtection="1">
      <alignment horizontal="right"/>
      <protection locked="0"/>
    </xf>
    <xf numFmtId="171" fontId="37" fillId="0" borderId="0" xfId="5" applyNumberFormat="1" applyFont="1" applyFill="1" applyBorder="1" applyAlignment="1" applyProtection="1">
      <alignment vertical="top" wrapText="1"/>
    </xf>
    <xf numFmtId="3" fontId="3" fillId="9" borderId="65" xfId="0" applyNumberFormat="1" applyFont="1" applyFill="1" applyBorder="1" applyAlignment="1" applyProtection="1"/>
    <xf numFmtId="3" fontId="3" fillId="9" borderId="13" xfId="0" applyNumberFormat="1" applyFont="1" applyFill="1" applyBorder="1" applyAlignment="1" applyProtection="1"/>
    <xf numFmtId="3" fontId="38" fillId="8" borderId="67" xfId="5" applyNumberFormat="1" applyFont="1" applyFill="1" applyBorder="1" applyProtection="1"/>
    <xf numFmtId="3" fontId="38" fillId="8" borderId="35" xfId="5" applyNumberFormat="1" applyFont="1" applyFill="1" applyBorder="1" applyProtection="1"/>
    <xf numFmtId="3" fontId="38" fillId="8" borderId="25" xfId="5" applyNumberFormat="1" applyFont="1" applyFill="1" applyBorder="1" applyProtection="1"/>
    <xf numFmtId="166" fontId="10"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xf>
    <xf numFmtId="3" fontId="14" fillId="0" borderId="68" xfId="0" applyNumberFormat="1" applyFont="1" applyFill="1" applyBorder="1" applyAlignment="1" applyProtection="1">
      <alignment horizontal="right"/>
      <protection locked="0"/>
    </xf>
    <xf numFmtId="3" fontId="14" fillId="9" borderId="26" xfId="0" applyNumberFormat="1" applyFont="1" applyFill="1" applyBorder="1" applyProtection="1"/>
    <xf numFmtId="0" fontId="11" fillId="0" borderId="0" xfId="5" applyFont="1" applyFill="1" applyBorder="1" applyProtection="1"/>
    <xf numFmtId="3" fontId="38" fillId="0" borderId="0" xfId="5" applyNumberFormat="1" applyFont="1" applyFill="1" applyBorder="1" applyProtection="1"/>
    <xf numFmtId="0" fontId="25" fillId="0" borderId="0" xfId="5" applyFont="1" applyFill="1" applyProtection="1"/>
    <xf numFmtId="0" fontId="37" fillId="0" borderId="0" xfId="0" applyFont="1" applyFill="1" applyBorder="1" applyProtection="1"/>
    <xf numFmtId="0" fontId="0" fillId="0" borderId="1" xfId="0" applyBorder="1"/>
    <xf numFmtId="3" fontId="14" fillId="2" borderId="19" xfId="0" applyNumberFormat="1" applyFont="1" applyFill="1" applyBorder="1" applyAlignment="1" applyProtection="1">
      <protection locked="0"/>
    </xf>
    <xf numFmtId="171" fontId="37" fillId="0" borderId="0" xfId="0" applyNumberFormat="1" applyFont="1" applyFill="1" applyProtection="1"/>
    <xf numFmtId="171" fontId="37" fillId="2" borderId="0" xfId="0" applyNumberFormat="1" applyFont="1" applyFill="1" applyProtection="1"/>
    <xf numFmtId="0" fontId="37" fillId="2" borderId="0" xfId="0" applyFont="1" applyFill="1" applyBorder="1" applyAlignment="1" applyProtection="1">
      <alignment horizontal="left" vertical="top" wrapText="1"/>
    </xf>
    <xf numFmtId="3" fontId="3" fillId="2" borderId="8" xfId="0" applyNumberFormat="1" applyFont="1" applyFill="1" applyBorder="1" applyAlignment="1" applyProtection="1">
      <alignment horizontal="right"/>
      <protection locked="0"/>
    </xf>
    <xf numFmtId="3" fontId="3" fillId="2" borderId="69" xfId="5" applyNumberFormat="1" applyFont="1" applyFill="1" applyBorder="1" applyAlignment="1" applyProtection="1">
      <alignment horizontal="right"/>
      <protection locked="0"/>
    </xf>
    <xf numFmtId="3" fontId="3" fillId="2" borderId="25" xfId="5" applyNumberFormat="1" applyFont="1" applyFill="1" applyBorder="1" applyAlignment="1" applyProtection="1">
      <alignment horizontal="right"/>
      <protection locked="0"/>
    </xf>
    <xf numFmtId="0" fontId="39" fillId="0" borderId="0" xfId="5" applyFont="1" applyProtection="1"/>
    <xf numFmtId="0" fontId="51" fillId="2" borderId="0" xfId="5" applyFont="1" applyFill="1" applyProtection="1"/>
    <xf numFmtId="0" fontId="37" fillId="0" borderId="0" xfId="5" quotePrefix="1" applyNumberFormat="1" applyFont="1" applyProtection="1"/>
    <xf numFmtId="3" fontId="71" fillId="8" borderId="25" xfId="5" applyNumberFormat="1" applyFont="1" applyFill="1" applyBorder="1" applyAlignment="1" applyProtection="1">
      <alignment horizontal="right"/>
    </xf>
    <xf numFmtId="3" fontId="3" fillId="8" borderId="5" xfId="5" applyNumberFormat="1" applyFont="1" applyFill="1" applyBorder="1" applyAlignment="1" applyProtection="1"/>
    <xf numFmtId="3" fontId="71" fillId="12" borderId="25" xfId="5" applyNumberFormat="1" applyFont="1" applyFill="1" applyBorder="1" applyAlignment="1" applyProtection="1">
      <alignment horizontal="right"/>
    </xf>
    <xf numFmtId="3" fontId="71" fillId="8" borderId="25" xfId="5" quotePrefix="1" applyNumberFormat="1" applyFont="1" applyFill="1" applyBorder="1" applyAlignment="1" applyProtection="1">
      <alignment horizontal="right"/>
    </xf>
    <xf numFmtId="3" fontId="3" fillId="8" borderId="5" xfId="0" applyNumberFormat="1" applyFont="1" applyFill="1" applyBorder="1" applyAlignment="1" applyProtection="1">
      <alignment horizontal="right"/>
    </xf>
    <xf numFmtId="0" fontId="38" fillId="2" borderId="0" xfId="0" applyFont="1" applyFill="1" applyAlignment="1" applyProtection="1">
      <alignment horizontal="right"/>
    </xf>
    <xf numFmtId="0" fontId="37" fillId="0" borderId="0" xfId="5" applyFont="1" applyProtection="1"/>
    <xf numFmtId="3" fontId="37" fillId="0" borderId="0" xfId="5" quotePrefix="1" applyNumberFormat="1" applyFont="1" applyFill="1" applyBorder="1" applyAlignment="1" applyProtection="1">
      <alignment horizontal="left"/>
    </xf>
    <xf numFmtId="3" fontId="3" fillId="9" borderId="78" xfId="5" applyNumberFormat="1" applyFont="1" applyFill="1" applyBorder="1" applyProtection="1"/>
    <xf numFmtId="3" fontId="3" fillId="9" borderId="79" xfId="5" applyNumberFormat="1" applyFont="1" applyFill="1" applyBorder="1" applyProtection="1"/>
    <xf numFmtId="3" fontId="3" fillId="3" borderId="13" xfId="0" applyNumberFormat="1" applyFont="1" applyFill="1" applyBorder="1" applyProtection="1"/>
    <xf numFmtId="3" fontId="3" fillId="3" borderId="26" xfId="0" applyNumberFormat="1" applyFont="1" applyFill="1" applyBorder="1" applyProtection="1"/>
    <xf numFmtId="3" fontId="3" fillId="3" borderId="53" xfId="0" applyNumberFormat="1" applyFont="1" applyFill="1" applyBorder="1" applyProtection="1"/>
    <xf numFmtId="3" fontId="3" fillId="3" borderId="55" xfId="0" applyNumberFormat="1" applyFont="1" applyFill="1" applyBorder="1" applyProtection="1"/>
    <xf numFmtId="3" fontId="3" fillId="3" borderId="68" xfId="0" applyNumberFormat="1" applyFont="1" applyFill="1" applyBorder="1" applyProtection="1"/>
    <xf numFmtId="3" fontId="3" fillId="3" borderId="25" xfId="0" applyNumberFormat="1" applyFont="1" applyFill="1" applyBorder="1" applyProtection="1"/>
    <xf numFmtId="3" fontId="3" fillId="3" borderId="19" xfId="0" applyNumberFormat="1" applyFont="1" applyFill="1" applyBorder="1" applyProtection="1"/>
    <xf numFmtId="3" fontId="3" fillId="3" borderId="62" xfId="0" applyNumberFormat="1" applyFont="1" applyFill="1" applyBorder="1" applyProtection="1"/>
    <xf numFmtId="3" fontId="3" fillId="3" borderId="80" xfId="0" applyNumberFormat="1" applyFont="1" applyFill="1" applyBorder="1" applyProtection="1"/>
    <xf numFmtId="3" fontId="3" fillId="3" borderId="5" xfId="0" applyNumberFormat="1" applyFont="1" applyFill="1" applyBorder="1" applyProtection="1"/>
    <xf numFmtId="3" fontId="3" fillId="3" borderId="81" xfId="0" applyNumberFormat="1" applyFont="1" applyFill="1" applyBorder="1" applyProtection="1"/>
    <xf numFmtId="3" fontId="3" fillId="3" borderId="82" xfId="0" applyNumberFormat="1" applyFont="1" applyFill="1" applyBorder="1" applyProtection="1"/>
    <xf numFmtId="3" fontId="3" fillId="3" borderId="77" xfId="0" applyNumberFormat="1" applyFont="1" applyFill="1" applyBorder="1" applyProtection="1"/>
    <xf numFmtId="3" fontId="14" fillId="3" borderId="58" xfId="0" applyNumberFormat="1" applyFont="1" applyFill="1" applyBorder="1" applyProtection="1"/>
    <xf numFmtId="3" fontId="14" fillId="3" borderId="83" xfId="0" applyNumberFormat="1" applyFont="1" applyFill="1" applyBorder="1" applyProtection="1"/>
    <xf numFmtId="3" fontId="14" fillId="3" borderId="84" xfId="0" applyNumberFormat="1" applyFont="1" applyFill="1" applyBorder="1" applyProtection="1"/>
    <xf numFmtId="3" fontId="14" fillId="3" borderId="81" xfId="0" applyNumberFormat="1" applyFont="1" applyFill="1" applyBorder="1" applyProtection="1"/>
    <xf numFmtId="3" fontId="14" fillId="3" borderId="26" xfId="0" applyNumberFormat="1" applyFont="1" applyFill="1" applyBorder="1" applyProtection="1"/>
    <xf numFmtId="3" fontId="14" fillId="3" borderId="20" xfId="0" applyNumberFormat="1" applyFont="1" applyFill="1" applyBorder="1" applyProtection="1"/>
    <xf numFmtId="3" fontId="14" fillId="3" borderId="18" xfId="0" applyNumberFormat="1" applyFont="1" applyFill="1" applyBorder="1" applyProtection="1"/>
    <xf numFmtId="3" fontId="14" fillId="3" borderId="19" xfId="0" applyNumberFormat="1" applyFont="1" applyFill="1" applyBorder="1" applyProtection="1"/>
    <xf numFmtId="3" fontId="14" fillId="3" borderId="5" xfId="0" applyNumberFormat="1" applyFont="1" applyFill="1" applyBorder="1" applyAlignment="1" applyProtection="1">
      <alignment horizontal="right"/>
    </xf>
    <xf numFmtId="3" fontId="3" fillId="13" borderId="7" xfId="0" applyNumberFormat="1" applyFont="1" applyFill="1" applyBorder="1" applyAlignment="1" applyProtection="1">
      <alignment horizontal="right"/>
    </xf>
    <xf numFmtId="3" fontId="3" fillId="3" borderId="41" xfId="0" applyNumberFormat="1" applyFont="1" applyFill="1" applyBorder="1" applyAlignment="1" applyProtection="1">
      <alignment horizontal="right"/>
    </xf>
    <xf numFmtId="3" fontId="3" fillId="3" borderId="13" xfId="0" applyNumberFormat="1" applyFont="1" applyFill="1" applyBorder="1" applyAlignment="1" applyProtection="1">
      <alignment horizontal="right"/>
    </xf>
    <xf numFmtId="3" fontId="14" fillId="3" borderId="18" xfId="0" applyNumberFormat="1" applyFont="1" applyFill="1" applyBorder="1" applyAlignment="1" applyProtection="1">
      <alignment horizontal="right"/>
    </xf>
    <xf numFmtId="3" fontId="14" fillId="3" borderId="3" xfId="0" applyNumberFormat="1" applyFont="1" applyFill="1" applyBorder="1" applyAlignment="1" applyProtection="1">
      <alignment horizontal="right"/>
    </xf>
    <xf numFmtId="3" fontId="14" fillId="3" borderId="22" xfId="0" applyNumberFormat="1" applyFont="1" applyFill="1" applyBorder="1" applyAlignment="1" applyProtection="1">
      <alignment horizontal="right"/>
    </xf>
    <xf numFmtId="3" fontId="14" fillId="3" borderId="7" xfId="0" applyNumberFormat="1" applyFont="1" applyFill="1" applyBorder="1" applyAlignment="1" applyProtection="1">
      <alignment horizontal="right"/>
    </xf>
    <xf numFmtId="3" fontId="14" fillId="3" borderId="87" xfId="0" applyNumberFormat="1" applyFont="1" applyFill="1" applyBorder="1" applyAlignment="1" applyProtection="1">
      <alignment horizontal="right"/>
    </xf>
    <xf numFmtId="3" fontId="14" fillId="3" borderId="88" xfId="0" applyNumberFormat="1" applyFont="1" applyFill="1" applyBorder="1" applyAlignment="1" applyProtection="1">
      <alignment horizontal="right"/>
    </xf>
    <xf numFmtId="3" fontId="14" fillId="3" borderId="89" xfId="0" applyNumberFormat="1" applyFont="1" applyFill="1" applyBorder="1" applyAlignment="1" applyProtection="1">
      <alignment horizontal="right"/>
    </xf>
    <xf numFmtId="3" fontId="14" fillId="3" borderId="25" xfId="0" applyNumberFormat="1" applyFont="1" applyFill="1" applyBorder="1" applyAlignment="1" applyProtection="1">
      <alignment horizontal="right"/>
    </xf>
    <xf numFmtId="3" fontId="14" fillId="3" borderId="71" xfId="0" applyNumberFormat="1" applyFont="1" applyFill="1" applyBorder="1" applyAlignment="1" applyProtection="1">
      <alignment horizontal="right"/>
    </xf>
    <xf numFmtId="3" fontId="14" fillId="3" borderId="26" xfId="0" applyNumberFormat="1" applyFont="1" applyFill="1" applyBorder="1" applyAlignment="1" applyProtection="1">
      <alignment horizontal="right"/>
    </xf>
    <xf numFmtId="3" fontId="14" fillId="3" borderId="24" xfId="0" applyNumberFormat="1" applyFont="1" applyFill="1" applyBorder="1" applyAlignment="1" applyProtection="1">
      <alignment horizontal="right"/>
    </xf>
    <xf numFmtId="3" fontId="14" fillId="3" borderId="64" xfId="0" applyNumberFormat="1" applyFont="1" applyFill="1" applyBorder="1" applyAlignment="1" applyProtection="1">
      <alignment horizontal="right"/>
    </xf>
    <xf numFmtId="3" fontId="14" fillId="3" borderId="24" xfId="0" applyNumberFormat="1" applyFont="1" applyFill="1" applyBorder="1" applyAlignment="1" applyProtection="1"/>
    <xf numFmtId="3" fontId="14" fillId="3" borderId="25" xfId="0" applyNumberFormat="1" applyFont="1" applyFill="1" applyBorder="1" applyAlignment="1" applyProtection="1"/>
    <xf numFmtId="3" fontId="14" fillId="3" borderId="71" xfId="0" applyNumberFormat="1" applyFont="1" applyFill="1" applyBorder="1" applyAlignment="1" applyProtection="1"/>
    <xf numFmtId="3" fontId="14" fillId="3" borderId="26" xfId="0" applyNumberFormat="1" applyFont="1" applyFill="1" applyBorder="1" applyAlignment="1" applyProtection="1"/>
    <xf numFmtId="3" fontId="14" fillId="3" borderId="90" xfId="0" applyNumberFormat="1" applyFont="1" applyFill="1" applyBorder="1" applyAlignment="1" applyProtection="1">
      <alignment horizontal="right"/>
    </xf>
    <xf numFmtId="3" fontId="14" fillId="10" borderId="91" xfId="0" applyNumberFormat="1" applyFont="1" applyFill="1" applyBorder="1" applyAlignment="1" applyProtection="1">
      <alignment horizontal="right"/>
    </xf>
    <xf numFmtId="3" fontId="14" fillId="10" borderId="92" xfId="0" applyNumberFormat="1" applyFont="1" applyFill="1" applyBorder="1" applyAlignment="1" applyProtection="1">
      <alignment horizontal="right"/>
    </xf>
    <xf numFmtId="3" fontId="14" fillId="10" borderId="82" xfId="0" applyNumberFormat="1" applyFont="1" applyFill="1" applyBorder="1" applyAlignment="1" applyProtection="1">
      <alignment horizontal="right"/>
    </xf>
    <xf numFmtId="3" fontId="14" fillId="10" borderId="93" xfId="0" applyNumberFormat="1" applyFont="1" applyFill="1" applyBorder="1" applyAlignment="1" applyProtection="1">
      <alignment horizontal="right"/>
    </xf>
    <xf numFmtId="3" fontId="14" fillId="3" borderId="52" xfId="0" applyNumberFormat="1" applyFont="1" applyFill="1" applyBorder="1" applyAlignment="1" applyProtection="1">
      <alignment horizontal="right"/>
    </xf>
    <xf numFmtId="3" fontId="14" fillId="3" borderId="94" xfId="0" applyNumberFormat="1" applyFont="1" applyFill="1" applyBorder="1" applyAlignment="1" applyProtection="1">
      <alignment horizontal="right"/>
    </xf>
    <xf numFmtId="3" fontId="14" fillId="3" borderId="80" xfId="0" applyNumberFormat="1" applyFont="1" applyFill="1" applyBorder="1" applyAlignment="1" applyProtection="1">
      <alignment horizontal="right"/>
    </xf>
    <xf numFmtId="3" fontId="14" fillId="3" borderId="95" xfId="0" applyNumberFormat="1" applyFont="1" applyFill="1" applyBorder="1" applyAlignment="1" applyProtection="1">
      <alignment horizontal="right"/>
    </xf>
    <xf numFmtId="3" fontId="14" fillId="3" borderId="96" xfId="0" applyNumberFormat="1" applyFont="1" applyFill="1" applyBorder="1" applyAlignment="1" applyProtection="1">
      <alignment horizontal="right"/>
    </xf>
    <xf numFmtId="3" fontId="14" fillId="3" borderId="97" xfId="0" applyNumberFormat="1" applyFont="1" applyFill="1" applyBorder="1" applyAlignment="1" applyProtection="1">
      <alignment horizontal="right"/>
    </xf>
    <xf numFmtId="3" fontId="14" fillId="3" borderId="84" xfId="0" applyNumberFormat="1" applyFont="1" applyFill="1" applyBorder="1" applyAlignment="1" applyProtection="1">
      <alignment horizontal="right"/>
    </xf>
    <xf numFmtId="3" fontId="3" fillId="3" borderId="98" xfId="0" applyNumberFormat="1" applyFont="1" applyFill="1" applyBorder="1" applyProtection="1"/>
    <xf numFmtId="3" fontId="3" fillId="3" borderId="31" xfId="0" applyNumberFormat="1" applyFont="1" applyFill="1" applyBorder="1" applyProtection="1"/>
    <xf numFmtId="3" fontId="3" fillId="3" borderId="99" xfId="0" applyNumberFormat="1" applyFont="1" applyFill="1" applyBorder="1" applyProtection="1"/>
    <xf numFmtId="3" fontId="14" fillId="3" borderId="31" xfId="0" applyNumberFormat="1" applyFont="1" applyFill="1" applyBorder="1" applyProtection="1"/>
    <xf numFmtId="3" fontId="14" fillId="3" borderId="32" xfId="0" applyNumberFormat="1" applyFont="1" applyFill="1" applyBorder="1" applyProtection="1"/>
    <xf numFmtId="3" fontId="14" fillId="3" borderId="77" xfId="0" applyNumberFormat="1" applyFont="1" applyFill="1" applyBorder="1" applyProtection="1"/>
    <xf numFmtId="3" fontId="3" fillId="3" borderId="100" xfId="0" applyNumberFormat="1" applyFont="1" applyFill="1" applyBorder="1" applyProtection="1"/>
    <xf numFmtId="3" fontId="14" fillId="3" borderId="99" xfId="0" applyNumberFormat="1" applyFont="1" applyFill="1" applyBorder="1" applyAlignment="1" applyProtection="1">
      <alignment horizontal="right"/>
    </xf>
    <xf numFmtId="3" fontId="14" fillId="3" borderId="33" xfId="0" applyNumberFormat="1" applyFont="1" applyFill="1" applyBorder="1" applyAlignment="1" applyProtection="1">
      <alignment horizontal="right"/>
    </xf>
    <xf numFmtId="3" fontId="14" fillId="3" borderId="44" xfId="0" applyNumberFormat="1" applyFont="1" applyFill="1" applyBorder="1" applyAlignment="1" applyProtection="1">
      <alignment horizontal="right"/>
    </xf>
    <xf numFmtId="3" fontId="14" fillId="3" borderId="33" xfId="0" applyNumberFormat="1" applyFont="1" applyFill="1" applyBorder="1" applyAlignment="1" applyProtection="1"/>
    <xf numFmtId="3" fontId="14" fillId="3" borderId="44" xfId="0" applyNumberFormat="1" applyFont="1" applyFill="1" applyBorder="1" applyAlignment="1" applyProtection="1"/>
    <xf numFmtId="3" fontId="14" fillId="3" borderId="101" xfId="0" applyNumberFormat="1" applyFont="1" applyFill="1" applyBorder="1" applyAlignment="1" applyProtection="1">
      <alignment horizontal="right"/>
    </xf>
    <xf numFmtId="3" fontId="38" fillId="3" borderId="74" xfId="0" applyNumberFormat="1" applyFont="1" applyFill="1" applyBorder="1" applyAlignment="1" applyProtection="1">
      <alignment horizontal="right"/>
    </xf>
    <xf numFmtId="3" fontId="38" fillId="3" borderId="103" xfId="0" applyNumberFormat="1" applyFont="1" applyFill="1" applyBorder="1" applyAlignment="1" applyProtection="1">
      <alignment horizontal="right"/>
    </xf>
    <xf numFmtId="3" fontId="38" fillId="3" borderId="25" xfId="0" applyNumberFormat="1" applyFont="1" applyFill="1" applyBorder="1" applyAlignment="1" applyProtection="1">
      <alignment horizontal="right"/>
    </xf>
    <xf numFmtId="3" fontId="38" fillId="3" borderId="26" xfId="0" applyNumberFormat="1" applyFont="1" applyFill="1" applyBorder="1" applyAlignment="1" applyProtection="1">
      <alignment horizontal="right"/>
    </xf>
    <xf numFmtId="0" fontId="2" fillId="7" borderId="0" xfId="0" applyFont="1" applyFill="1" applyProtection="1"/>
    <xf numFmtId="3" fontId="2" fillId="2" borderId="0" xfId="0" applyNumberFormat="1" applyFont="1" applyFill="1" applyProtection="1"/>
    <xf numFmtId="3" fontId="2" fillId="0" borderId="0" xfId="0" applyNumberFormat="1" applyFont="1" applyProtection="1"/>
    <xf numFmtId="3" fontId="2" fillId="0" borderId="0" xfId="0" applyNumberFormat="1" applyFont="1" applyFill="1" applyBorder="1" applyProtection="1"/>
    <xf numFmtId="0" fontId="0" fillId="10" borderId="0" xfId="0" applyFill="1" applyBorder="1"/>
    <xf numFmtId="0" fontId="0" fillId="0" borderId="0" xfId="0" applyBorder="1"/>
    <xf numFmtId="0" fontId="0" fillId="0" borderId="66" xfId="0" applyBorder="1"/>
    <xf numFmtId="49" fontId="3" fillId="10" borderId="11" xfId="0" applyNumberFormat="1" applyFont="1" applyFill="1" applyBorder="1" applyAlignment="1" applyProtection="1"/>
    <xf numFmtId="49" fontId="3" fillId="10" borderId="73" xfId="0" applyNumberFormat="1" applyFont="1" applyFill="1" applyBorder="1" applyAlignment="1" applyProtection="1"/>
    <xf numFmtId="49" fontId="3" fillId="10" borderId="38" xfId="0" applyNumberFormat="1" applyFont="1" applyFill="1" applyBorder="1" applyAlignment="1" applyProtection="1"/>
    <xf numFmtId="49" fontId="3" fillId="10" borderId="75" xfId="0" applyNumberFormat="1" applyFont="1" applyFill="1" applyBorder="1" applyAlignment="1" applyProtection="1"/>
    <xf numFmtId="49" fontId="3" fillId="10" borderId="36" xfId="0" applyNumberFormat="1" applyFont="1" applyFill="1" applyBorder="1" applyAlignment="1" applyProtection="1"/>
    <xf numFmtId="0" fontId="18" fillId="0" borderId="0" xfId="0" applyFont="1" applyFill="1" applyBorder="1" applyAlignment="1" applyProtection="1">
      <alignment horizontal="center"/>
    </xf>
    <xf numFmtId="0" fontId="93" fillId="0" borderId="0" xfId="5" applyFont="1" applyProtection="1"/>
    <xf numFmtId="3" fontId="3" fillId="9" borderId="109" xfId="5" applyNumberFormat="1" applyFont="1" applyFill="1" applyBorder="1" applyProtection="1"/>
    <xf numFmtId="3" fontId="3" fillId="9" borderId="7" xfId="5" applyNumberFormat="1" applyFont="1" applyFill="1" applyBorder="1" applyProtection="1"/>
    <xf numFmtId="3" fontId="3" fillId="9" borderId="102" xfId="5" applyNumberFormat="1" applyFont="1" applyFill="1" applyBorder="1" applyProtection="1"/>
    <xf numFmtId="3" fontId="3" fillId="9" borderId="87" xfId="5" applyNumberFormat="1" applyFont="1" applyFill="1" applyBorder="1" applyProtection="1"/>
    <xf numFmtId="0" fontId="94" fillId="0" borderId="0" xfId="5" applyFont="1" applyProtection="1"/>
    <xf numFmtId="3" fontId="3" fillId="3" borderId="18" xfId="0" applyNumberFormat="1" applyFont="1" applyFill="1" applyBorder="1" applyAlignment="1" applyProtection="1">
      <alignment horizontal="right"/>
    </xf>
    <xf numFmtId="3" fontId="3" fillId="9" borderId="22" xfId="0" applyNumberFormat="1" applyFont="1" applyFill="1" applyBorder="1" applyAlignment="1" applyProtection="1">
      <alignment horizontal="right"/>
    </xf>
    <xf numFmtId="3" fontId="3" fillId="2" borderId="21" xfId="0" applyNumberFormat="1" applyFont="1" applyFill="1" applyBorder="1" applyAlignment="1" applyProtection="1">
      <alignment horizontal="right"/>
      <protection locked="0"/>
    </xf>
    <xf numFmtId="3" fontId="3" fillId="2" borderId="22" xfId="0" applyNumberFormat="1" applyFont="1" applyFill="1" applyBorder="1" applyAlignment="1" applyProtection="1">
      <alignment horizontal="right"/>
      <protection locked="0"/>
    </xf>
    <xf numFmtId="3" fontId="3" fillId="14" borderId="18" xfId="0" applyNumberFormat="1" applyFont="1" applyFill="1" applyBorder="1" applyAlignment="1" applyProtection="1">
      <alignment horizontal="right"/>
      <protection locked="0"/>
    </xf>
    <xf numFmtId="3" fontId="14" fillId="3" borderId="104" xfId="0" applyNumberFormat="1" applyFont="1" applyFill="1" applyBorder="1" applyAlignment="1" applyProtection="1">
      <alignment horizontal="right"/>
    </xf>
    <xf numFmtId="3" fontId="14" fillId="10" borderId="30" xfId="0" applyNumberFormat="1" applyFont="1" applyFill="1" applyBorder="1" applyAlignment="1" applyProtection="1">
      <alignment horizontal="right"/>
    </xf>
    <xf numFmtId="3" fontId="14" fillId="10" borderId="31" xfId="0" applyNumberFormat="1" applyFont="1" applyFill="1" applyBorder="1" applyAlignment="1" applyProtection="1">
      <alignment horizontal="right"/>
    </xf>
    <xf numFmtId="3" fontId="14" fillId="10" borderId="23" xfId="0" applyNumberFormat="1" applyFont="1" applyFill="1" applyBorder="1" applyAlignment="1" applyProtection="1">
      <alignment horizontal="right"/>
    </xf>
    <xf numFmtId="3" fontId="14" fillId="10" borderId="9" xfId="0" applyNumberFormat="1" applyFont="1" applyFill="1" applyBorder="1" applyAlignment="1" applyProtection="1">
      <alignment horizontal="right"/>
    </xf>
    <xf numFmtId="3" fontId="14" fillId="10" borderId="20" xfId="0" applyNumberFormat="1" applyFont="1" applyFill="1" applyBorder="1" applyAlignment="1" applyProtection="1">
      <alignment horizontal="right"/>
    </xf>
    <xf numFmtId="3" fontId="14" fillId="10" borderId="10" xfId="0" applyNumberFormat="1" applyFont="1" applyFill="1" applyBorder="1" applyAlignment="1" applyProtection="1">
      <alignment horizontal="right"/>
    </xf>
    <xf numFmtId="3" fontId="14" fillId="10" borderId="14" xfId="0" applyNumberFormat="1" applyFont="1" applyFill="1" applyBorder="1" applyAlignment="1" applyProtection="1">
      <alignment horizontal="right"/>
    </xf>
    <xf numFmtId="3" fontId="14" fillId="2" borderId="54" xfId="0" applyNumberFormat="1" applyFont="1" applyFill="1" applyBorder="1" applyAlignment="1" applyProtection="1">
      <alignment horizontal="right"/>
      <protection locked="0"/>
    </xf>
    <xf numFmtId="3" fontId="14" fillId="2" borderId="53" xfId="0" applyNumberFormat="1" applyFont="1" applyFill="1" applyBorder="1" applyAlignment="1" applyProtection="1">
      <alignment horizontal="right"/>
      <protection locked="0"/>
    </xf>
    <xf numFmtId="3" fontId="14" fillId="2" borderId="64" xfId="0" applyNumberFormat="1" applyFont="1" applyFill="1" applyBorder="1" applyAlignment="1" applyProtection="1">
      <alignment horizontal="right"/>
      <protection locked="0"/>
    </xf>
    <xf numFmtId="3" fontId="14" fillId="10" borderId="97" xfId="0" applyNumberFormat="1" applyFont="1" applyFill="1" applyBorder="1" applyAlignment="1" applyProtection="1">
      <alignment horizontal="right"/>
    </xf>
    <xf numFmtId="3" fontId="14" fillId="10" borderId="112" xfId="0" applyNumberFormat="1" applyFont="1" applyFill="1" applyBorder="1" applyAlignment="1" applyProtection="1">
      <alignment horizontal="right"/>
    </xf>
    <xf numFmtId="3" fontId="14" fillId="10" borderId="113" xfId="0" applyNumberFormat="1" applyFont="1" applyFill="1" applyBorder="1" applyAlignment="1" applyProtection="1">
      <alignment horizontal="right"/>
    </xf>
    <xf numFmtId="3" fontId="14" fillId="10" borderId="84" xfId="0" applyNumberFormat="1" applyFont="1" applyFill="1" applyBorder="1" applyAlignment="1" applyProtection="1">
      <alignment horizontal="right"/>
    </xf>
    <xf numFmtId="3" fontId="14" fillId="10" borderId="4" xfId="0" applyNumberFormat="1" applyFont="1" applyFill="1" applyBorder="1" applyAlignment="1" applyProtection="1">
      <alignment horizontal="right"/>
    </xf>
    <xf numFmtId="3" fontId="14" fillId="10" borderId="3" xfId="0" applyNumberFormat="1" applyFont="1" applyFill="1" applyBorder="1" applyAlignment="1" applyProtection="1">
      <alignment horizontal="right"/>
    </xf>
    <xf numFmtId="3" fontId="14" fillId="10" borderId="2" xfId="0" applyNumberFormat="1" applyFont="1" applyFill="1" applyBorder="1" applyAlignment="1" applyProtection="1">
      <alignment horizontal="right"/>
    </xf>
    <xf numFmtId="3" fontId="14" fillId="10" borderId="18" xfId="0" applyNumberFormat="1" applyFont="1" applyFill="1" applyBorder="1" applyAlignment="1" applyProtection="1">
      <alignment horizontal="right"/>
    </xf>
    <xf numFmtId="3" fontId="14" fillId="10" borderId="94" xfId="0" applyNumberFormat="1" applyFont="1" applyFill="1" applyBorder="1" applyAlignment="1" applyProtection="1">
      <alignment horizontal="right"/>
    </xf>
    <xf numFmtId="3" fontId="14" fillId="10" borderId="21" xfId="0" applyNumberFormat="1" applyFont="1" applyFill="1" applyBorder="1" applyAlignment="1" applyProtection="1">
      <alignment horizontal="right"/>
    </xf>
    <xf numFmtId="3" fontId="14" fillId="10" borderId="46" xfId="0" applyNumberFormat="1" applyFont="1" applyFill="1" applyBorder="1" applyAlignment="1" applyProtection="1">
      <alignment horizontal="right"/>
    </xf>
    <xf numFmtId="3" fontId="14" fillId="10" borderId="114" xfId="0"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99"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4" fillId="10" borderId="32" xfId="0" applyNumberFormat="1" applyFont="1" applyFill="1" applyBorder="1" applyAlignment="1" applyProtection="1">
      <alignment horizontal="right"/>
    </xf>
    <xf numFmtId="3" fontId="14" fillId="10" borderId="22" xfId="0" applyNumberFormat="1" applyFont="1" applyFill="1" applyBorder="1" applyAlignment="1" applyProtection="1">
      <alignment horizontal="right"/>
    </xf>
    <xf numFmtId="3" fontId="14" fillId="10" borderId="5" xfId="0" applyNumberFormat="1" applyFont="1" applyFill="1" applyBorder="1" applyAlignment="1" applyProtection="1">
      <alignment horizontal="right"/>
    </xf>
    <xf numFmtId="3" fontId="14" fillId="10" borderId="19" xfId="0" applyNumberFormat="1" applyFont="1" applyFill="1" applyBorder="1" applyAlignment="1" applyProtection="1">
      <alignment horizontal="right"/>
    </xf>
    <xf numFmtId="3" fontId="14" fillId="10" borderId="6" xfId="0" applyNumberFormat="1" applyFont="1" applyFill="1" applyBorder="1" applyAlignment="1" applyProtection="1">
      <alignment horizontal="right"/>
    </xf>
    <xf numFmtId="3" fontId="14" fillId="10" borderId="7" xfId="0" applyNumberFormat="1" applyFont="1" applyFill="1" applyBorder="1" applyAlignment="1" applyProtection="1">
      <alignment horizontal="right"/>
    </xf>
    <xf numFmtId="0" fontId="26" fillId="10" borderId="92" xfId="0" applyFont="1" applyFill="1" applyBorder="1" applyProtection="1"/>
    <xf numFmtId="0" fontId="26" fillId="10" borderId="115" xfId="0" applyFont="1" applyFill="1" applyBorder="1" applyProtection="1"/>
    <xf numFmtId="0" fontId="26" fillId="10" borderId="116" xfId="0" applyFont="1" applyFill="1" applyBorder="1" applyProtection="1"/>
    <xf numFmtId="0" fontId="26" fillId="10" borderId="64" xfId="0" applyFont="1" applyFill="1" applyBorder="1" applyProtection="1"/>
    <xf numFmtId="0" fontId="26" fillId="10" borderId="79" xfId="0" applyFont="1" applyFill="1" applyBorder="1" applyProtection="1"/>
    <xf numFmtId="0" fontId="26" fillId="10" borderId="52" xfId="0" applyFont="1" applyFill="1" applyBorder="1" applyProtection="1"/>
    <xf numFmtId="0" fontId="26" fillId="10" borderId="94" xfId="0" applyFont="1" applyFill="1" applyBorder="1" applyProtection="1"/>
    <xf numFmtId="0" fontId="26" fillId="10" borderId="113" xfId="0" applyFont="1" applyFill="1" applyBorder="1" applyProtection="1"/>
    <xf numFmtId="0" fontId="26" fillId="10" borderId="21" xfId="0" applyFont="1" applyFill="1" applyBorder="1" applyProtection="1"/>
    <xf numFmtId="0" fontId="26" fillId="10" borderId="2" xfId="0" applyFont="1" applyFill="1" applyBorder="1" applyProtection="1"/>
    <xf numFmtId="0" fontId="26" fillId="10" borderId="46" xfId="0" applyFont="1" applyFill="1" applyBorder="1" applyProtection="1"/>
    <xf numFmtId="0" fontId="26" fillId="10" borderId="114" xfId="0" applyFont="1" applyFill="1" applyBorder="1" applyProtection="1"/>
    <xf numFmtId="0" fontId="26" fillId="10" borderId="28" xfId="0" applyFont="1" applyFill="1" applyBorder="1" applyProtection="1"/>
    <xf numFmtId="0" fontId="26" fillId="10" borderId="99" xfId="0" applyFont="1" applyFill="1" applyBorder="1" applyProtection="1"/>
    <xf numFmtId="3" fontId="14" fillId="10" borderId="105" xfId="0" applyNumberFormat="1" applyFont="1" applyFill="1" applyBorder="1" applyAlignment="1" applyProtection="1">
      <alignment horizontal="right"/>
    </xf>
    <xf numFmtId="3" fontId="14" fillId="2" borderId="79" xfId="0" applyNumberFormat="1" applyFont="1" applyFill="1" applyBorder="1" applyAlignment="1" applyProtection="1">
      <alignment horizontal="right"/>
      <protection locked="0"/>
    </xf>
    <xf numFmtId="0" fontId="26" fillId="10" borderId="7" xfId="0" applyFont="1" applyFill="1" applyBorder="1" applyProtection="1"/>
    <xf numFmtId="0" fontId="26" fillId="10" borderId="6" xfId="0" applyFont="1" applyFill="1" applyBorder="1" applyProtection="1"/>
    <xf numFmtId="0" fontId="26" fillId="10" borderId="5" xfId="0" applyFont="1" applyFill="1" applyBorder="1" applyProtection="1"/>
    <xf numFmtId="3" fontId="14" fillId="15" borderId="5" xfId="0" applyNumberFormat="1" applyFont="1" applyFill="1" applyBorder="1" applyAlignment="1" applyProtection="1">
      <alignment horizontal="right"/>
    </xf>
    <xf numFmtId="3" fontId="14" fillId="15" borderId="6" xfId="0" applyNumberFormat="1" applyFont="1" applyFill="1" applyBorder="1" applyAlignment="1" applyProtection="1">
      <alignment horizontal="right"/>
    </xf>
    <xf numFmtId="0" fontId="26" fillId="10" borderId="19" xfId="0" applyFont="1" applyFill="1" applyBorder="1" applyProtection="1"/>
    <xf numFmtId="0" fontId="26" fillId="10" borderId="22" xfId="0" applyFont="1" applyFill="1" applyBorder="1" applyProtection="1"/>
    <xf numFmtId="0" fontId="26" fillId="10" borderId="29" xfId="0" applyFont="1" applyFill="1" applyBorder="1" applyProtection="1"/>
    <xf numFmtId="0" fontId="26" fillId="10" borderId="32" xfId="0" applyFont="1" applyFill="1" applyBorder="1" applyProtection="1"/>
    <xf numFmtId="3" fontId="14" fillId="2" borderId="117" xfId="0" applyNumberFormat="1" applyFont="1" applyFill="1" applyBorder="1" applyAlignment="1" applyProtection="1">
      <alignment horizontal="right"/>
    </xf>
    <xf numFmtId="3" fontId="14" fillId="10" borderId="14" xfId="0" applyNumberFormat="1" applyFont="1" applyFill="1" applyBorder="1" applyAlignment="1" applyProtection="1">
      <alignment horizontal="left"/>
    </xf>
    <xf numFmtId="3" fontId="14" fillId="10" borderId="10" xfId="0" applyNumberFormat="1" applyFont="1" applyFill="1" applyBorder="1" applyAlignment="1" applyProtection="1">
      <alignment horizontal="left"/>
    </xf>
    <xf numFmtId="3" fontId="14" fillId="10" borderId="9" xfId="0" applyNumberFormat="1" applyFont="1" applyFill="1" applyBorder="1" applyAlignment="1" applyProtection="1">
      <alignment horizontal="left"/>
    </xf>
    <xf numFmtId="3" fontId="14" fillId="10" borderId="20" xfId="0" applyNumberFormat="1" applyFont="1" applyFill="1" applyBorder="1" applyAlignment="1" applyProtection="1">
      <alignment horizontal="left"/>
    </xf>
    <xf numFmtId="3" fontId="14" fillId="10" borderId="23" xfId="0" applyNumberFormat="1" applyFont="1" applyFill="1" applyBorder="1" applyAlignment="1" applyProtection="1">
      <alignment horizontal="left"/>
    </xf>
    <xf numFmtId="3" fontId="14" fillId="16" borderId="20" xfId="0" applyNumberFormat="1" applyFont="1" applyFill="1" applyBorder="1" applyAlignment="1" applyProtection="1">
      <alignment horizontal="left"/>
    </xf>
    <xf numFmtId="3" fontId="14" fillId="10" borderId="30" xfId="0" applyNumberFormat="1" applyFont="1" applyFill="1" applyBorder="1" applyAlignment="1" applyProtection="1">
      <alignment horizontal="left"/>
    </xf>
    <xf numFmtId="3" fontId="14" fillId="10" borderId="31" xfId="0" applyNumberFormat="1" applyFont="1" applyFill="1" applyBorder="1" applyAlignment="1" applyProtection="1">
      <alignment horizontal="left"/>
    </xf>
    <xf numFmtId="49" fontId="95" fillId="7" borderId="0" xfId="0" applyNumberFormat="1" applyFont="1" applyFill="1" applyProtection="1"/>
    <xf numFmtId="0" fontId="95" fillId="7" borderId="0" xfId="0" applyFont="1" applyFill="1" applyProtection="1"/>
    <xf numFmtId="49" fontId="97" fillId="7" borderId="0" xfId="0" applyNumberFormat="1" applyFont="1" applyFill="1" applyProtection="1"/>
    <xf numFmtId="0" fontId="97" fillId="7" borderId="0" xfId="0" applyFont="1" applyFill="1" applyProtection="1"/>
    <xf numFmtId="0" fontId="0" fillId="7" borderId="0" xfId="0" applyFill="1" applyAlignment="1" applyProtection="1">
      <alignment horizontal="right"/>
    </xf>
    <xf numFmtId="0" fontId="98" fillId="7" borderId="0" xfId="0" applyFont="1" applyFill="1" applyProtection="1"/>
    <xf numFmtId="49" fontId="97" fillId="7" borderId="0" xfId="0" applyNumberFormat="1" applyFont="1" applyFill="1" applyAlignment="1" applyProtection="1">
      <alignment horizontal="right"/>
    </xf>
    <xf numFmtId="49" fontId="96" fillId="7" borderId="0" xfId="0" applyNumberFormat="1" applyFont="1" applyFill="1" applyAlignment="1" applyProtection="1">
      <alignment horizontal="right"/>
    </xf>
    <xf numFmtId="0" fontId="96" fillId="7" borderId="0" xfId="0" applyFont="1" applyFill="1" applyAlignment="1" applyProtection="1">
      <alignment horizontal="left"/>
    </xf>
    <xf numFmtId="49" fontId="97" fillId="7" borderId="0" xfId="5" applyNumberFormat="1" applyFont="1" applyFill="1" applyBorder="1" applyAlignment="1" applyProtection="1">
      <alignment horizontal="left"/>
    </xf>
    <xf numFmtId="0" fontId="97" fillId="7" borderId="0" xfId="5" applyFont="1" applyFill="1" applyProtection="1"/>
    <xf numFmtId="49" fontId="97" fillId="7" borderId="0" xfId="0" applyNumberFormat="1" applyFont="1" applyFill="1" applyAlignment="1" applyProtection="1"/>
    <xf numFmtId="0" fontId="97" fillId="7" borderId="0" xfId="0" applyFont="1" applyFill="1" applyAlignment="1" applyProtection="1"/>
    <xf numFmtId="3" fontId="3" fillId="0" borderId="18" xfId="0" applyNumberFormat="1" applyFont="1" applyFill="1" applyBorder="1" applyAlignment="1" applyProtection="1">
      <alignment horizontal="right"/>
      <protection locked="0"/>
    </xf>
    <xf numFmtId="3" fontId="51" fillId="0" borderId="38" xfId="0" applyNumberFormat="1" applyFont="1" applyFill="1" applyBorder="1" applyProtection="1"/>
    <xf numFmtId="3" fontId="8" fillId="0" borderId="38" xfId="0" applyNumberFormat="1" applyFont="1" applyFill="1" applyBorder="1" applyProtection="1"/>
    <xf numFmtId="3" fontId="37" fillId="0" borderId="38" xfId="0" applyNumberFormat="1" applyFont="1" applyFill="1" applyBorder="1" applyAlignment="1" applyProtection="1">
      <alignment horizontal="right"/>
    </xf>
    <xf numFmtId="0" fontId="8" fillId="0" borderId="38" xfId="0" applyFont="1" applyFill="1" applyBorder="1" applyProtection="1"/>
    <xf numFmtId="3" fontId="14" fillId="3" borderId="8" xfId="0" applyNumberFormat="1" applyFont="1" applyFill="1" applyBorder="1" applyAlignment="1" applyProtection="1">
      <alignment horizontal="right"/>
    </xf>
    <xf numFmtId="3" fontId="37" fillId="2" borderId="38" xfId="0" applyNumberFormat="1" applyFont="1" applyFill="1" applyBorder="1" applyAlignment="1" applyProtection="1">
      <alignment horizontal="left"/>
    </xf>
    <xf numFmtId="3" fontId="103" fillId="2" borderId="0" xfId="0" applyNumberFormat="1" applyFont="1" applyFill="1" applyBorder="1" applyAlignment="1" applyProtection="1">
      <alignment horizontal="right"/>
    </xf>
    <xf numFmtId="3" fontId="103" fillId="5" borderId="0" xfId="0" applyNumberFormat="1" applyFont="1" applyFill="1" applyBorder="1" applyAlignment="1" applyProtection="1">
      <alignment horizontal="right"/>
    </xf>
    <xf numFmtId="3" fontId="103" fillId="4" borderId="0" xfId="0" applyNumberFormat="1" applyFont="1" applyFill="1" applyBorder="1" applyAlignment="1" applyProtection="1">
      <alignment horizontal="right"/>
    </xf>
    <xf numFmtId="3" fontId="103" fillId="6" borderId="0" xfId="0" applyNumberFormat="1" applyFont="1" applyFill="1" applyBorder="1" applyAlignment="1" applyProtection="1">
      <alignment horizontal="right"/>
    </xf>
    <xf numFmtId="0" fontId="104" fillId="0" borderId="0" xfId="0" applyFont="1" applyFill="1" applyBorder="1" applyProtection="1"/>
    <xf numFmtId="49" fontId="4" fillId="20" borderId="122" xfId="0" applyNumberFormat="1" applyFont="1" applyFill="1" applyBorder="1" applyAlignment="1" applyProtection="1">
      <alignment horizontal="center"/>
    </xf>
    <xf numFmtId="0" fontId="6" fillId="20" borderId="13" xfId="0" applyFont="1" applyFill="1" applyBorder="1" applyProtection="1"/>
    <xf numFmtId="49" fontId="4" fillId="20" borderId="5" xfId="0" applyNumberFormat="1" applyFont="1" applyFill="1" applyBorder="1" applyAlignment="1" applyProtection="1">
      <alignment horizontal="center" wrapText="1"/>
    </xf>
    <xf numFmtId="49" fontId="4" fillId="20" borderId="80" xfId="0" applyNumberFormat="1" applyFont="1" applyFill="1" applyBorder="1" applyAlignment="1" applyProtection="1">
      <alignment horizontal="center" wrapText="1"/>
    </xf>
    <xf numFmtId="49" fontId="4" fillId="20" borderId="2" xfId="0" applyNumberFormat="1" applyFont="1" applyFill="1" applyBorder="1" applyAlignment="1" applyProtection="1">
      <alignment horizontal="center" wrapText="1"/>
    </xf>
    <xf numFmtId="0" fontId="9" fillId="20" borderId="5" xfId="0" applyFont="1" applyFill="1" applyBorder="1" applyAlignment="1" applyProtection="1">
      <alignment horizontal="center"/>
    </xf>
    <xf numFmtId="0" fontId="4" fillId="20" borderId="67" xfId="0" applyFont="1" applyFill="1" applyBorder="1" applyAlignment="1" applyProtection="1">
      <alignment horizontal="center"/>
    </xf>
    <xf numFmtId="3" fontId="4" fillId="20" borderId="123" xfId="0" applyNumberFormat="1" applyFont="1" applyFill="1" applyBorder="1" applyAlignment="1" applyProtection="1"/>
    <xf numFmtId="0" fontId="4" fillId="20" borderId="23" xfId="0" applyFont="1" applyFill="1" applyBorder="1" applyAlignment="1" applyProtection="1">
      <alignment horizontal="center"/>
    </xf>
    <xf numFmtId="0" fontId="4" fillId="20" borderId="9" xfId="0" applyFont="1" applyFill="1" applyBorder="1" applyAlignment="1" applyProtection="1">
      <alignment horizontal="center"/>
    </xf>
    <xf numFmtId="0" fontId="4" fillId="20" borderId="124" xfId="0" applyFont="1" applyFill="1" applyBorder="1" applyAlignment="1" applyProtection="1">
      <alignment horizontal="center"/>
    </xf>
    <xf numFmtId="0" fontId="9" fillId="20" borderId="13" xfId="0" applyFont="1" applyFill="1" applyBorder="1" applyAlignment="1" applyProtection="1">
      <alignment horizontal="center"/>
    </xf>
    <xf numFmtId="0" fontId="4" fillId="20" borderId="22" xfId="0" applyFont="1" applyFill="1" applyBorder="1" applyAlignment="1" applyProtection="1">
      <alignment horizontal="center"/>
    </xf>
    <xf numFmtId="0" fontId="9" fillId="20" borderId="5" xfId="0" applyFont="1" applyFill="1" applyBorder="1" applyAlignment="1" applyProtection="1">
      <alignment wrapText="1"/>
    </xf>
    <xf numFmtId="0" fontId="4" fillId="20" borderId="21" xfId="0" applyFont="1" applyFill="1" applyBorder="1" applyAlignment="1" applyProtection="1">
      <alignment horizontal="center"/>
    </xf>
    <xf numFmtId="0" fontId="4" fillId="20" borderId="2" xfId="0" applyFont="1" applyFill="1" applyBorder="1" applyProtection="1"/>
    <xf numFmtId="0" fontId="4" fillId="20" borderId="125" xfId="0" applyFont="1" applyFill="1" applyBorder="1" applyAlignment="1" applyProtection="1">
      <alignment horizontal="center"/>
    </xf>
    <xf numFmtId="1" fontId="4" fillId="20" borderId="15" xfId="0" applyNumberFormat="1" applyFont="1" applyFill="1" applyBorder="1" applyAlignment="1" applyProtection="1">
      <alignment horizontal="center"/>
    </xf>
    <xf numFmtId="0" fontId="4" fillId="20" borderId="15" xfId="0" applyFont="1" applyFill="1" applyBorder="1" applyProtection="1"/>
    <xf numFmtId="1" fontId="4" fillId="20" borderId="5" xfId="0" applyNumberFormat="1" applyFont="1" applyFill="1" applyBorder="1" applyAlignment="1" applyProtection="1">
      <alignment horizontal="center"/>
    </xf>
    <xf numFmtId="0" fontId="4" fillId="20" borderId="5" xfId="0" applyFont="1" applyFill="1" applyBorder="1" applyProtection="1"/>
    <xf numFmtId="0" fontId="4" fillId="20" borderId="49" xfId="0" applyFont="1" applyFill="1" applyBorder="1" applyAlignment="1" applyProtection="1">
      <alignment horizontal="center"/>
    </xf>
    <xf numFmtId="1" fontId="4" fillId="20" borderId="2" xfId="0" applyNumberFormat="1" applyFont="1" applyFill="1" applyBorder="1" applyAlignment="1" applyProtection="1">
      <alignment horizontal="center"/>
    </xf>
    <xf numFmtId="0" fontId="4" fillId="20" borderId="24" xfId="0" applyFont="1" applyFill="1" applyBorder="1" applyAlignment="1" applyProtection="1">
      <alignment horizontal="center"/>
    </xf>
    <xf numFmtId="1" fontId="6" fillId="20" borderId="13" xfId="0" applyNumberFormat="1" applyFont="1" applyFill="1" applyBorder="1" applyAlignment="1" applyProtection="1">
      <alignment horizontal="center"/>
    </xf>
    <xf numFmtId="0" fontId="9" fillId="20" borderId="126" xfId="0" applyFont="1" applyFill="1" applyBorder="1" applyAlignment="1" applyProtection="1">
      <alignment horizontal="center"/>
    </xf>
    <xf numFmtId="1" fontId="9" fillId="20" borderId="2" xfId="0" applyNumberFormat="1" applyFont="1" applyFill="1" applyBorder="1" applyAlignment="1" applyProtection="1">
      <alignment horizontal="center"/>
    </xf>
    <xf numFmtId="0" fontId="9" fillId="20" borderId="2" xfId="0" applyFont="1" applyFill="1" applyBorder="1" applyProtection="1"/>
    <xf numFmtId="1" fontId="17" fillId="20" borderId="13" xfId="0" applyNumberFormat="1" applyFont="1" applyFill="1" applyBorder="1" applyAlignment="1" applyProtection="1">
      <alignment horizontal="center"/>
    </xf>
    <xf numFmtId="0" fontId="17" fillId="20" borderId="13" xfId="0" applyFont="1" applyFill="1" applyBorder="1" applyProtection="1"/>
    <xf numFmtId="0" fontId="4" fillId="20" borderId="50" xfId="0" applyFont="1" applyFill="1" applyBorder="1" applyAlignment="1" applyProtection="1">
      <alignment horizontal="center"/>
    </xf>
    <xf numFmtId="1" fontId="6" fillId="20" borderId="25" xfId="0" applyNumberFormat="1" applyFont="1" applyFill="1" applyBorder="1" applyAlignment="1" applyProtection="1">
      <alignment horizontal="center"/>
    </xf>
    <xf numFmtId="0" fontId="6" fillId="20" borderId="25" xfId="0" applyFont="1" applyFill="1" applyBorder="1" applyProtection="1"/>
    <xf numFmtId="0" fontId="4" fillId="20" borderId="126" xfId="0" applyFont="1" applyFill="1" applyBorder="1" applyAlignment="1" applyProtection="1">
      <alignment horizontal="center"/>
    </xf>
    <xf numFmtId="0" fontId="4" fillId="20" borderId="25" xfId="0" applyFont="1" applyFill="1" applyBorder="1" applyAlignment="1" applyProtection="1">
      <alignment horizontal="center"/>
    </xf>
    <xf numFmtId="0" fontId="4" fillId="20" borderId="25" xfId="0" applyFont="1" applyFill="1" applyBorder="1" applyProtection="1"/>
    <xf numFmtId="0" fontId="6" fillId="20" borderId="2" xfId="0" applyFont="1" applyFill="1" applyBorder="1" applyProtection="1"/>
    <xf numFmtId="49" fontId="4" fillId="20" borderId="124" xfId="0" applyNumberFormat="1" applyFont="1" applyFill="1" applyBorder="1" applyAlignment="1" applyProtection="1">
      <alignment horizontal="center"/>
    </xf>
    <xf numFmtId="0" fontId="4" fillId="20" borderId="102" xfId="0" applyFont="1" applyFill="1" applyBorder="1" applyAlignment="1" applyProtection="1">
      <alignment horizontal="center"/>
    </xf>
    <xf numFmtId="1" fontId="4" fillId="20" borderId="41" xfId="0" applyNumberFormat="1" applyFont="1" applyFill="1" applyBorder="1" applyAlignment="1" applyProtection="1">
      <alignment horizontal="left"/>
    </xf>
    <xf numFmtId="0" fontId="4" fillId="20" borderId="127" xfId="0" applyFont="1" applyFill="1" applyBorder="1" applyAlignment="1" applyProtection="1">
      <alignment horizontal="center"/>
    </xf>
    <xf numFmtId="1" fontId="4" fillId="20" borderId="128" xfId="0" applyNumberFormat="1" applyFont="1" applyFill="1" applyBorder="1" applyAlignment="1" applyProtection="1">
      <alignment horizontal="left"/>
    </xf>
    <xf numFmtId="49" fontId="4" fillId="20" borderId="129" xfId="0" applyNumberFormat="1" applyFont="1" applyFill="1" applyBorder="1" applyAlignment="1" applyProtection="1">
      <alignment horizontal="center"/>
    </xf>
    <xf numFmtId="0" fontId="66" fillId="20" borderId="78" xfId="0" applyFont="1" applyFill="1" applyBorder="1" applyAlignment="1" applyProtection="1">
      <alignment horizontal="center"/>
    </xf>
    <xf numFmtId="49" fontId="4" fillId="20" borderId="21" xfId="0" applyNumberFormat="1" applyFont="1" applyFill="1" applyBorder="1" applyAlignment="1" applyProtection="1">
      <alignment horizontal="center"/>
    </xf>
    <xf numFmtId="49" fontId="19" fillId="20" borderId="8" xfId="0" applyNumberFormat="1" applyFont="1" applyFill="1" applyBorder="1" applyAlignment="1" applyProtection="1">
      <alignment horizontal="left"/>
    </xf>
    <xf numFmtId="49" fontId="4" fillId="20" borderId="22" xfId="0" applyNumberFormat="1" applyFont="1" applyFill="1" applyBorder="1" applyAlignment="1" applyProtection="1">
      <alignment horizontal="center"/>
    </xf>
    <xf numFmtId="49" fontId="4" fillId="20" borderId="125" xfId="0" applyNumberFormat="1" applyFont="1" applyFill="1" applyBorder="1" applyAlignment="1" applyProtection="1">
      <alignment horizontal="center"/>
    </xf>
    <xf numFmtId="49" fontId="4" fillId="20" borderId="24" xfId="0" applyNumberFormat="1" applyFont="1" applyFill="1" applyBorder="1" applyAlignment="1" applyProtection="1">
      <alignment horizontal="center"/>
    </xf>
    <xf numFmtId="49" fontId="66" fillId="20" borderId="65" xfId="0" applyNumberFormat="1" applyFont="1" applyFill="1" applyBorder="1" applyAlignment="1" applyProtection="1">
      <alignment horizontal="center"/>
    </xf>
    <xf numFmtId="49" fontId="9" fillId="20" borderId="130" xfId="0" applyNumberFormat="1" applyFont="1" applyFill="1" applyBorder="1" applyAlignment="1" applyProtection="1">
      <alignment horizontal="center"/>
    </xf>
    <xf numFmtId="0" fontId="17" fillId="20" borderId="131" xfId="0" applyFont="1" applyFill="1" applyBorder="1" applyAlignment="1" applyProtection="1">
      <alignment wrapText="1"/>
    </xf>
    <xf numFmtId="0" fontId="4" fillId="20" borderId="2" xfId="0" applyFont="1" applyFill="1" applyBorder="1" applyAlignment="1" applyProtection="1">
      <alignment wrapText="1"/>
    </xf>
    <xf numFmtId="49" fontId="4" fillId="20" borderId="126" xfId="0" applyNumberFormat="1" applyFont="1" applyFill="1" applyBorder="1" applyAlignment="1" applyProtection="1">
      <alignment horizontal="center"/>
    </xf>
    <xf numFmtId="0" fontId="6" fillId="20" borderId="41" xfId="0" applyFont="1" applyFill="1" applyBorder="1" applyProtection="1"/>
    <xf numFmtId="49" fontId="9" fillId="20" borderId="120" xfId="0" applyNumberFormat="1" applyFont="1" applyFill="1" applyBorder="1" applyAlignment="1" applyProtection="1">
      <alignment horizontal="center"/>
    </xf>
    <xf numFmtId="0" fontId="17" fillId="20" borderId="41" xfId="0" applyFont="1" applyFill="1" applyBorder="1" applyProtection="1"/>
    <xf numFmtId="0" fontId="6" fillId="20" borderId="2" xfId="0" applyFont="1" applyFill="1" applyBorder="1" applyAlignment="1" applyProtection="1">
      <alignment wrapText="1"/>
    </xf>
    <xf numFmtId="49" fontId="9" fillId="20" borderId="22" xfId="0" applyNumberFormat="1" applyFont="1" applyFill="1" applyBorder="1" applyAlignment="1" applyProtection="1">
      <alignment horizontal="center"/>
    </xf>
    <xf numFmtId="0" fontId="4" fillId="20" borderId="5" xfId="0" applyFont="1" applyFill="1" applyBorder="1" applyAlignment="1" applyProtection="1">
      <alignment wrapText="1"/>
    </xf>
    <xf numFmtId="0" fontId="6" fillId="20" borderId="115" xfId="0" applyFont="1" applyFill="1" applyBorder="1" applyAlignment="1" applyProtection="1">
      <alignment horizontal="right"/>
    </xf>
    <xf numFmtId="0" fontId="4" fillId="20" borderId="94" xfId="0" applyFont="1" applyFill="1" applyBorder="1" applyAlignment="1" applyProtection="1">
      <alignment horizontal="left"/>
    </xf>
    <xf numFmtId="0" fontId="6" fillId="20" borderId="113" xfId="0" applyFont="1" applyFill="1" applyBorder="1" applyAlignment="1" applyProtection="1">
      <alignment horizontal="right"/>
    </xf>
    <xf numFmtId="0" fontId="4" fillId="20" borderId="122" xfId="0" applyFont="1" applyFill="1" applyBorder="1" applyAlignment="1" applyProtection="1">
      <alignment horizontal="left"/>
    </xf>
    <xf numFmtId="0" fontId="6" fillId="20" borderId="15" xfId="0" applyFont="1" applyFill="1" applyBorder="1" applyAlignment="1" applyProtection="1">
      <alignment horizontal="right"/>
    </xf>
    <xf numFmtId="0" fontId="6" fillId="20" borderId="2" xfId="0" applyFont="1" applyFill="1" applyBorder="1" applyAlignment="1" applyProtection="1">
      <alignment horizontal="left"/>
    </xf>
    <xf numFmtId="0" fontId="4" fillId="20" borderId="2" xfId="0" applyFont="1" applyFill="1" applyBorder="1" applyAlignment="1" applyProtection="1">
      <alignment horizontal="left"/>
    </xf>
    <xf numFmtId="0" fontId="6" fillId="20" borderId="13" xfId="0" applyFont="1" applyFill="1" applyBorder="1" applyAlignment="1" applyProtection="1">
      <alignment horizontal="left"/>
    </xf>
    <xf numFmtId="49" fontId="4" fillId="20" borderId="23" xfId="0" applyNumberFormat="1" applyFont="1" applyFill="1" applyBorder="1" applyAlignment="1" applyProtection="1">
      <alignment horizontal="center"/>
    </xf>
    <xf numFmtId="0" fontId="4" fillId="20" borderId="9" xfId="0" applyFont="1" applyFill="1" applyBorder="1" applyAlignment="1" applyProtection="1">
      <alignment horizontal="left"/>
    </xf>
    <xf numFmtId="0" fontId="4" fillId="20" borderId="5" xfId="0" applyFont="1" applyFill="1" applyBorder="1" applyAlignment="1" applyProtection="1">
      <alignment horizontal="left"/>
    </xf>
    <xf numFmtId="0" fontId="6" fillId="20" borderId="15" xfId="0" applyFont="1" applyFill="1" applyBorder="1" applyAlignment="1" applyProtection="1">
      <alignment horizontal="left"/>
    </xf>
    <xf numFmtId="0" fontId="6" fillId="20" borderId="113" xfId="0" applyFont="1" applyFill="1" applyBorder="1" applyAlignment="1" applyProtection="1">
      <alignment horizontal="left"/>
    </xf>
    <xf numFmtId="0" fontId="6" fillId="20" borderId="116" xfId="0" applyFont="1" applyFill="1" applyBorder="1" applyAlignment="1" applyProtection="1">
      <alignment horizontal="left"/>
    </xf>
    <xf numFmtId="0" fontId="4" fillId="20" borderId="15" xfId="0" applyFont="1" applyFill="1" applyBorder="1" applyAlignment="1" applyProtection="1">
      <alignment horizontal="left"/>
    </xf>
    <xf numFmtId="0" fontId="4" fillId="20" borderId="56" xfId="0" applyFont="1" applyFill="1" applyBorder="1" applyAlignment="1" applyProtection="1">
      <alignment horizontal="left"/>
    </xf>
    <xf numFmtId="0" fontId="6" fillId="20" borderId="56" xfId="0" applyFont="1" applyFill="1" applyBorder="1" applyAlignment="1" applyProtection="1">
      <alignment horizontal="right"/>
    </xf>
    <xf numFmtId="0" fontId="4" fillId="20" borderId="53" xfId="0" applyFont="1" applyFill="1" applyBorder="1" applyAlignment="1" applyProtection="1">
      <alignment horizontal="left"/>
    </xf>
    <xf numFmtId="0" fontId="6" fillId="20" borderId="122" xfId="0" applyFont="1" applyFill="1" applyBorder="1" applyAlignment="1" applyProtection="1">
      <alignment horizontal="left" vertical="top"/>
    </xf>
    <xf numFmtId="0" fontId="6" fillId="20" borderId="56" xfId="0" applyFont="1" applyFill="1" applyBorder="1" applyAlignment="1" applyProtection="1">
      <alignment horizontal="left" vertical="top"/>
    </xf>
    <xf numFmtId="0" fontId="6" fillId="20" borderId="21" xfId="0" applyFont="1" applyFill="1" applyBorder="1" applyAlignment="1" applyProtection="1">
      <alignment horizontal="right"/>
    </xf>
    <xf numFmtId="0" fontId="6" fillId="20" borderId="52" xfId="0" applyFont="1" applyFill="1" applyBorder="1" applyAlignment="1" applyProtection="1">
      <alignment horizontal="right"/>
    </xf>
    <xf numFmtId="3" fontId="46" fillId="21" borderId="22" xfId="0" applyNumberFormat="1" applyFont="1" applyFill="1" applyBorder="1" applyProtection="1"/>
    <xf numFmtId="3" fontId="46" fillId="21" borderId="19" xfId="0" applyNumberFormat="1" applyFont="1" applyFill="1" applyBorder="1" applyProtection="1"/>
    <xf numFmtId="3" fontId="46" fillId="21" borderId="22" xfId="0" applyNumberFormat="1" applyFont="1" applyFill="1" applyBorder="1" applyAlignment="1" applyProtection="1">
      <alignment horizontal="right"/>
    </xf>
    <xf numFmtId="3" fontId="46" fillId="21" borderId="24" xfId="0" applyNumberFormat="1" applyFont="1" applyFill="1" applyBorder="1" applyProtection="1"/>
    <xf numFmtId="3" fontId="46" fillId="21" borderId="23" xfId="0" applyNumberFormat="1" applyFont="1" applyFill="1" applyBorder="1" applyProtection="1"/>
    <xf numFmtId="3" fontId="46" fillId="21" borderId="40" xfId="0" applyNumberFormat="1" applyFont="1" applyFill="1" applyBorder="1" applyProtection="1"/>
    <xf numFmtId="3" fontId="46" fillId="21" borderId="52" xfId="0" applyNumberFormat="1" applyFont="1" applyFill="1" applyBorder="1" applyProtection="1"/>
    <xf numFmtId="3" fontId="46" fillId="21" borderId="51" xfId="0" applyNumberFormat="1" applyFont="1" applyFill="1" applyBorder="1" applyProtection="1"/>
    <xf numFmtId="3" fontId="46" fillId="22" borderId="22" xfId="0" applyNumberFormat="1" applyFont="1" applyFill="1" applyBorder="1" applyProtection="1"/>
    <xf numFmtId="3" fontId="46" fillId="22" borderId="51" xfId="0" applyNumberFormat="1" applyFont="1" applyFill="1" applyBorder="1" applyProtection="1"/>
    <xf numFmtId="3" fontId="46" fillId="21" borderId="77" xfId="0" applyNumberFormat="1" applyFont="1" applyFill="1" applyBorder="1" applyProtection="1"/>
    <xf numFmtId="0" fontId="6" fillId="20" borderId="132" xfId="0" applyFont="1" applyFill="1" applyBorder="1" applyAlignment="1" applyProtection="1">
      <alignment horizontal="center" vertical="center" wrapText="1"/>
    </xf>
    <xf numFmtId="3" fontId="46" fillId="21" borderId="133" xfId="0" applyNumberFormat="1" applyFont="1" applyFill="1" applyBorder="1" applyProtection="1"/>
    <xf numFmtId="3" fontId="46" fillId="22" borderId="134" xfId="0" applyNumberFormat="1" applyFont="1" applyFill="1" applyBorder="1" applyProtection="1"/>
    <xf numFmtId="3" fontId="46" fillId="22" borderId="135" xfId="0" applyNumberFormat="1" applyFont="1" applyFill="1" applyBorder="1" applyProtection="1"/>
    <xf numFmtId="3" fontId="46" fillId="22" borderId="117" xfId="0" applyNumberFormat="1" applyFont="1" applyFill="1" applyBorder="1" applyProtection="1"/>
    <xf numFmtId="3" fontId="46" fillId="21" borderId="136" xfId="0" applyNumberFormat="1" applyFont="1" applyFill="1" applyBorder="1" applyProtection="1"/>
    <xf numFmtId="0" fontId="6" fillId="20" borderId="36" xfId="0" applyFont="1" applyFill="1" applyBorder="1" applyProtection="1"/>
    <xf numFmtId="167" fontId="5" fillId="20" borderId="116" xfId="0" applyNumberFormat="1" applyFont="1" applyFill="1" applyBorder="1" applyProtection="1"/>
    <xf numFmtId="3" fontId="46" fillId="21" borderId="19" xfId="0" applyNumberFormat="1" applyFont="1" applyFill="1" applyBorder="1" applyAlignment="1" applyProtection="1">
      <alignment horizontal="right"/>
    </xf>
    <xf numFmtId="0" fontId="4" fillId="20" borderId="126" xfId="0" applyFont="1" applyFill="1" applyBorder="1" applyProtection="1"/>
    <xf numFmtId="167" fontId="7" fillId="20" borderId="52" xfId="0" applyNumberFormat="1" applyFont="1" applyFill="1" applyBorder="1" applyProtection="1"/>
    <xf numFmtId="0" fontId="4" fillId="20" borderId="49" xfId="0" applyFont="1" applyFill="1" applyBorder="1" applyProtection="1"/>
    <xf numFmtId="167" fontId="7" fillId="20" borderId="51" xfId="0" applyNumberFormat="1" applyFont="1" applyFill="1" applyBorder="1" applyProtection="1"/>
    <xf numFmtId="3" fontId="46" fillId="22" borderId="68" xfId="0" applyNumberFormat="1" applyFont="1" applyFill="1" applyBorder="1" applyProtection="1"/>
    <xf numFmtId="3" fontId="46" fillId="22" borderId="59" xfId="0" applyNumberFormat="1" applyFont="1" applyFill="1" applyBorder="1" applyProtection="1"/>
    <xf numFmtId="0" fontId="4" fillId="20" borderId="139" xfId="0" applyFont="1" applyFill="1" applyBorder="1" applyProtection="1"/>
    <xf numFmtId="3" fontId="46" fillId="21" borderId="24" xfId="0" applyNumberFormat="1" applyFont="1" applyFill="1" applyBorder="1" applyAlignment="1" applyProtection="1">
      <alignment horizontal="right"/>
    </xf>
    <xf numFmtId="3" fontId="46" fillId="22" borderId="81" xfId="0" applyNumberFormat="1" applyFont="1" applyFill="1" applyBorder="1" applyProtection="1"/>
    <xf numFmtId="49" fontId="4" fillId="20" borderId="36" xfId="0" applyNumberFormat="1" applyFont="1" applyFill="1" applyBorder="1" applyAlignment="1" applyProtection="1">
      <alignment horizontal="left"/>
    </xf>
    <xf numFmtId="0" fontId="6" fillId="20" borderId="113" xfId="0" applyFont="1" applyFill="1" applyBorder="1" applyAlignment="1" applyProtection="1"/>
    <xf numFmtId="49" fontId="4" fillId="20" borderId="57" xfId="0" applyNumberFormat="1" applyFont="1" applyFill="1" applyBorder="1" applyAlignment="1" applyProtection="1">
      <alignment horizontal="left"/>
    </xf>
    <xf numFmtId="0" fontId="28" fillId="20" borderId="15" xfId="0" applyFont="1" applyFill="1" applyBorder="1" applyProtection="1"/>
    <xf numFmtId="49" fontId="4" fillId="20" borderId="137" xfId="0" applyNumberFormat="1" applyFont="1" applyFill="1" applyBorder="1" applyAlignment="1" applyProtection="1">
      <alignment horizontal="left"/>
    </xf>
    <xf numFmtId="0" fontId="28" fillId="20" borderId="41" xfId="0" applyFont="1" applyFill="1" applyBorder="1" applyProtection="1"/>
    <xf numFmtId="49" fontId="4" fillId="20" borderId="122" xfId="0" applyNumberFormat="1" applyFont="1" applyFill="1" applyBorder="1" applyProtection="1"/>
    <xf numFmtId="166" fontId="4" fillId="20" borderId="15" xfId="0" applyNumberFormat="1" applyFont="1" applyFill="1" applyBorder="1" applyProtection="1"/>
    <xf numFmtId="0" fontId="27" fillId="20" borderId="140" xfId="0" applyFont="1" applyFill="1" applyBorder="1" applyProtection="1"/>
    <xf numFmtId="0" fontId="27" fillId="20" borderId="15" xfId="0" applyFont="1" applyFill="1" applyBorder="1" applyProtection="1"/>
    <xf numFmtId="0" fontId="6" fillId="20" borderId="2" xfId="0" applyNumberFormat="1" applyFont="1" applyFill="1" applyBorder="1" applyAlignment="1" applyProtection="1">
      <alignment horizontal="center"/>
    </xf>
    <xf numFmtId="0" fontId="17" fillId="20" borderId="2" xfId="0" applyFont="1" applyFill="1" applyBorder="1" applyProtection="1"/>
    <xf numFmtId="49" fontId="4" fillId="20" borderId="2" xfId="0" applyNumberFormat="1" applyFont="1" applyFill="1" applyBorder="1" applyAlignment="1" applyProtection="1">
      <alignment horizontal="center"/>
    </xf>
    <xf numFmtId="0" fontId="4" fillId="20" borderId="5" xfId="0" applyFont="1" applyFill="1" applyBorder="1" applyAlignment="1" applyProtection="1">
      <alignment horizontal="center"/>
    </xf>
    <xf numFmtId="49" fontId="9" fillId="20" borderId="2" xfId="0" applyNumberFormat="1" applyFont="1" applyFill="1" applyBorder="1" applyAlignment="1" applyProtection="1">
      <alignment horizontal="center"/>
    </xf>
    <xf numFmtId="0" fontId="27" fillId="20" borderId="113" xfId="0" applyFont="1" applyFill="1" applyBorder="1" applyProtection="1"/>
    <xf numFmtId="49" fontId="6" fillId="20" borderId="13" xfId="0" applyNumberFormat="1" applyFont="1" applyFill="1" applyBorder="1" applyAlignment="1" applyProtection="1">
      <alignment horizontal="center"/>
    </xf>
    <xf numFmtId="49" fontId="6" fillId="20" borderId="80" xfId="0" applyNumberFormat="1" applyFont="1" applyFill="1" applyBorder="1" applyAlignment="1" applyProtection="1">
      <alignment horizontal="center"/>
    </xf>
    <xf numFmtId="0" fontId="17" fillId="20" borderId="80" xfId="0" applyFont="1" applyFill="1" applyBorder="1" applyProtection="1"/>
    <xf numFmtId="3" fontId="6" fillId="20" borderId="91" xfId="0" applyNumberFormat="1" applyFont="1" applyFill="1" applyBorder="1" applyProtection="1"/>
    <xf numFmtId="3" fontId="6" fillId="20" borderId="84" xfId="0" applyNumberFormat="1" applyFont="1" applyFill="1" applyBorder="1" applyProtection="1"/>
    <xf numFmtId="167" fontId="29" fillId="20" borderId="55" xfId="0" applyNumberFormat="1" applyFont="1" applyFill="1" applyBorder="1" applyAlignment="1" applyProtection="1">
      <alignment horizontal="center"/>
    </xf>
    <xf numFmtId="167" fontId="29" fillId="20" borderId="59" xfId="0" applyNumberFormat="1" applyFont="1" applyFill="1" applyBorder="1" applyAlignment="1" applyProtection="1">
      <alignment horizontal="center"/>
    </xf>
    <xf numFmtId="167" fontId="30" fillId="20" borderId="142" xfId="0" applyNumberFormat="1" applyFont="1" applyFill="1" applyBorder="1" applyProtection="1"/>
    <xf numFmtId="167" fontId="30" fillId="20" borderId="86" xfId="0" applyNumberFormat="1" applyFont="1" applyFill="1" applyBorder="1" applyProtection="1"/>
    <xf numFmtId="167" fontId="7" fillId="20" borderId="143" xfId="0" applyNumberFormat="1" applyFont="1" applyFill="1" applyBorder="1" applyProtection="1"/>
    <xf numFmtId="167" fontId="7" fillId="20" borderId="144" xfId="0" applyNumberFormat="1" applyFont="1" applyFill="1" applyBorder="1" applyProtection="1"/>
    <xf numFmtId="167" fontId="7" fillId="20" borderId="53" xfId="0" applyNumberFormat="1" applyFont="1" applyFill="1" applyBorder="1" applyProtection="1"/>
    <xf numFmtId="167" fontId="7" fillId="20" borderId="18" xfId="0" applyNumberFormat="1" applyFont="1" applyFill="1" applyBorder="1" applyProtection="1"/>
    <xf numFmtId="0" fontId="8" fillId="20" borderId="19" xfId="0" applyFont="1" applyFill="1" applyBorder="1" applyProtection="1"/>
    <xf numFmtId="0" fontId="6" fillId="20" borderId="57" xfId="0" applyFont="1" applyFill="1" applyBorder="1" applyAlignment="1" applyProtection="1">
      <alignment horizontal="center"/>
    </xf>
    <xf numFmtId="0" fontId="6" fillId="20" borderId="56" xfId="0" applyFont="1" applyFill="1" applyBorder="1" applyAlignment="1" applyProtection="1"/>
    <xf numFmtId="0" fontId="6" fillId="20" borderId="137" xfId="0" applyFont="1" applyFill="1" applyBorder="1" applyAlignment="1" applyProtection="1">
      <alignment horizontal="right"/>
    </xf>
    <xf numFmtId="0" fontId="6" fillId="20" borderId="138" xfId="0" applyFont="1" applyFill="1" applyBorder="1" applyAlignment="1" applyProtection="1">
      <alignment horizontal="right"/>
    </xf>
    <xf numFmtId="3" fontId="3" fillId="22" borderId="57" xfId="0" applyNumberFormat="1" applyFont="1" applyFill="1" applyBorder="1" applyAlignment="1" applyProtection="1">
      <alignment horizontal="right"/>
    </xf>
    <xf numFmtId="3" fontId="3" fillId="22" borderId="56" xfId="0" applyNumberFormat="1" applyFont="1" applyFill="1" applyBorder="1" applyAlignment="1" applyProtection="1">
      <alignment horizontal="right"/>
    </xf>
    <xf numFmtId="3" fontId="3" fillId="22" borderId="57" xfId="0" applyNumberFormat="1" applyFont="1" applyFill="1" applyBorder="1" applyProtection="1"/>
    <xf numFmtId="3" fontId="3" fillId="22" borderId="56" xfId="0" applyNumberFormat="1" applyFont="1" applyFill="1" applyBorder="1" applyProtection="1"/>
    <xf numFmtId="3" fontId="3" fillId="21" borderId="57" xfId="0" applyNumberFormat="1" applyFont="1" applyFill="1" applyBorder="1" applyProtection="1"/>
    <xf numFmtId="3" fontId="3" fillId="21" borderId="56" xfId="0" applyNumberFormat="1" applyFont="1" applyFill="1" applyBorder="1" applyProtection="1"/>
    <xf numFmtId="3" fontId="46" fillId="22" borderId="57" xfId="0" applyNumberFormat="1" applyFont="1" applyFill="1" applyBorder="1" applyProtection="1"/>
    <xf numFmtId="3" fontId="46" fillId="22" borderId="56" xfId="0" applyNumberFormat="1" applyFont="1" applyFill="1" applyBorder="1" applyProtection="1"/>
    <xf numFmtId="3" fontId="46" fillId="21" borderId="57" xfId="0" applyNumberFormat="1" applyFont="1" applyFill="1" applyBorder="1" applyProtection="1"/>
    <xf numFmtId="3" fontId="46" fillId="21" borderId="56" xfId="0" applyNumberFormat="1" applyFont="1" applyFill="1" applyBorder="1" applyProtection="1"/>
    <xf numFmtId="0" fontId="99" fillId="20" borderId="57" xfId="0" applyFont="1" applyFill="1" applyBorder="1" applyProtection="1"/>
    <xf numFmtId="0" fontId="99" fillId="20" borderId="56" xfId="0" applyFont="1" applyFill="1" applyBorder="1" applyProtection="1"/>
    <xf numFmtId="49" fontId="9" fillId="20" borderId="127" xfId="0" applyNumberFormat="1" applyFont="1" applyFill="1" applyBorder="1" applyAlignment="1" applyProtection="1">
      <alignment horizontal="center"/>
    </xf>
    <xf numFmtId="49" fontId="9" fillId="20" borderId="128" xfId="0" applyNumberFormat="1" applyFont="1" applyFill="1" applyBorder="1" applyAlignment="1" applyProtection="1">
      <alignment horizontal="center"/>
    </xf>
    <xf numFmtId="49" fontId="9" fillId="20" borderId="128" xfId="0" applyNumberFormat="1" applyFont="1" applyFill="1" applyBorder="1" applyAlignment="1" applyProtection="1">
      <alignment horizontal="left"/>
    </xf>
    <xf numFmtId="49" fontId="9" fillId="20" borderId="34" xfId="0" applyNumberFormat="1" applyFont="1" applyFill="1" applyBorder="1" applyAlignment="1" applyProtection="1">
      <alignment horizontal="center"/>
    </xf>
    <xf numFmtId="49" fontId="9" fillId="20" borderId="35" xfId="0" applyNumberFormat="1" applyFont="1" applyFill="1" applyBorder="1" applyAlignment="1" applyProtection="1">
      <alignment horizontal="center"/>
    </xf>
    <xf numFmtId="49" fontId="9" fillId="20" borderId="35" xfId="0" applyNumberFormat="1" applyFont="1" applyFill="1" applyBorder="1" applyAlignment="1" applyProtection="1">
      <alignment horizontal="left"/>
    </xf>
    <xf numFmtId="49" fontId="9" fillId="20" borderId="7" xfId="0" applyNumberFormat="1" applyFont="1" applyFill="1" applyBorder="1" applyAlignment="1" applyProtection="1">
      <alignment horizontal="center"/>
    </xf>
    <xf numFmtId="49" fontId="9" fillId="20" borderId="5" xfId="0" applyNumberFormat="1" applyFont="1" applyFill="1" applyBorder="1" applyAlignment="1" applyProtection="1">
      <alignment horizontal="center"/>
    </xf>
    <xf numFmtId="49" fontId="9" fillId="20" borderId="145" xfId="0" applyNumberFormat="1" applyFont="1" applyFill="1" applyBorder="1" applyAlignment="1" applyProtection="1">
      <alignment horizontal="center"/>
    </xf>
    <xf numFmtId="49" fontId="9" fillId="20" borderId="41" xfId="0" applyNumberFormat="1" applyFont="1" applyFill="1" applyBorder="1" applyAlignment="1" applyProtection="1">
      <alignment horizontal="left"/>
    </xf>
    <xf numFmtId="167" fontId="7" fillId="20" borderId="9" xfId="0" applyNumberFormat="1" applyFont="1" applyFill="1" applyBorder="1" applyProtection="1"/>
    <xf numFmtId="3" fontId="10" fillId="23" borderId="20" xfId="0" applyNumberFormat="1" applyFont="1" applyFill="1" applyBorder="1" applyProtection="1"/>
    <xf numFmtId="3" fontId="3" fillId="20" borderId="18" xfId="0" applyNumberFormat="1" applyFont="1" applyFill="1" applyBorder="1" applyProtection="1"/>
    <xf numFmtId="49" fontId="4" fillId="20" borderId="5" xfId="0" applyNumberFormat="1" applyFont="1" applyFill="1" applyBorder="1" applyAlignment="1" applyProtection="1">
      <alignment horizontal="center"/>
    </xf>
    <xf numFmtId="167" fontId="4" fillId="20" borderId="2" xfId="0" applyNumberFormat="1" applyFont="1" applyFill="1" applyBorder="1" applyAlignment="1" applyProtection="1">
      <alignment horizontal="left"/>
    </xf>
    <xf numFmtId="49" fontId="6" fillId="20" borderId="25" xfId="0" applyNumberFormat="1" applyFont="1" applyFill="1" applyBorder="1" applyAlignment="1" applyProtection="1">
      <alignment horizontal="center"/>
    </xf>
    <xf numFmtId="0" fontId="4" fillId="20" borderId="2" xfId="0" applyFont="1" applyFill="1" applyBorder="1" applyAlignment="1" applyProtection="1">
      <alignment horizontal="center"/>
    </xf>
    <xf numFmtId="49" fontId="6" fillId="20" borderId="5" xfId="0" applyNumberFormat="1" applyFont="1" applyFill="1" applyBorder="1" applyAlignment="1" applyProtection="1">
      <alignment horizontal="center"/>
    </xf>
    <xf numFmtId="0" fontId="6" fillId="20" borderId="5" xfId="0" applyFont="1" applyFill="1" applyBorder="1" applyProtection="1"/>
    <xf numFmtId="3" fontId="9" fillId="20" borderId="141" xfId="0" applyNumberFormat="1" applyFont="1" applyFill="1" applyBorder="1" applyAlignment="1" applyProtection="1">
      <alignment horizontal="center"/>
    </xf>
    <xf numFmtId="3" fontId="6" fillId="20" borderId="146" xfId="0" applyNumberFormat="1" applyFont="1" applyFill="1" applyBorder="1" applyAlignment="1" applyProtection="1">
      <alignment horizontal="center"/>
    </xf>
    <xf numFmtId="3" fontId="6" fillId="20" borderId="146" xfId="0" applyNumberFormat="1" applyFont="1" applyFill="1" applyBorder="1" applyProtection="1"/>
    <xf numFmtId="3" fontId="3" fillId="21" borderId="18" xfId="0" applyNumberFormat="1" applyFont="1" applyFill="1" applyBorder="1" applyProtection="1"/>
    <xf numFmtId="3" fontId="3" fillId="21" borderId="59" xfId="0" applyNumberFormat="1" applyFont="1" applyFill="1" applyBorder="1" applyProtection="1"/>
    <xf numFmtId="3" fontId="3" fillId="21" borderId="19" xfId="0" applyNumberFormat="1" applyFont="1" applyFill="1" applyBorder="1" applyProtection="1"/>
    <xf numFmtId="3" fontId="6" fillId="20" borderId="137" xfId="0" applyNumberFormat="1" applyFont="1" applyFill="1" applyBorder="1" applyProtection="1"/>
    <xf numFmtId="3" fontId="6" fillId="20" borderId="138" xfId="0" applyNumberFormat="1" applyFont="1" applyFill="1" applyBorder="1" applyProtection="1"/>
    <xf numFmtId="3" fontId="3" fillId="20" borderId="57" xfId="0" applyNumberFormat="1" applyFont="1" applyFill="1" applyBorder="1" applyProtection="1"/>
    <xf numFmtId="3" fontId="3" fillId="20" borderId="56" xfId="0" applyNumberFormat="1" applyFont="1" applyFill="1" applyBorder="1" applyProtection="1"/>
    <xf numFmtId="3" fontId="46" fillId="21" borderId="49" xfId="0" applyNumberFormat="1" applyFont="1" applyFill="1" applyBorder="1" applyProtection="1"/>
    <xf numFmtId="3" fontId="46" fillId="20" borderId="57" xfId="0" applyNumberFormat="1" applyFont="1" applyFill="1" applyBorder="1" applyProtection="1"/>
    <xf numFmtId="3" fontId="46" fillId="20" borderId="56" xfId="0" applyNumberFormat="1" applyFont="1" applyFill="1" applyBorder="1" applyProtection="1"/>
    <xf numFmtId="3" fontId="46" fillId="20" borderId="59" xfId="0" applyNumberFormat="1" applyFont="1" applyFill="1" applyBorder="1" applyProtection="1"/>
    <xf numFmtId="3" fontId="46" fillId="20" borderId="126" xfId="0" applyNumberFormat="1" applyFont="1" applyFill="1" applyBorder="1" applyProtection="1"/>
    <xf numFmtId="3" fontId="46" fillId="21" borderId="50" xfId="0" applyNumberFormat="1" applyFont="1" applyFill="1" applyBorder="1" applyProtection="1"/>
    <xf numFmtId="3" fontId="46" fillId="21" borderId="26" xfId="0" applyNumberFormat="1" applyFont="1" applyFill="1" applyBorder="1" applyProtection="1"/>
    <xf numFmtId="3" fontId="3" fillId="21" borderId="84" xfId="0" applyNumberFormat="1" applyFont="1" applyFill="1" applyBorder="1" applyProtection="1"/>
    <xf numFmtId="3" fontId="6" fillId="20" borderId="132" xfId="0" applyNumberFormat="1" applyFont="1" applyFill="1" applyBorder="1" applyAlignment="1" applyProtection="1">
      <alignment horizontal="center" vertical="center" wrapText="1"/>
    </xf>
    <xf numFmtId="9" fontId="46" fillId="20" borderId="135" xfId="0" applyNumberFormat="1" applyFont="1" applyFill="1" applyBorder="1" applyProtection="1"/>
    <xf numFmtId="3" fontId="46" fillId="21" borderId="135" xfId="0" applyNumberFormat="1" applyFont="1" applyFill="1" applyBorder="1" applyProtection="1"/>
    <xf numFmtId="9" fontId="46" fillId="20" borderId="133" xfId="0" applyNumberFormat="1" applyFont="1" applyFill="1" applyBorder="1" applyProtection="1"/>
    <xf numFmtId="9" fontId="46" fillId="20" borderId="147" xfId="0" applyNumberFormat="1" applyFont="1" applyFill="1" applyBorder="1" applyProtection="1"/>
    <xf numFmtId="49" fontId="4" fillId="20" borderId="35" xfId="0" applyNumberFormat="1" applyFont="1" applyFill="1" applyBorder="1" applyAlignment="1" applyProtection="1">
      <alignment horizontal="left"/>
    </xf>
    <xf numFmtId="3" fontId="3" fillId="20" borderId="35" xfId="0" applyNumberFormat="1" applyFont="1" applyFill="1" applyBorder="1" applyProtection="1"/>
    <xf numFmtId="49" fontId="4" fillId="20" borderId="2" xfId="0" applyNumberFormat="1" applyFont="1" applyFill="1" applyBorder="1" applyAlignment="1" applyProtection="1">
      <alignment horizontal="left"/>
    </xf>
    <xf numFmtId="3" fontId="3" fillId="20" borderId="5" xfId="0" applyNumberFormat="1" applyFont="1" applyFill="1" applyBorder="1" applyProtection="1"/>
    <xf numFmtId="49" fontId="6" fillId="20" borderId="25" xfId="0" applyNumberFormat="1" applyFont="1" applyFill="1" applyBorder="1" applyAlignment="1" applyProtection="1">
      <alignment horizontal="left"/>
    </xf>
    <xf numFmtId="0" fontId="9" fillId="20" borderId="25" xfId="0" applyFont="1" applyFill="1" applyBorder="1" applyProtection="1"/>
    <xf numFmtId="3" fontId="3" fillId="20" borderId="25" xfId="0" applyNumberFormat="1" applyFont="1" applyFill="1" applyBorder="1" applyProtection="1"/>
    <xf numFmtId="0" fontId="4" fillId="20" borderId="122" xfId="0" applyFont="1" applyFill="1" applyBorder="1" applyAlignment="1" applyProtection="1">
      <alignment horizontal="left" vertical="top"/>
    </xf>
    <xf numFmtId="0" fontId="4" fillId="20" borderId="15" xfId="0" applyFont="1" applyFill="1" applyBorder="1" applyAlignment="1" applyProtection="1">
      <alignment horizontal="right"/>
    </xf>
    <xf numFmtId="0" fontId="6" fillId="20" borderId="148" xfId="0" applyFont="1" applyFill="1" applyBorder="1" applyAlignment="1" applyProtection="1">
      <alignment horizontal="right"/>
    </xf>
    <xf numFmtId="0" fontId="6" fillId="20" borderId="111" xfId="0" applyFont="1" applyFill="1" applyBorder="1" applyAlignment="1" applyProtection="1">
      <alignment horizontal="left"/>
    </xf>
    <xf numFmtId="0" fontId="6" fillId="20" borderId="85" xfId="0" applyFont="1" applyFill="1" applyBorder="1" applyAlignment="1" applyProtection="1">
      <alignment horizontal="right"/>
    </xf>
    <xf numFmtId="0" fontId="4" fillId="20" borderId="13" xfId="0" applyFont="1" applyFill="1" applyBorder="1" applyAlignment="1" applyProtection="1">
      <alignment horizontal="center"/>
    </xf>
    <xf numFmtId="0" fontId="9" fillId="20" borderId="21" xfId="0" applyFont="1" applyFill="1" applyBorder="1" applyAlignment="1" applyProtection="1">
      <alignment horizontal="center"/>
    </xf>
    <xf numFmtId="0" fontId="9" fillId="20" borderId="9" xfId="0" applyFont="1" applyFill="1" applyBorder="1" applyAlignment="1" applyProtection="1">
      <alignment horizontal="center"/>
    </xf>
    <xf numFmtId="0" fontId="9" fillId="20" borderId="79" xfId="0" applyFont="1" applyFill="1" applyBorder="1" applyAlignment="1" applyProtection="1">
      <alignment horizontal="left"/>
    </xf>
    <xf numFmtId="0" fontId="9" fillId="20" borderId="22" xfId="0" applyFont="1" applyFill="1" applyBorder="1" applyAlignment="1" applyProtection="1">
      <alignment horizontal="center"/>
    </xf>
    <xf numFmtId="0" fontId="9" fillId="20" borderId="24" xfId="0" applyFont="1" applyFill="1" applyBorder="1" applyAlignment="1" applyProtection="1">
      <alignment horizontal="center"/>
    </xf>
    <xf numFmtId="0" fontId="17" fillId="20" borderId="65" xfId="0" applyFont="1" applyFill="1" applyBorder="1" applyAlignment="1" applyProtection="1">
      <alignment horizontal="left"/>
    </xf>
    <xf numFmtId="0" fontId="4" fillId="20" borderId="79" xfId="0" applyFont="1" applyFill="1" applyBorder="1" applyAlignment="1" applyProtection="1">
      <alignment horizontal="left"/>
    </xf>
    <xf numFmtId="0" fontId="6" fillId="20" borderId="149" xfId="0" applyFont="1" applyFill="1" applyBorder="1" applyAlignment="1" applyProtection="1">
      <alignment horizontal="left"/>
    </xf>
    <xf numFmtId="0" fontId="6" fillId="20" borderId="116" xfId="0" applyFont="1" applyFill="1" applyBorder="1" applyAlignment="1" applyProtection="1">
      <alignment horizontal="center"/>
    </xf>
    <xf numFmtId="0" fontId="6" fillId="20" borderId="56" xfId="0" applyFont="1" applyFill="1" applyBorder="1" applyAlignment="1" applyProtection="1">
      <alignment horizontal="center"/>
    </xf>
    <xf numFmtId="0" fontId="4" fillId="20" borderId="2" xfId="0" applyFont="1" applyFill="1" applyBorder="1" applyAlignment="1" applyProtection="1">
      <alignment horizontal="right"/>
    </xf>
    <xf numFmtId="0" fontId="4" fillId="20" borderId="141" xfId="0" applyFont="1" applyFill="1" applyBorder="1" applyAlignment="1" applyProtection="1">
      <alignment horizontal="center"/>
    </xf>
    <xf numFmtId="0" fontId="6" fillId="20" borderId="113" xfId="0" applyFont="1" applyFill="1" applyBorder="1" applyProtection="1"/>
    <xf numFmtId="0" fontId="4" fillId="20" borderId="122" xfId="0" applyFont="1" applyFill="1" applyBorder="1" applyAlignment="1" applyProtection="1">
      <alignment vertical="top"/>
    </xf>
    <xf numFmtId="1" fontId="4" fillId="20" borderId="15" xfId="0" applyNumberFormat="1" applyFont="1" applyFill="1" applyBorder="1" applyAlignment="1" applyProtection="1">
      <alignment horizontal="left"/>
    </xf>
    <xf numFmtId="0" fontId="6" fillId="20" borderId="15" xfId="0" applyFont="1" applyFill="1" applyBorder="1" applyProtection="1"/>
    <xf numFmtId="0" fontId="9" fillId="20" borderId="1" xfId="0" applyFont="1" applyFill="1" applyBorder="1" applyProtection="1"/>
    <xf numFmtId="0" fontId="4" fillId="20" borderId="122" xfId="0" applyFont="1" applyFill="1" applyBorder="1" applyAlignment="1" applyProtection="1">
      <alignment horizontal="center"/>
    </xf>
    <xf numFmtId="0" fontId="4" fillId="20" borderId="152" xfId="0" applyFont="1" applyFill="1" applyBorder="1" applyAlignment="1" applyProtection="1">
      <alignment horizontal="left" vertical="top"/>
    </xf>
    <xf numFmtId="0" fontId="6" fillId="20" borderId="153" xfId="0" applyFont="1" applyFill="1" applyBorder="1" applyAlignment="1" applyProtection="1">
      <alignment horizontal="center"/>
    </xf>
    <xf numFmtId="49" fontId="9" fillId="20" borderId="14" xfId="0" applyNumberFormat="1" applyFont="1" applyFill="1" applyBorder="1" applyAlignment="1" applyProtection="1">
      <alignment horizontal="center"/>
    </xf>
    <xf numFmtId="49" fontId="9" fillId="20" borderId="9" xfId="0" applyNumberFormat="1" applyFont="1" applyFill="1" applyBorder="1" applyAlignment="1" applyProtection="1">
      <alignment horizontal="center"/>
    </xf>
    <xf numFmtId="1" fontId="9" fillId="20" borderId="128" xfId="0" applyNumberFormat="1" applyFont="1" applyFill="1" applyBorder="1" applyAlignment="1" applyProtection="1">
      <alignment horizontal="center"/>
    </xf>
    <xf numFmtId="1" fontId="9" fillId="20" borderId="128" xfId="0" applyNumberFormat="1" applyFont="1" applyFill="1" applyBorder="1" applyAlignment="1" applyProtection="1">
      <alignment horizontal="left"/>
    </xf>
    <xf numFmtId="1" fontId="9" fillId="20" borderId="41" xfId="0" applyNumberFormat="1" applyFont="1" applyFill="1" applyBorder="1" applyAlignment="1" applyProtection="1">
      <alignment horizontal="center"/>
    </xf>
    <xf numFmtId="49" fontId="9" fillId="20" borderId="155" xfId="0" applyNumberFormat="1" applyFont="1" applyFill="1" applyBorder="1" applyAlignment="1" applyProtection="1">
      <alignment horizontal="center"/>
    </xf>
    <xf numFmtId="0" fontId="17" fillId="20" borderId="113" xfId="0" applyFont="1" applyFill="1" applyBorder="1" applyAlignment="1" applyProtection="1">
      <alignment horizontal="left"/>
    </xf>
    <xf numFmtId="0" fontId="17" fillId="20" borderId="15" xfId="0" applyFont="1" applyFill="1" applyBorder="1" applyAlignment="1" applyProtection="1">
      <alignment horizontal="left"/>
    </xf>
    <xf numFmtId="0" fontId="6" fillId="20" borderId="41" xfId="0" applyFont="1" applyFill="1" applyBorder="1" applyAlignment="1" applyProtection="1">
      <alignment horizontal="left"/>
    </xf>
    <xf numFmtId="1" fontId="9" fillId="20" borderId="5" xfId="0" applyNumberFormat="1" applyFont="1" applyFill="1" applyBorder="1" applyAlignment="1" applyProtection="1">
      <alignment horizontal="center"/>
    </xf>
    <xf numFmtId="0" fontId="9" fillId="20" borderId="5" xfId="0" applyFont="1" applyFill="1" applyBorder="1" applyProtection="1"/>
    <xf numFmtId="167" fontId="17" fillId="20" borderId="59" xfId="0" applyNumberFormat="1" applyFont="1" applyFill="1" applyBorder="1" applyAlignment="1" applyProtection="1">
      <alignment horizontal="left"/>
    </xf>
    <xf numFmtId="167" fontId="17" fillId="20" borderId="84" xfId="0" applyNumberFormat="1" applyFont="1" applyFill="1" applyBorder="1" applyAlignment="1" applyProtection="1">
      <alignment horizontal="left"/>
    </xf>
    <xf numFmtId="167" fontId="23" fillId="20" borderId="86" xfId="0" applyNumberFormat="1" applyFont="1" applyFill="1" applyBorder="1" applyAlignment="1" applyProtection="1">
      <alignment horizontal="left"/>
    </xf>
    <xf numFmtId="0" fontId="17" fillId="20" borderId="111" xfId="0" applyFont="1" applyFill="1" applyBorder="1" applyProtection="1"/>
    <xf numFmtId="0" fontId="17" fillId="20" borderId="86" xfId="0" applyFont="1" applyFill="1" applyBorder="1" applyProtection="1"/>
    <xf numFmtId="167" fontId="5" fillId="20" borderId="59" xfId="0" applyNumberFormat="1" applyFont="1" applyFill="1" applyBorder="1" applyAlignment="1" applyProtection="1">
      <alignment horizontal="left"/>
    </xf>
    <xf numFmtId="167" fontId="23" fillId="20" borderId="86" xfId="0" applyNumberFormat="1" applyFont="1" applyFill="1" applyBorder="1" applyProtection="1"/>
    <xf numFmtId="1" fontId="4" fillId="20" borderId="148" xfId="0" applyNumberFormat="1" applyFont="1" applyFill="1" applyBorder="1" applyAlignment="1" applyProtection="1">
      <alignment horizontal="left"/>
    </xf>
    <xf numFmtId="0" fontId="13" fillId="20" borderId="111" xfId="0" applyFont="1" applyFill="1" applyBorder="1" applyAlignment="1" applyProtection="1">
      <alignment horizontal="left"/>
    </xf>
    <xf numFmtId="0" fontId="6" fillId="20" borderId="1" xfId="0" applyFont="1" applyFill="1" applyBorder="1" applyAlignment="1" applyProtection="1">
      <alignment horizontal="left"/>
    </xf>
    <xf numFmtId="167" fontId="6" fillId="20" borderId="86" xfId="0" applyNumberFormat="1" applyFont="1" applyFill="1" applyBorder="1" applyAlignment="1" applyProtection="1">
      <alignment horizontal="left"/>
    </xf>
    <xf numFmtId="1" fontId="17" fillId="20" borderId="25" xfId="0" applyNumberFormat="1" applyFont="1" applyFill="1" applyBorder="1" applyAlignment="1" applyProtection="1">
      <alignment horizontal="center"/>
    </xf>
    <xf numFmtId="1" fontId="4" fillId="20" borderId="80" xfId="0" applyNumberFormat="1" applyFont="1" applyFill="1" applyBorder="1" applyAlignment="1" applyProtection="1">
      <alignment horizontal="center"/>
    </xf>
    <xf numFmtId="0" fontId="4" fillId="20" borderId="94" xfId="0" applyFont="1" applyFill="1" applyBorder="1" applyAlignment="1" applyProtection="1">
      <alignment horizontal="left" vertical="top" wrapText="1"/>
    </xf>
    <xf numFmtId="0" fontId="61" fillId="20" borderId="115" xfId="0" applyFont="1" applyFill="1" applyBorder="1" applyProtection="1"/>
    <xf numFmtId="0" fontId="5" fillId="20" borderId="85" xfId="0" applyFont="1" applyFill="1" applyBorder="1" applyAlignment="1" applyProtection="1"/>
    <xf numFmtId="0" fontId="90" fillId="20" borderId="85" xfId="0" applyFont="1" applyFill="1" applyBorder="1" applyAlignment="1"/>
    <xf numFmtId="1" fontId="4" fillId="20" borderId="94" xfId="0" applyNumberFormat="1" applyFont="1" applyFill="1" applyBorder="1" applyAlignment="1" applyProtection="1">
      <alignment horizontal="left"/>
    </xf>
    <xf numFmtId="0" fontId="4" fillId="20" borderId="113" xfId="0" applyFont="1" applyFill="1" applyBorder="1" applyAlignment="1" applyProtection="1">
      <alignment horizontal="left"/>
    </xf>
    <xf numFmtId="3" fontId="4" fillId="20" borderId="157" xfId="0" applyNumberFormat="1" applyFont="1" applyFill="1" applyBorder="1" applyAlignment="1" applyProtection="1">
      <alignment horizontal="left"/>
    </xf>
    <xf numFmtId="3" fontId="4" fillId="20" borderId="158" xfId="0" applyNumberFormat="1" applyFont="1" applyFill="1" applyBorder="1" applyProtection="1"/>
    <xf numFmtId="1" fontId="4" fillId="20" borderId="122" xfId="0" applyNumberFormat="1" applyFont="1" applyFill="1" applyBorder="1" applyAlignment="1" applyProtection="1">
      <alignment horizontal="left"/>
    </xf>
    <xf numFmtId="3" fontId="4" fillId="20" borderId="15" xfId="0" applyNumberFormat="1" applyFont="1" applyFill="1" applyBorder="1" applyAlignment="1" applyProtection="1">
      <alignment horizontal="left"/>
    </xf>
    <xf numFmtId="0" fontId="4" fillId="20" borderId="0" xfId="0" applyFont="1" applyFill="1" applyBorder="1" applyProtection="1"/>
    <xf numFmtId="3" fontId="4" fillId="20" borderId="15" xfId="0" applyNumberFormat="1" applyFont="1" applyFill="1" applyBorder="1" applyProtection="1"/>
    <xf numFmtId="0" fontId="8" fillId="20" borderId="111" xfId="0" applyFont="1" applyFill="1" applyBorder="1" applyProtection="1"/>
    <xf numFmtId="0" fontId="4" fillId="20" borderId="1" xfId="0" applyFont="1" applyFill="1" applyBorder="1" applyProtection="1"/>
    <xf numFmtId="0" fontId="4" fillId="20" borderId="41" xfId="0" applyFont="1" applyFill="1" applyBorder="1" applyProtection="1"/>
    <xf numFmtId="49" fontId="4" fillId="20" borderId="130" xfId="0" applyNumberFormat="1" applyFont="1" applyFill="1" applyBorder="1" applyAlignment="1" applyProtection="1">
      <alignment horizontal="left"/>
    </xf>
    <xf numFmtId="170" fontId="4" fillId="20" borderId="35" xfId="0" applyNumberFormat="1" applyFont="1" applyFill="1" applyBorder="1" applyAlignment="1" applyProtection="1">
      <alignment horizontal="left"/>
    </xf>
    <xf numFmtId="49" fontId="9" fillId="20" borderId="129" xfId="0" applyNumberFormat="1" applyFont="1" applyFill="1" applyBorder="1" applyAlignment="1" applyProtection="1">
      <alignment horizontal="center"/>
    </xf>
    <xf numFmtId="49" fontId="4" fillId="20" borderId="120" xfId="0" applyNumberFormat="1" applyFont="1" applyFill="1" applyBorder="1" applyAlignment="1" applyProtection="1">
      <alignment horizontal="center"/>
    </xf>
    <xf numFmtId="3" fontId="3" fillId="20" borderId="35" xfId="0" applyNumberFormat="1" applyFont="1" applyFill="1" applyBorder="1" applyAlignment="1" applyProtection="1">
      <alignment horizontal="right"/>
    </xf>
    <xf numFmtId="0" fontId="6" fillId="20" borderId="69" xfId="0" applyFont="1" applyFill="1" applyBorder="1" applyProtection="1"/>
    <xf numFmtId="49" fontId="9" fillId="20" borderId="126" xfId="0" applyNumberFormat="1" applyFont="1" applyFill="1" applyBorder="1" applyAlignment="1" applyProtection="1">
      <alignment horizontal="center"/>
    </xf>
    <xf numFmtId="0" fontId="17" fillId="20" borderId="41" xfId="0" applyFont="1" applyFill="1" applyBorder="1" applyAlignment="1" applyProtection="1">
      <alignment horizontal="left"/>
    </xf>
    <xf numFmtId="0" fontId="6" fillId="20" borderId="2" xfId="0" applyFont="1" applyFill="1" applyBorder="1" applyAlignment="1" applyProtection="1">
      <alignment horizontal="left" wrapText="1"/>
    </xf>
    <xf numFmtId="0" fontId="9" fillId="20" borderId="2" xfId="0" applyFont="1" applyFill="1" applyBorder="1" applyAlignment="1" applyProtection="1">
      <alignment horizontal="left"/>
    </xf>
    <xf numFmtId="49" fontId="9" fillId="20" borderId="139" xfId="0" applyNumberFormat="1" applyFont="1" applyFill="1" applyBorder="1" applyAlignment="1" applyProtection="1">
      <alignment horizontal="center"/>
    </xf>
    <xf numFmtId="0" fontId="9" fillId="20" borderId="13" xfId="0" applyFont="1" applyFill="1" applyBorder="1" applyProtection="1"/>
    <xf numFmtId="49" fontId="9" fillId="20" borderId="96" xfId="0" applyNumberFormat="1" applyFont="1" applyFill="1" applyBorder="1" applyAlignment="1" applyProtection="1">
      <alignment horizontal="center"/>
    </xf>
    <xf numFmtId="1" fontId="4" fillId="20" borderId="23" xfId="0" applyNumberFormat="1" applyFont="1" applyFill="1" applyBorder="1" applyAlignment="1" applyProtection="1">
      <alignment horizontal="left" vertical="top" wrapText="1"/>
    </xf>
    <xf numFmtId="0" fontId="4" fillId="20" borderId="159" xfId="0" applyFont="1" applyFill="1" applyBorder="1" applyAlignment="1" applyProtection="1">
      <alignment vertical="top"/>
    </xf>
    <xf numFmtId="0" fontId="9" fillId="20" borderId="160" xfId="0" applyFont="1" applyFill="1" applyBorder="1" applyProtection="1"/>
    <xf numFmtId="0" fontId="12" fillId="20" borderId="122" xfId="0" applyFont="1" applyFill="1" applyBorder="1" applyProtection="1"/>
    <xf numFmtId="0" fontId="9" fillId="20" borderId="43" xfId="0" applyFont="1" applyFill="1" applyBorder="1" applyProtection="1"/>
    <xf numFmtId="0" fontId="0" fillId="20" borderId="122" xfId="0" applyFill="1" applyBorder="1" applyProtection="1"/>
    <xf numFmtId="0" fontId="13" fillId="24" borderId="111" xfId="0" applyFont="1" applyFill="1" applyBorder="1" applyProtection="1"/>
    <xf numFmtId="49" fontId="12" fillId="24" borderId="57" xfId="0" applyNumberFormat="1" applyFont="1" applyFill="1" applyBorder="1" applyProtection="1"/>
    <xf numFmtId="0" fontId="22" fillId="20" borderId="161" xfId="0" applyFont="1" applyFill="1" applyBorder="1" applyProtection="1"/>
    <xf numFmtId="49" fontId="14" fillId="20" borderId="122" xfId="0" applyNumberFormat="1" applyFont="1" applyFill="1" applyBorder="1" applyAlignment="1" applyProtection="1">
      <alignment horizontal="left"/>
    </xf>
    <xf numFmtId="0" fontId="17" fillId="20" borderId="162" xfId="0" applyFont="1" applyFill="1" applyBorder="1" applyAlignment="1" applyProtection="1">
      <alignment wrapText="1"/>
    </xf>
    <xf numFmtId="0" fontId="9" fillId="20" borderId="3" xfId="0" applyFont="1" applyFill="1" applyBorder="1" applyAlignment="1" applyProtection="1"/>
    <xf numFmtId="0" fontId="9" fillId="20" borderId="6" xfId="0" applyFont="1" applyFill="1" applyBorder="1" applyProtection="1"/>
    <xf numFmtId="0" fontId="17" fillId="20" borderId="112" xfId="0" applyFont="1" applyFill="1" applyBorder="1" applyProtection="1"/>
    <xf numFmtId="0" fontId="9" fillId="20" borderId="3" xfId="0" applyFont="1" applyFill="1" applyBorder="1" applyProtection="1"/>
    <xf numFmtId="0" fontId="17" fillId="20" borderId="92" xfId="0" applyFont="1" applyFill="1" applyBorder="1" applyProtection="1"/>
    <xf numFmtId="0" fontId="17" fillId="20" borderId="43" xfId="0" applyFont="1" applyFill="1" applyBorder="1" applyProtection="1"/>
    <xf numFmtId="0" fontId="9" fillId="20" borderId="71" xfId="0" applyFont="1" applyFill="1" applyBorder="1" applyProtection="1"/>
    <xf numFmtId="0" fontId="17" fillId="20" borderId="162" xfId="0" applyFont="1" applyFill="1" applyBorder="1" applyProtection="1"/>
    <xf numFmtId="0" fontId="6" fillId="20" borderId="162" xfId="0" applyFont="1" applyFill="1" applyBorder="1" applyAlignment="1" applyProtection="1">
      <alignment wrapText="1"/>
    </xf>
    <xf numFmtId="0" fontId="4" fillId="20" borderId="6" xfId="0" applyFont="1" applyFill="1" applyBorder="1" applyProtection="1"/>
    <xf numFmtId="0" fontId="17" fillId="20" borderId="90" xfId="0" applyFont="1" applyFill="1" applyBorder="1" applyProtection="1"/>
    <xf numFmtId="49" fontId="4" fillId="20" borderId="3" xfId="0" applyNumberFormat="1" applyFont="1" applyFill="1" applyBorder="1" applyAlignment="1" applyProtection="1">
      <alignment horizontal="left"/>
    </xf>
    <xf numFmtId="49" fontId="4" fillId="20" borderId="88" xfId="0" applyNumberFormat="1" applyFont="1" applyFill="1" applyBorder="1" applyAlignment="1" applyProtection="1">
      <alignment horizontal="left"/>
    </xf>
    <xf numFmtId="0" fontId="4" fillId="20" borderId="3" xfId="0" applyFont="1" applyFill="1" applyBorder="1" applyAlignment="1" applyProtection="1">
      <alignment wrapText="1"/>
    </xf>
    <xf numFmtId="0" fontId="17" fillId="20" borderId="90" xfId="0" applyFont="1" applyFill="1" applyBorder="1" applyAlignment="1" applyProtection="1"/>
    <xf numFmtId="0" fontId="4" fillId="20" borderId="3" xfId="0" applyFont="1" applyFill="1" applyBorder="1" applyProtection="1"/>
    <xf numFmtId="0" fontId="105" fillId="20" borderId="3" xfId="0" applyFont="1" applyFill="1" applyBorder="1" applyProtection="1"/>
    <xf numFmtId="0" fontId="9" fillId="20" borderId="10" xfId="0" applyFont="1" applyFill="1" applyBorder="1" applyProtection="1"/>
    <xf numFmtId="0" fontId="9" fillId="20" borderId="95" xfId="0" applyFont="1" applyFill="1" applyBorder="1" applyProtection="1"/>
    <xf numFmtId="3" fontId="4" fillId="20" borderId="123" xfId="0" applyNumberFormat="1" applyFont="1" applyFill="1" applyBorder="1" applyAlignment="1" applyProtection="1">
      <alignment horizontal="left" vertical="top" wrapText="1"/>
    </xf>
    <xf numFmtId="3" fontId="4" fillId="20" borderId="15" xfId="0" applyNumberFormat="1" applyFont="1" applyFill="1" applyBorder="1" applyAlignment="1" applyProtection="1">
      <alignment horizontal="left" vertical="top"/>
    </xf>
    <xf numFmtId="3" fontId="4" fillId="20" borderId="67" xfId="0" applyNumberFormat="1" applyFont="1" applyFill="1" applyBorder="1" applyAlignment="1" applyProtection="1">
      <alignment horizontal="left" vertical="top" wrapText="1"/>
    </xf>
    <xf numFmtId="3" fontId="4" fillId="20" borderId="16" xfId="0" applyNumberFormat="1" applyFont="1" applyFill="1" applyBorder="1" applyAlignment="1" applyProtection="1">
      <alignment horizontal="left" vertical="top" wrapText="1"/>
    </xf>
    <xf numFmtId="3" fontId="4" fillId="20" borderId="148" xfId="0" applyNumberFormat="1" applyFont="1" applyFill="1" applyBorder="1" applyProtection="1"/>
    <xf numFmtId="0" fontId="4" fillId="20" borderId="148" xfId="0" applyFont="1" applyFill="1" applyBorder="1" applyAlignment="1" applyProtection="1">
      <alignment horizontal="left" vertical="top" wrapText="1"/>
    </xf>
    <xf numFmtId="0" fontId="4" fillId="20" borderId="148" xfId="0" applyFont="1" applyFill="1" applyBorder="1" applyProtection="1"/>
    <xf numFmtId="3" fontId="9" fillId="20" borderId="16" xfId="0" applyNumberFormat="1" applyFont="1" applyFill="1" applyBorder="1" applyProtection="1"/>
    <xf numFmtId="0" fontId="9" fillId="20" borderId="145" xfId="0" applyFont="1" applyFill="1" applyBorder="1" applyProtection="1"/>
    <xf numFmtId="49" fontId="12" fillId="20" borderId="163" xfId="0" applyNumberFormat="1" applyFont="1" applyFill="1" applyBorder="1" applyProtection="1"/>
    <xf numFmtId="49" fontId="12" fillId="20" borderId="161" xfId="0" applyNumberFormat="1" applyFont="1" applyFill="1" applyBorder="1" applyProtection="1"/>
    <xf numFmtId="49" fontId="12" fillId="20" borderId="131" xfId="0" applyNumberFormat="1" applyFont="1" applyFill="1" applyBorder="1" applyProtection="1"/>
    <xf numFmtId="49" fontId="12" fillId="20" borderId="109" xfId="0" applyNumberFormat="1" applyFont="1" applyFill="1" applyBorder="1" applyProtection="1"/>
    <xf numFmtId="49" fontId="12" fillId="20" borderId="121" xfId="0" applyNumberFormat="1" applyFont="1" applyFill="1" applyBorder="1" applyProtection="1"/>
    <xf numFmtId="49" fontId="12" fillId="20" borderId="164" xfId="0" applyNumberFormat="1" applyFont="1" applyFill="1" applyBorder="1" applyProtection="1"/>
    <xf numFmtId="49" fontId="12" fillId="20" borderId="4" xfId="0" applyNumberFormat="1" applyFont="1" applyFill="1" applyBorder="1" applyProtection="1"/>
    <xf numFmtId="49" fontId="12" fillId="20" borderId="3" xfId="0" applyNumberFormat="1" applyFont="1" applyFill="1" applyBorder="1" applyProtection="1"/>
    <xf numFmtId="49" fontId="12" fillId="20" borderId="2" xfId="0" applyNumberFormat="1" applyFont="1" applyFill="1" applyBorder="1" applyProtection="1"/>
    <xf numFmtId="49" fontId="12" fillId="20" borderId="79" xfId="0" applyNumberFormat="1" applyFont="1" applyFill="1" applyBorder="1" applyProtection="1"/>
    <xf numFmtId="49" fontId="12" fillId="20" borderId="64" xfId="0" applyNumberFormat="1" applyFont="1" applyFill="1" applyBorder="1" applyProtection="1"/>
    <xf numFmtId="49" fontId="12" fillId="20" borderId="52" xfId="0" applyNumberFormat="1" applyFont="1" applyFill="1" applyBorder="1" applyProtection="1"/>
    <xf numFmtId="3" fontId="14" fillId="20" borderId="14" xfId="0" applyNumberFormat="1" applyFont="1" applyFill="1" applyBorder="1" applyAlignment="1" applyProtection="1">
      <alignment horizontal="right"/>
    </xf>
    <xf numFmtId="3" fontId="14" fillId="20" borderId="10" xfId="0" applyNumberFormat="1" applyFont="1" applyFill="1" applyBorder="1" applyAlignment="1" applyProtection="1">
      <alignment horizontal="right"/>
    </xf>
    <xf numFmtId="3" fontId="14" fillId="20" borderId="9" xfId="0" applyNumberFormat="1" applyFont="1" applyFill="1" applyBorder="1" applyAlignment="1" applyProtection="1">
      <alignment horizontal="right"/>
    </xf>
    <xf numFmtId="3" fontId="14" fillId="20" borderId="20" xfId="0" applyNumberFormat="1" applyFont="1" applyFill="1" applyBorder="1" applyAlignment="1" applyProtection="1">
      <alignment horizontal="right"/>
    </xf>
    <xf numFmtId="3" fontId="14" fillId="20" borderId="97" xfId="0" applyNumberFormat="1" applyFont="1" applyFill="1" applyBorder="1" applyAlignment="1" applyProtection="1">
      <alignment horizontal="right"/>
    </xf>
    <xf numFmtId="3" fontId="14" fillId="20" borderId="112" xfId="0" applyNumberFormat="1" applyFont="1" applyFill="1" applyBorder="1" applyAlignment="1" applyProtection="1">
      <alignment horizontal="right"/>
    </xf>
    <xf numFmtId="3" fontId="14" fillId="20" borderId="119" xfId="0" applyNumberFormat="1" applyFont="1" applyFill="1" applyBorder="1" applyAlignment="1" applyProtection="1">
      <alignment horizontal="right"/>
    </xf>
    <xf numFmtId="3" fontId="14" fillId="20" borderId="91" xfId="0" applyNumberFormat="1" applyFont="1" applyFill="1" applyBorder="1" applyAlignment="1" applyProtection="1">
      <alignment horizontal="right"/>
    </xf>
    <xf numFmtId="3" fontId="14" fillId="20" borderId="113" xfId="0" applyNumberFormat="1" applyFont="1" applyFill="1" applyBorder="1" applyAlignment="1" applyProtection="1">
      <alignment horizontal="right"/>
    </xf>
    <xf numFmtId="3" fontId="14" fillId="20" borderId="92" xfId="0" applyNumberFormat="1" applyFont="1" applyFill="1" applyBorder="1" applyAlignment="1" applyProtection="1">
      <alignment horizontal="right"/>
    </xf>
    <xf numFmtId="3" fontId="14" fillId="20" borderId="84" xfId="0" applyNumberFormat="1" applyFont="1" applyFill="1" applyBorder="1" applyAlignment="1" applyProtection="1">
      <alignment horizontal="right"/>
    </xf>
    <xf numFmtId="3" fontId="14" fillId="20" borderId="4" xfId="0" applyNumberFormat="1" applyFont="1" applyFill="1" applyBorder="1" applyAlignment="1" applyProtection="1">
      <alignment horizontal="right"/>
    </xf>
    <xf numFmtId="3" fontId="14" fillId="20" borderId="3" xfId="0" applyNumberFormat="1" applyFont="1" applyFill="1" applyBorder="1" applyAlignment="1" applyProtection="1">
      <alignment horizontal="right"/>
    </xf>
    <xf numFmtId="3" fontId="14" fillId="20" borderId="54" xfId="0" applyNumberFormat="1" applyFont="1" applyFill="1" applyBorder="1" applyAlignment="1" applyProtection="1">
      <alignment horizontal="right"/>
    </xf>
    <xf numFmtId="3" fontId="14" fillId="20" borderId="53" xfId="0" applyNumberFormat="1" applyFont="1" applyFill="1" applyBorder="1" applyAlignment="1" applyProtection="1">
      <alignment horizontal="right"/>
    </xf>
    <xf numFmtId="3" fontId="14" fillId="20" borderId="2" xfId="0" applyNumberFormat="1" applyFont="1" applyFill="1" applyBorder="1" applyAlignment="1" applyProtection="1">
      <alignment horizontal="right"/>
    </xf>
    <xf numFmtId="3" fontId="14" fillId="20" borderId="64" xfId="0" applyNumberFormat="1" applyFont="1" applyFill="1" applyBorder="1" applyAlignment="1" applyProtection="1">
      <alignment horizontal="right"/>
    </xf>
    <xf numFmtId="3" fontId="14" fillId="20" borderId="18" xfId="0" applyNumberFormat="1" applyFont="1" applyFill="1" applyBorder="1" applyAlignment="1" applyProtection="1">
      <alignment horizontal="right"/>
    </xf>
    <xf numFmtId="3" fontId="14" fillId="20" borderId="7" xfId="0" applyNumberFormat="1" applyFont="1" applyFill="1" applyBorder="1" applyAlignment="1" applyProtection="1">
      <alignment horizontal="right"/>
    </xf>
    <xf numFmtId="3" fontId="14" fillId="20" borderId="6" xfId="0" applyNumberFormat="1" applyFont="1" applyFill="1" applyBorder="1" applyAlignment="1" applyProtection="1">
      <alignment horizontal="right"/>
    </xf>
    <xf numFmtId="3" fontId="14" fillId="20" borderId="5" xfId="0" applyNumberFormat="1" applyFont="1" applyFill="1" applyBorder="1" applyAlignment="1" applyProtection="1">
      <alignment horizontal="right"/>
    </xf>
    <xf numFmtId="3" fontId="14" fillId="20" borderId="19" xfId="0" applyNumberFormat="1" applyFont="1" applyFill="1" applyBorder="1" applyAlignment="1" applyProtection="1">
      <alignment horizontal="right"/>
    </xf>
    <xf numFmtId="3" fontId="6" fillId="20" borderId="114" xfId="0" applyNumberFormat="1" applyFont="1" applyFill="1" applyBorder="1" applyAlignment="1" applyProtection="1">
      <alignment horizontal="left" vertical="top" wrapText="1"/>
    </xf>
    <xf numFmtId="3" fontId="6" fillId="20" borderId="154" xfId="0" applyNumberFormat="1" applyFont="1" applyFill="1" applyBorder="1" applyAlignment="1" applyProtection="1">
      <alignment vertical="top" wrapText="1"/>
    </xf>
    <xf numFmtId="3" fontId="9" fillId="20" borderId="122" xfId="0" applyNumberFormat="1" applyFont="1" applyFill="1" applyBorder="1" applyProtection="1"/>
    <xf numFmtId="3" fontId="9" fillId="20" borderId="154" xfId="0" applyNumberFormat="1" applyFont="1" applyFill="1" applyBorder="1" applyProtection="1"/>
    <xf numFmtId="0" fontId="9" fillId="20" borderId="122" xfId="0" applyFont="1" applyFill="1" applyBorder="1" applyProtection="1"/>
    <xf numFmtId="0" fontId="9" fillId="20" borderId="111" xfId="0" applyFont="1" applyFill="1" applyBorder="1" applyProtection="1"/>
    <xf numFmtId="0" fontId="12" fillId="20" borderId="166" xfId="0" applyFont="1" applyFill="1" applyBorder="1" applyProtection="1"/>
    <xf numFmtId="49" fontId="12" fillId="20" borderId="130" xfId="0" applyNumberFormat="1" applyFont="1" applyFill="1" applyBorder="1" applyProtection="1"/>
    <xf numFmtId="49" fontId="12" fillId="20" borderId="167" xfId="0" applyNumberFormat="1" applyFont="1" applyFill="1" applyBorder="1" applyProtection="1"/>
    <xf numFmtId="49" fontId="12" fillId="20" borderId="21" xfId="0" applyNumberFormat="1" applyFont="1" applyFill="1" applyBorder="1" applyProtection="1"/>
    <xf numFmtId="49" fontId="12" fillId="20" borderId="104" xfId="0" applyNumberFormat="1" applyFont="1" applyFill="1" applyBorder="1" applyProtection="1"/>
    <xf numFmtId="3" fontId="14" fillId="20" borderId="23" xfId="0" applyNumberFormat="1" applyFont="1" applyFill="1" applyBorder="1" applyAlignment="1" applyProtection="1">
      <alignment horizontal="right"/>
    </xf>
    <xf numFmtId="3" fontId="14" fillId="20" borderId="94" xfId="0" applyNumberFormat="1" applyFont="1" applyFill="1" applyBorder="1" applyAlignment="1" applyProtection="1">
      <alignment horizontal="right"/>
    </xf>
    <xf numFmtId="3" fontId="14" fillId="20" borderId="21" xfId="0" applyNumberFormat="1" applyFont="1" applyFill="1" applyBorder="1" applyAlignment="1" applyProtection="1">
      <alignment horizontal="right"/>
    </xf>
    <xf numFmtId="3" fontId="14" fillId="20" borderId="22" xfId="0" applyNumberFormat="1" applyFont="1" applyFill="1" applyBorder="1" applyAlignment="1" applyProtection="1">
      <alignment horizontal="right"/>
    </xf>
    <xf numFmtId="3" fontId="4" fillId="20" borderId="125" xfId="0" applyNumberFormat="1" applyFont="1" applyFill="1" applyBorder="1" applyAlignment="1" applyProtection="1">
      <alignment horizontal="left" vertical="top" wrapText="1"/>
    </xf>
    <xf numFmtId="3" fontId="4" fillId="20" borderId="68" xfId="0" applyNumberFormat="1" applyFont="1" applyFill="1" applyBorder="1" applyAlignment="1" applyProtection="1">
      <alignment horizontal="left" vertical="top" wrapText="1"/>
    </xf>
    <xf numFmtId="3" fontId="6" fillId="20" borderId="114" xfId="0" applyNumberFormat="1" applyFont="1" applyFill="1" applyBorder="1" applyAlignment="1" applyProtection="1">
      <alignment horizontal="left" vertical="top"/>
    </xf>
    <xf numFmtId="3" fontId="6" fillId="20" borderId="154" xfId="0" applyNumberFormat="1" applyFont="1" applyFill="1" applyBorder="1" applyAlignment="1" applyProtection="1">
      <alignment horizontal="left" vertical="top" wrapText="1"/>
    </xf>
    <xf numFmtId="0" fontId="9" fillId="20" borderId="154" xfId="0" applyFont="1" applyFill="1" applyBorder="1" applyProtection="1"/>
    <xf numFmtId="0" fontId="9" fillId="20" borderId="166" xfId="0" applyFont="1" applyFill="1" applyBorder="1" applyProtection="1"/>
    <xf numFmtId="49" fontId="12" fillId="20" borderId="168" xfId="0" applyNumberFormat="1" applyFont="1" applyFill="1" applyBorder="1" applyProtection="1"/>
    <xf numFmtId="49" fontId="12" fillId="20" borderId="169" xfId="0" applyNumberFormat="1" applyFont="1" applyFill="1" applyBorder="1" applyProtection="1"/>
    <xf numFmtId="49" fontId="12" fillId="20" borderId="28" xfId="0" applyNumberFormat="1" applyFont="1" applyFill="1" applyBorder="1" applyProtection="1"/>
    <xf numFmtId="49" fontId="12" fillId="20" borderId="99" xfId="0" applyNumberFormat="1" applyFont="1" applyFill="1" applyBorder="1" applyProtection="1"/>
    <xf numFmtId="3" fontId="14" fillId="20" borderId="30" xfId="0" applyNumberFormat="1" applyFont="1" applyFill="1" applyBorder="1" applyAlignment="1" applyProtection="1">
      <alignment horizontal="right"/>
    </xf>
    <xf numFmtId="3" fontId="14" fillId="20" borderId="31" xfId="0" applyNumberFormat="1" applyFont="1" applyFill="1" applyBorder="1" applyAlignment="1" applyProtection="1">
      <alignment horizontal="right"/>
    </xf>
    <xf numFmtId="3" fontId="14" fillId="20" borderId="46" xfId="0" applyNumberFormat="1" applyFont="1" applyFill="1" applyBorder="1" applyAlignment="1" applyProtection="1">
      <alignment horizontal="right"/>
    </xf>
    <xf numFmtId="3" fontId="14" fillId="20" borderId="114" xfId="0" applyNumberFormat="1" applyFont="1" applyFill="1" applyBorder="1" applyAlignment="1" applyProtection="1">
      <alignment horizontal="right"/>
    </xf>
    <xf numFmtId="3" fontId="14" fillId="20" borderId="28" xfId="0" applyNumberFormat="1" applyFont="1" applyFill="1" applyBorder="1" applyAlignment="1" applyProtection="1">
      <alignment horizontal="right"/>
    </xf>
    <xf numFmtId="3" fontId="14" fillId="20" borderId="99" xfId="0" applyNumberFormat="1" applyFont="1" applyFill="1" applyBorder="1" applyAlignment="1" applyProtection="1">
      <alignment horizontal="right"/>
    </xf>
    <xf numFmtId="3" fontId="14" fillId="20" borderId="29" xfId="0" applyNumberFormat="1" applyFont="1" applyFill="1" applyBorder="1" applyAlignment="1" applyProtection="1">
      <alignment horizontal="right"/>
    </xf>
    <xf numFmtId="3" fontId="14" fillId="20" borderId="32" xfId="0" applyNumberFormat="1" applyFont="1" applyFill="1" applyBorder="1" applyAlignment="1" applyProtection="1">
      <alignment horizontal="right"/>
    </xf>
    <xf numFmtId="0" fontId="9" fillId="20" borderId="148" xfId="0" applyFont="1" applyFill="1" applyBorder="1" applyAlignment="1" applyProtection="1">
      <alignment horizontal="left"/>
    </xf>
    <xf numFmtId="0" fontId="4" fillId="20" borderId="148" xfId="0" applyFont="1" applyFill="1" applyBorder="1" applyAlignment="1" applyProtection="1">
      <alignment horizontal="left"/>
    </xf>
    <xf numFmtId="0" fontId="9" fillId="20" borderId="15" xfId="0" applyFont="1" applyFill="1" applyBorder="1" applyAlignment="1" applyProtection="1">
      <alignment horizontal="left"/>
    </xf>
    <xf numFmtId="0" fontId="9" fillId="20" borderId="148" xfId="0" applyFont="1" applyFill="1" applyBorder="1" applyProtection="1"/>
    <xf numFmtId="0" fontId="9" fillId="20" borderId="148" xfId="0" applyFont="1" applyFill="1" applyBorder="1" applyAlignment="1" applyProtection="1">
      <alignment horizontal="center"/>
    </xf>
    <xf numFmtId="0" fontId="25" fillId="20" borderId="148" xfId="0" applyFont="1" applyFill="1" applyBorder="1" applyProtection="1"/>
    <xf numFmtId="0" fontId="36" fillId="20" borderId="148" xfId="0" applyFont="1" applyFill="1" applyBorder="1" applyProtection="1"/>
    <xf numFmtId="3" fontId="19" fillId="20" borderId="148" xfId="0" applyNumberFormat="1" applyFont="1" applyFill="1" applyBorder="1" applyProtection="1"/>
    <xf numFmtId="3" fontId="45" fillId="20" borderId="148" xfId="0" applyNumberFormat="1" applyFont="1" applyFill="1" applyBorder="1" applyProtection="1"/>
    <xf numFmtId="3" fontId="91" fillId="20" borderId="148" xfId="0" applyNumberFormat="1" applyFont="1" applyFill="1" applyBorder="1" applyProtection="1"/>
    <xf numFmtId="3" fontId="43" fillId="20" borderId="152" xfId="0" applyNumberFormat="1" applyFont="1" applyFill="1" applyBorder="1" applyProtection="1"/>
    <xf numFmtId="3" fontId="43" fillId="20" borderId="28" xfId="0" applyNumberFormat="1" applyFont="1" applyFill="1" applyBorder="1" applyAlignment="1" applyProtection="1">
      <alignment horizontal="right"/>
    </xf>
    <xf numFmtId="3" fontId="3" fillId="20" borderId="29" xfId="0" applyNumberFormat="1" applyFont="1" applyFill="1" applyBorder="1" applyAlignment="1" applyProtection="1">
      <alignment horizontal="right"/>
    </xf>
    <xf numFmtId="3" fontId="46" fillId="20" borderId="65" xfId="0" applyNumberFormat="1" applyFont="1" applyFill="1" applyBorder="1" applyProtection="1"/>
    <xf numFmtId="3" fontId="46" fillId="20" borderId="5" xfId="0" applyNumberFormat="1" applyFont="1" applyFill="1" applyBorder="1" applyProtection="1"/>
    <xf numFmtId="3" fontId="46" fillId="20" borderId="4" xfId="0" applyNumberFormat="1" applyFont="1" applyFill="1" applyBorder="1" applyProtection="1"/>
    <xf numFmtId="3" fontId="46" fillId="20" borderId="79" xfId="0" applyNumberFormat="1" applyFont="1" applyFill="1" applyBorder="1" applyProtection="1"/>
    <xf numFmtId="3" fontId="44" fillId="20" borderId="87" xfId="0" applyNumberFormat="1" applyFont="1" applyFill="1" applyBorder="1" applyProtection="1"/>
    <xf numFmtId="3" fontId="45" fillId="20" borderId="149" xfId="0" applyNumberFormat="1" applyFont="1" applyFill="1" applyBorder="1" applyProtection="1"/>
    <xf numFmtId="3" fontId="91" fillId="20" borderId="149" xfId="0" applyNumberFormat="1" applyFont="1" applyFill="1" applyBorder="1" applyProtection="1"/>
    <xf numFmtId="3" fontId="14" fillId="25" borderId="99" xfId="0" applyNumberFormat="1" applyFont="1" applyFill="1" applyBorder="1" applyAlignment="1" applyProtection="1">
      <alignment horizontal="right"/>
    </xf>
    <xf numFmtId="0" fontId="26" fillId="20" borderId="97" xfId="0" applyFont="1" applyFill="1" applyBorder="1" applyProtection="1"/>
    <xf numFmtId="0" fontId="26" fillId="20" borderId="92" xfId="0" applyFont="1" applyFill="1" applyBorder="1" applyProtection="1"/>
    <xf numFmtId="0" fontId="26" fillId="20" borderId="115" xfId="0" applyFont="1" applyFill="1" applyBorder="1" applyProtection="1"/>
    <xf numFmtId="0" fontId="26" fillId="20" borderId="116" xfId="0" applyFont="1" applyFill="1" applyBorder="1" applyProtection="1"/>
    <xf numFmtId="0" fontId="26" fillId="20" borderId="4" xfId="0" applyFont="1" applyFill="1" applyBorder="1" applyProtection="1"/>
    <xf numFmtId="0" fontId="26" fillId="20" borderId="64" xfId="0" applyFont="1" applyFill="1" applyBorder="1" applyProtection="1"/>
    <xf numFmtId="0" fontId="26" fillId="20" borderId="79" xfId="0" applyFont="1" applyFill="1" applyBorder="1" applyProtection="1"/>
    <xf numFmtId="0" fontId="26" fillId="20" borderId="52" xfId="0" applyFont="1" applyFill="1" applyBorder="1" applyProtection="1"/>
    <xf numFmtId="3" fontId="3" fillId="20" borderId="15" xfId="0" applyNumberFormat="1" applyFont="1" applyFill="1" applyBorder="1" applyProtection="1"/>
    <xf numFmtId="3" fontId="46" fillId="20" borderId="2" xfId="0" applyNumberFormat="1" applyFont="1" applyFill="1" applyBorder="1" applyProtection="1"/>
    <xf numFmtId="3" fontId="37" fillId="20" borderId="0" xfId="0" applyNumberFormat="1" applyFont="1" applyFill="1" applyBorder="1" applyAlignment="1" applyProtection="1"/>
    <xf numFmtId="3" fontId="3" fillId="20" borderId="28" xfId="0" applyNumberFormat="1" applyFont="1" applyFill="1" applyBorder="1" applyAlignment="1" applyProtection="1">
      <alignment horizontal="right"/>
    </xf>
    <xf numFmtId="3" fontId="46" fillId="20" borderId="148" xfId="0" applyNumberFormat="1" applyFont="1" applyFill="1" applyBorder="1" applyProtection="1"/>
    <xf numFmtId="3" fontId="3" fillId="21" borderId="28" xfId="0" applyNumberFormat="1" applyFont="1" applyFill="1" applyBorder="1" applyAlignment="1" applyProtection="1">
      <alignment horizontal="right"/>
    </xf>
    <xf numFmtId="3" fontId="45" fillId="20" borderId="4" xfId="0" applyNumberFormat="1" applyFont="1" applyFill="1" applyBorder="1" applyProtection="1"/>
    <xf numFmtId="3" fontId="45" fillId="20" borderId="79" xfId="0" applyNumberFormat="1" applyFont="1" applyFill="1" applyBorder="1" applyProtection="1"/>
    <xf numFmtId="3" fontId="91" fillId="20" borderId="79" xfId="0" applyNumberFormat="1" applyFont="1" applyFill="1" applyBorder="1" applyProtection="1"/>
    <xf numFmtId="3" fontId="49" fillId="20" borderId="2" xfId="0" applyNumberFormat="1" applyFont="1" applyFill="1" applyBorder="1" applyAlignment="1" applyProtection="1">
      <alignment horizontal="right"/>
    </xf>
    <xf numFmtId="3" fontId="3" fillId="20" borderId="44" xfId="0" applyNumberFormat="1" applyFont="1" applyFill="1" applyBorder="1" applyAlignment="1" applyProtection="1">
      <alignment horizontal="right"/>
    </xf>
    <xf numFmtId="3" fontId="46" fillId="20" borderId="87" xfId="0" applyNumberFormat="1" applyFont="1" applyFill="1" applyBorder="1" applyProtection="1"/>
    <xf numFmtId="3" fontId="46" fillId="20" borderId="149" xfId="0" applyNumberFormat="1" applyFont="1" applyFill="1" applyBorder="1" applyProtection="1"/>
    <xf numFmtId="3" fontId="104" fillId="20" borderId="4" xfId="0" applyNumberFormat="1" applyFont="1" applyFill="1" applyBorder="1" applyProtection="1"/>
    <xf numFmtId="3" fontId="104" fillId="20" borderId="79" xfId="0" applyNumberFormat="1" applyFont="1" applyFill="1" applyBorder="1" applyProtection="1"/>
    <xf numFmtId="3" fontId="50" fillId="20" borderId="4" xfId="0" applyNumberFormat="1" applyFont="1" applyFill="1" applyBorder="1" applyProtection="1"/>
    <xf numFmtId="3" fontId="43" fillId="20" borderId="30" xfId="0" applyNumberFormat="1" applyFont="1" applyFill="1" applyBorder="1" applyAlignment="1" applyProtection="1">
      <alignment horizontal="right"/>
    </xf>
    <xf numFmtId="3" fontId="45" fillId="20" borderId="87" xfId="0" applyNumberFormat="1" applyFont="1" applyFill="1" applyBorder="1" applyProtection="1"/>
    <xf numFmtId="3" fontId="43" fillId="20" borderId="101" xfId="0" applyNumberFormat="1" applyFont="1" applyFill="1" applyBorder="1" applyAlignment="1" applyProtection="1">
      <alignment horizontal="right"/>
    </xf>
    <xf numFmtId="3" fontId="45" fillId="20" borderId="173" xfId="0" applyNumberFormat="1" applyFont="1" applyFill="1" applyBorder="1" applyProtection="1"/>
    <xf numFmtId="3" fontId="45" fillId="20" borderId="38" xfId="0" applyNumberFormat="1" applyFont="1" applyFill="1" applyBorder="1" applyProtection="1"/>
    <xf numFmtId="3" fontId="91" fillId="20" borderId="38" xfId="0" applyNumberFormat="1" applyFont="1" applyFill="1" applyBorder="1" applyProtection="1"/>
    <xf numFmtId="3" fontId="4" fillId="20" borderId="30" xfId="0" applyNumberFormat="1" applyFont="1" applyFill="1" applyBorder="1" applyAlignment="1" applyProtection="1">
      <alignment horizontal="center"/>
    </xf>
    <xf numFmtId="3" fontId="4" fillId="20" borderId="48" xfId="0" applyNumberFormat="1" applyFont="1" applyFill="1" applyBorder="1" applyAlignment="1" applyProtection="1"/>
    <xf numFmtId="3" fontId="9" fillId="20" borderId="47" xfId="0" applyNumberFormat="1" applyFont="1" applyFill="1" applyBorder="1" applyAlignment="1" applyProtection="1">
      <alignment horizontal="left" vertical="top" wrapText="1"/>
    </xf>
    <xf numFmtId="3" fontId="9" fillId="20" borderId="159" xfId="0" applyNumberFormat="1" applyFont="1" applyFill="1" applyBorder="1" applyAlignment="1" applyProtection="1">
      <alignment horizontal="left" vertical="top" wrapText="1"/>
    </xf>
    <xf numFmtId="3" fontId="4" fillId="20" borderId="175" xfId="0" applyNumberFormat="1" applyFont="1" applyFill="1" applyBorder="1" applyAlignment="1" applyProtection="1">
      <alignment horizontal="center"/>
    </xf>
    <xf numFmtId="3" fontId="4" fillId="20" borderId="29" xfId="0" applyNumberFormat="1" applyFont="1" applyFill="1" applyBorder="1" applyAlignment="1" applyProtection="1">
      <alignment horizontal="center"/>
    </xf>
    <xf numFmtId="3" fontId="4" fillId="20" borderId="176" xfId="0" applyNumberFormat="1" applyFont="1" applyFill="1" applyBorder="1" applyAlignment="1" applyProtection="1"/>
    <xf numFmtId="3" fontId="9" fillId="20" borderId="177" xfId="0" applyNumberFormat="1" applyFont="1" applyFill="1" applyBorder="1" applyAlignment="1" applyProtection="1"/>
    <xf numFmtId="3" fontId="9" fillId="20" borderId="178" xfId="0" applyNumberFormat="1" applyFont="1" applyFill="1" applyBorder="1" applyAlignment="1" applyProtection="1"/>
    <xf numFmtId="3" fontId="4" fillId="20" borderId="44" xfId="0" applyNumberFormat="1" applyFont="1" applyFill="1" applyBorder="1" applyAlignment="1" applyProtection="1">
      <alignment horizontal="center"/>
    </xf>
    <xf numFmtId="3" fontId="6" fillId="20" borderId="74" xfId="0" applyNumberFormat="1" applyFont="1" applyFill="1" applyBorder="1" applyAlignment="1" applyProtection="1"/>
    <xf numFmtId="3" fontId="9" fillId="20" borderId="75" xfId="0" applyNumberFormat="1" applyFont="1" applyFill="1" applyBorder="1" applyAlignment="1" applyProtection="1"/>
    <xf numFmtId="3" fontId="9" fillId="20" borderId="172" xfId="0" applyNumberFormat="1" applyFont="1" applyFill="1" applyBorder="1" applyAlignment="1" applyProtection="1"/>
    <xf numFmtId="3" fontId="4" fillId="20" borderId="179" xfId="0" applyNumberFormat="1" applyFont="1" applyFill="1" applyBorder="1" applyAlignment="1" applyProtection="1">
      <alignment vertical="center"/>
    </xf>
    <xf numFmtId="3" fontId="9" fillId="20" borderId="179" xfId="0" applyNumberFormat="1" applyFont="1" applyFill="1" applyBorder="1" applyProtection="1"/>
    <xf numFmtId="3" fontId="4" fillId="20" borderId="105" xfId="0" applyNumberFormat="1" applyFont="1" applyFill="1" applyBorder="1" applyAlignment="1" applyProtection="1">
      <alignment vertical="center"/>
    </xf>
    <xf numFmtId="3" fontId="9" fillId="20" borderId="72" xfId="0" applyNumberFormat="1" applyFont="1" applyFill="1" applyBorder="1" applyProtection="1"/>
    <xf numFmtId="3" fontId="9" fillId="20" borderId="88" xfId="0" applyNumberFormat="1" applyFont="1" applyFill="1" applyBorder="1" applyProtection="1"/>
    <xf numFmtId="3" fontId="4" fillId="20" borderId="180" xfId="0" applyNumberFormat="1" applyFont="1" applyFill="1" applyBorder="1" applyAlignment="1" applyProtection="1"/>
    <xf numFmtId="3" fontId="4" fillId="20" borderId="105" xfId="0" applyNumberFormat="1" applyFont="1" applyFill="1" applyBorder="1" applyProtection="1"/>
    <xf numFmtId="3" fontId="9" fillId="20" borderId="105" xfId="0" applyNumberFormat="1" applyFont="1" applyFill="1" applyBorder="1" applyProtection="1"/>
    <xf numFmtId="3" fontId="9" fillId="20" borderId="75" xfId="0" applyNumberFormat="1" applyFont="1" applyFill="1" applyBorder="1" applyProtection="1"/>
    <xf numFmtId="3" fontId="9" fillId="20" borderId="172" xfId="0" applyNumberFormat="1" applyFont="1" applyFill="1" applyBorder="1" applyProtection="1"/>
    <xf numFmtId="0" fontId="4" fillId="20" borderId="59" xfId="0" applyFont="1" applyFill="1" applyBorder="1" applyAlignment="1" applyProtection="1">
      <alignment horizontal="left"/>
    </xf>
    <xf numFmtId="0" fontId="4" fillId="20" borderId="119" xfId="0" applyFont="1" applyFill="1" applyBorder="1" applyProtection="1"/>
    <xf numFmtId="0" fontId="4" fillId="20" borderId="181" xfId="0" applyFont="1" applyFill="1" applyBorder="1" applyAlignment="1" applyProtection="1">
      <alignment vertical="top" wrapText="1"/>
    </xf>
    <xf numFmtId="0" fontId="4" fillId="20" borderId="109" xfId="0" applyFont="1" applyFill="1" applyBorder="1" applyAlignment="1" applyProtection="1">
      <alignment horizontal="left" vertical="top" wrapText="1"/>
    </xf>
    <xf numFmtId="0" fontId="4" fillId="20" borderId="131" xfId="0" applyFont="1" applyFill="1" applyBorder="1" applyAlignment="1" applyProtection="1">
      <alignment horizontal="left" vertical="top" wrapText="1"/>
    </xf>
    <xf numFmtId="0" fontId="4" fillId="20" borderId="181" xfId="0" applyFont="1" applyFill="1" applyBorder="1" applyAlignment="1" applyProtection="1">
      <alignment horizontal="left" vertical="top" wrapText="1"/>
    </xf>
    <xf numFmtId="0" fontId="4" fillId="20" borderId="59" xfId="0" applyFont="1" applyFill="1" applyBorder="1" applyProtection="1"/>
    <xf numFmtId="0" fontId="8" fillId="20" borderId="86" xfId="0" applyFont="1" applyFill="1" applyBorder="1" applyProtection="1"/>
    <xf numFmtId="0" fontId="4" fillId="20" borderId="43" xfId="0" applyFont="1" applyFill="1" applyBorder="1" applyProtection="1"/>
    <xf numFmtId="0" fontId="4" fillId="20" borderId="163" xfId="0" applyFont="1" applyFill="1" applyBorder="1" applyAlignment="1" applyProtection="1">
      <alignment horizontal="left" vertical="top" wrapText="1"/>
    </xf>
    <xf numFmtId="0" fontId="4" fillId="20" borderId="122" xfId="0" applyFont="1" applyFill="1" applyBorder="1" applyProtection="1"/>
    <xf numFmtId="0" fontId="6" fillId="20" borderId="122" xfId="0" applyFont="1" applyFill="1" applyBorder="1" applyProtection="1"/>
    <xf numFmtId="0" fontId="4" fillId="20" borderId="16" xfId="0" applyFont="1" applyFill="1" applyBorder="1" applyProtection="1"/>
    <xf numFmtId="0" fontId="4" fillId="20" borderId="63" xfId="0" applyFont="1" applyFill="1" applyBorder="1" applyProtection="1"/>
    <xf numFmtId="0" fontId="4" fillId="20" borderId="67" xfId="0" applyFont="1" applyFill="1" applyBorder="1" applyProtection="1"/>
    <xf numFmtId="0" fontId="4" fillId="20" borderId="142" xfId="0" applyFont="1" applyFill="1" applyBorder="1" applyProtection="1"/>
    <xf numFmtId="0" fontId="47" fillId="20" borderId="171" xfId="0" applyFont="1" applyFill="1" applyBorder="1" applyProtection="1"/>
    <xf numFmtId="0" fontId="6" fillId="20" borderId="97" xfId="0" applyFont="1" applyFill="1" applyBorder="1" applyProtection="1"/>
    <xf numFmtId="0" fontId="6" fillId="20" borderId="16" xfId="0" applyFont="1" applyFill="1" applyBorder="1" applyProtection="1"/>
    <xf numFmtId="49" fontId="8" fillId="20" borderId="122" xfId="0" applyNumberFormat="1" applyFont="1" applyFill="1" applyBorder="1" applyAlignment="1" applyProtection="1">
      <alignment horizontal="left"/>
    </xf>
    <xf numFmtId="3" fontId="38" fillId="20" borderId="15" xfId="0" applyNumberFormat="1" applyFont="1" applyFill="1" applyBorder="1" applyAlignment="1" applyProtection="1"/>
    <xf numFmtId="3" fontId="38" fillId="20" borderId="55" xfId="0" applyNumberFormat="1" applyFont="1" applyFill="1" applyBorder="1" applyAlignment="1" applyProtection="1"/>
    <xf numFmtId="49" fontId="6" fillId="20" borderId="148" xfId="0" applyNumberFormat="1" applyFont="1" applyFill="1" applyBorder="1" applyAlignment="1" applyProtection="1"/>
    <xf numFmtId="49" fontId="6" fillId="20" borderId="0" xfId="0" applyNumberFormat="1" applyFont="1" applyFill="1" applyBorder="1" applyAlignment="1" applyProtection="1"/>
    <xf numFmtId="49" fontId="6" fillId="20" borderId="118" xfId="0" applyNumberFormat="1" applyFont="1" applyFill="1" applyBorder="1" applyAlignment="1" applyProtection="1"/>
    <xf numFmtId="49" fontId="6" fillId="20" borderId="27" xfId="0" applyNumberFormat="1" applyFont="1" applyFill="1" applyBorder="1" applyAlignment="1" applyProtection="1"/>
    <xf numFmtId="3" fontId="3" fillId="20" borderId="15" xfId="0" applyNumberFormat="1" applyFont="1" applyFill="1" applyBorder="1" applyAlignment="1" applyProtection="1">
      <alignment horizontal="right"/>
    </xf>
    <xf numFmtId="3" fontId="11" fillId="20" borderId="15" xfId="0" applyNumberFormat="1" applyFont="1" applyFill="1" applyBorder="1" applyProtection="1"/>
    <xf numFmtId="3" fontId="11" fillId="20" borderId="55" xfId="0" applyNumberFormat="1" applyFont="1" applyFill="1" applyBorder="1" applyProtection="1"/>
    <xf numFmtId="3" fontId="11" fillId="20" borderId="0" xfId="0" applyNumberFormat="1" applyFont="1" applyFill="1" applyBorder="1" applyProtection="1"/>
    <xf numFmtId="49" fontId="4" fillId="20" borderId="38" xfId="0" applyNumberFormat="1" applyFont="1" applyFill="1" applyBorder="1" applyAlignment="1" applyProtection="1"/>
    <xf numFmtId="49" fontId="6" fillId="20" borderId="11" xfId="0" applyNumberFormat="1" applyFont="1" applyFill="1" applyBorder="1" applyAlignment="1" applyProtection="1"/>
    <xf numFmtId="3" fontId="38" fillId="20" borderId="59" xfId="0" applyNumberFormat="1" applyFont="1" applyFill="1" applyBorder="1" applyAlignment="1" applyProtection="1"/>
    <xf numFmtId="49" fontId="6" fillId="20" borderId="56" xfId="0" applyNumberFormat="1" applyFont="1" applyFill="1" applyBorder="1" applyAlignment="1" applyProtection="1"/>
    <xf numFmtId="3" fontId="38" fillId="20" borderId="0" xfId="0" applyNumberFormat="1" applyFont="1" applyFill="1" applyBorder="1" applyAlignment="1" applyProtection="1"/>
    <xf numFmtId="3" fontId="3" fillId="20" borderId="67" xfId="0" applyNumberFormat="1" applyFont="1" applyFill="1" applyBorder="1" applyAlignment="1" applyProtection="1">
      <alignment horizontal="right"/>
    </xf>
    <xf numFmtId="3" fontId="38" fillId="20" borderId="56" xfId="0" applyNumberFormat="1" applyFont="1" applyFill="1" applyBorder="1" applyAlignment="1" applyProtection="1"/>
    <xf numFmtId="3" fontId="38" fillId="20" borderId="15" xfId="0" applyNumberFormat="1" applyFont="1" applyFill="1" applyBorder="1" applyProtection="1"/>
    <xf numFmtId="49" fontId="6" fillId="20" borderId="15" xfId="0" applyNumberFormat="1" applyFont="1" applyFill="1" applyBorder="1" applyAlignment="1" applyProtection="1"/>
    <xf numFmtId="3" fontId="3" fillId="26" borderId="17" xfId="0" applyNumberFormat="1" applyFont="1" applyFill="1" applyBorder="1" applyAlignment="1" applyProtection="1">
      <alignment horizontal="right"/>
    </xf>
    <xf numFmtId="49" fontId="4" fillId="20" borderId="129" xfId="0" applyNumberFormat="1" applyFont="1" applyFill="1" applyBorder="1" applyAlignment="1" applyProtection="1">
      <alignment horizontal="left"/>
    </xf>
    <xf numFmtId="0" fontId="6" fillId="20" borderId="63" xfId="0" applyFont="1" applyFill="1" applyBorder="1" applyProtection="1"/>
    <xf numFmtId="49" fontId="4" fillId="20" borderId="22" xfId="0" applyNumberFormat="1" applyFont="1" applyFill="1" applyBorder="1" applyAlignment="1" applyProtection="1">
      <alignment horizontal="left"/>
    </xf>
    <xf numFmtId="49" fontId="4" fillId="20" borderId="88" xfId="0" applyNumberFormat="1" applyFont="1" applyFill="1" applyBorder="1" applyProtection="1"/>
    <xf numFmtId="49" fontId="4" fillId="20" borderId="88" xfId="0" applyNumberFormat="1" applyFont="1" applyFill="1" applyBorder="1" applyAlignment="1" applyProtection="1">
      <alignment wrapText="1"/>
    </xf>
    <xf numFmtId="49" fontId="4" fillId="20" borderId="21" xfId="0" applyNumberFormat="1" applyFont="1" applyFill="1" applyBorder="1" applyAlignment="1" applyProtection="1">
      <alignment horizontal="left"/>
    </xf>
    <xf numFmtId="49" fontId="4" fillId="20" borderId="54" xfId="0" applyNumberFormat="1" applyFont="1" applyFill="1" applyBorder="1" applyAlignment="1" applyProtection="1">
      <alignment wrapText="1"/>
    </xf>
    <xf numFmtId="49" fontId="4" fillId="20" borderId="23" xfId="0" applyNumberFormat="1" applyFont="1" applyFill="1" applyBorder="1" applyAlignment="1" applyProtection="1">
      <alignment horizontal="left"/>
    </xf>
    <xf numFmtId="0" fontId="6" fillId="20" borderId="47" xfId="0" applyFont="1" applyFill="1" applyBorder="1" applyProtection="1"/>
    <xf numFmtId="49" fontId="4" fillId="20" borderId="73" xfId="0" applyNumberFormat="1" applyFont="1" applyFill="1" applyBorder="1" applyProtection="1"/>
    <xf numFmtId="49" fontId="4" fillId="20" borderId="64" xfId="0" applyNumberFormat="1" applyFont="1" applyFill="1" applyBorder="1" applyAlignment="1" applyProtection="1">
      <alignment wrapText="1"/>
    </xf>
    <xf numFmtId="0" fontId="6" fillId="20" borderId="159" xfId="0" applyFont="1" applyFill="1" applyBorder="1" applyProtection="1"/>
    <xf numFmtId="49" fontId="4" fillId="20" borderId="54" xfId="0" applyNumberFormat="1" applyFont="1" applyFill="1" applyBorder="1" applyProtection="1"/>
    <xf numFmtId="49" fontId="4" fillId="20" borderId="6" xfId="0" applyNumberFormat="1" applyFont="1" applyFill="1" applyBorder="1" applyAlignment="1" applyProtection="1">
      <alignment wrapText="1"/>
    </xf>
    <xf numFmtId="49" fontId="4" fillId="20" borderId="3" xfId="0" applyNumberFormat="1" applyFont="1" applyFill="1" applyBorder="1" applyAlignment="1" applyProtection="1">
      <alignment wrapText="1"/>
    </xf>
    <xf numFmtId="49" fontId="4" fillId="20" borderId="171" xfId="0" applyNumberFormat="1" applyFont="1" applyFill="1" applyBorder="1" applyAlignment="1" applyProtection="1">
      <alignment wrapText="1"/>
    </xf>
    <xf numFmtId="0" fontId="6" fillId="20" borderId="182" xfId="0" applyFont="1" applyFill="1" applyBorder="1" applyProtection="1"/>
    <xf numFmtId="49" fontId="4" fillId="20" borderId="12" xfId="0" applyNumberFormat="1" applyFont="1" applyFill="1" applyBorder="1" applyProtection="1"/>
    <xf numFmtId="49" fontId="4" fillId="20" borderId="53" xfId="0" applyNumberFormat="1" applyFont="1" applyFill="1" applyBorder="1" applyProtection="1"/>
    <xf numFmtId="49" fontId="4" fillId="20" borderId="53" xfId="0" applyNumberFormat="1" applyFont="1" applyFill="1" applyBorder="1" applyAlignment="1" applyProtection="1">
      <alignment wrapText="1"/>
    </xf>
    <xf numFmtId="49" fontId="4" fillId="20" borderId="6" xfId="11" applyNumberFormat="1" applyFont="1" applyFill="1" applyBorder="1" applyAlignment="1" applyProtection="1"/>
    <xf numFmtId="49" fontId="4" fillId="20" borderId="125" xfId="0" applyNumberFormat="1" applyFont="1" applyFill="1" applyBorder="1" applyAlignment="1" applyProtection="1">
      <alignment horizontal="left"/>
    </xf>
    <xf numFmtId="49" fontId="4" fillId="20" borderId="165" xfId="11" applyNumberFormat="1" applyFont="1" applyFill="1" applyBorder="1" applyAlignment="1" applyProtection="1"/>
    <xf numFmtId="49" fontId="4" fillId="20" borderId="122" xfId="0" applyNumberFormat="1" applyFont="1" applyFill="1" applyBorder="1" applyAlignment="1" applyProtection="1">
      <alignment horizontal="left"/>
    </xf>
    <xf numFmtId="49" fontId="4" fillId="20" borderId="55" xfId="11" applyNumberFormat="1" applyFont="1" applyFill="1" applyBorder="1" applyAlignment="1" applyProtection="1"/>
    <xf numFmtId="49" fontId="4" fillId="20" borderId="162" xfId="11" applyNumberFormat="1" applyFont="1" applyFill="1" applyBorder="1" applyAlignment="1" applyProtection="1"/>
    <xf numFmtId="49" fontId="4" fillId="20" borderId="171" xfId="11" applyNumberFormat="1" applyFont="1" applyFill="1" applyBorder="1" applyAlignment="1" applyProtection="1"/>
    <xf numFmtId="49" fontId="4" fillId="20" borderId="6" xfId="0" applyNumberFormat="1" applyFont="1" applyFill="1" applyBorder="1" applyProtection="1"/>
    <xf numFmtId="49" fontId="4" fillId="20" borderId="88" xfId="11" applyNumberFormat="1" applyFont="1" applyFill="1" applyBorder="1" applyAlignment="1" applyProtection="1"/>
    <xf numFmtId="49" fontId="4" fillId="20" borderId="24" xfId="0" applyNumberFormat="1" applyFont="1" applyFill="1" applyBorder="1" applyAlignment="1" applyProtection="1">
      <alignment horizontal="left"/>
    </xf>
    <xf numFmtId="49" fontId="4" fillId="20" borderId="71" xfId="11" applyNumberFormat="1" applyFont="1" applyFill="1" applyBorder="1" applyAlignment="1" applyProtection="1"/>
    <xf numFmtId="49" fontId="4" fillId="20" borderId="12" xfId="11" applyNumberFormat="1" applyFont="1" applyFill="1" applyBorder="1" applyAlignment="1" applyProtection="1"/>
    <xf numFmtId="0" fontId="4" fillId="20" borderId="0" xfId="0" applyFont="1" applyFill="1" applyBorder="1" applyAlignment="1" applyProtection="1">
      <alignment horizontal="center"/>
    </xf>
    <xf numFmtId="0" fontId="3" fillId="20" borderId="38" xfId="0" applyFont="1" applyFill="1" applyBorder="1" applyProtection="1"/>
    <xf numFmtId="0" fontId="4" fillId="20" borderId="57" xfId="0" applyFont="1" applyFill="1" applyBorder="1" applyProtection="1"/>
    <xf numFmtId="0" fontId="10" fillId="20" borderId="38" xfId="0" applyFont="1" applyFill="1" applyBorder="1" applyProtection="1"/>
    <xf numFmtId="0" fontId="3" fillId="20" borderId="0" xfId="0" applyFont="1" applyFill="1" applyBorder="1" applyProtection="1"/>
    <xf numFmtId="0" fontId="10" fillId="20" borderId="139" xfId="0" applyFont="1" applyFill="1" applyBorder="1" applyProtection="1"/>
    <xf numFmtId="0" fontId="8" fillId="20" borderId="119" xfId="0" applyFont="1" applyFill="1" applyBorder="1" applyProtection="1"/>
    <xf numFmtId="0" fontId="3" fillId="20" borderId="119" xfId="0" applyFont="1" applyFill="1" applyBorder="1" applyProtection="1"/>
    <xf numFmtId="0" fontId="8" fillId="20" borderId="0" xfId="0" applyFont="1" applyFill="1" applyBorder="1" applyProtection="1"/>
    <xf numFmtId="0" fontId="8" fillId="20" borderId="0" xfId="0" applyFont="1" applyFill="1" applyBorder="1" applyAlignment="1" applyProtection="1">
      <alignment horizontal="left" vertical="top" wrapText="1"/>
    </xf>
    <xf numFmtId="0" fontId="3" fillId="20" borderId="0" xfId="0" applyFont="1" applyFill="1" applyBorder="1" applyAlignment="1" applyProtection="1">
      <alignment horizontal="left" vertical="top" wrapText="1"/>
    </xf>
    <xf numFmtId="49" fontId="4" fillId="20" borderId="36" xfId="5" applyNumberFormat="1" applyFont="1" applyFill="1" applyBorder="1" applyAlignment="1" applyProtection="1">
      <alignment horizontal="left"/>
    </xf>
    <xf numFmtId="0" fontId="4" fillId="20" borderId="113" xfId="5" applyFont="1" applyFill="1" applyBorder="1" applyAlignment="1" applyProtection="1"/>
    <xf numFmtId="0" fontId="4" fillId="20" borderId="115" xfId="5" applyFont="1" applyFill="1" applyBorder="1" applyProtection="1"/>
    <xf numFmtId="0" fontId="4" fillId="20" borderId="119" xfId="5" applyFont="1" applyFill="1" applyBorder="1" applyProtection="1"/>
    <xf numFmtId="49" fontId="4" fillId="20" borderId="57" xfId="5" applyNumberFormat="1" applyFont="1" applyFill="1" applyBorder="1" applyAlignment="1" applyProtection="1">
      <alignment horizontal="left" vertical="top"/>
    </xf>
    <xf numFmtId="0" fontId="4" fillId="20" borderId="15" xfId="5" applyFont="1" applyFill="1" applyBorder="1" applyProtection="1"/>
    <xf numFmtId="0" fontId="25" fillId="20" borderId="155" xfId="5" applyFont="1" applyFill="1" applyBorder="1" applyProtection="1"/>
    <xf numFmtId="0" fontId="25" fillId="20" borderId="67" xfId="5" applyFont="1" applyFill="1" applyBorder="1" applyProtection="1"/>
    <xf numFmtId="3" fontId="4" fillId="20" borderId="160" xfId="5" applyNumberFormat="1" applyFont="1" applyFill="1" applyBorder="1" applyAlignment="1" applyProtection="1">
      <alignment wrapText="1"/>
    </xf>
    <xf numFmtId="3" fontId="4" fillId="20" borderId="153" xfId="5" applyNumberFormat="1" applyFont="1" applyFill="1" applyBorder="1" applyProtection="1"/>
    <xf numFmtId="0" fontId="4" fillId="20" borderId="153" xfId="5" applyFont="1" applyFill="1" applyBorder="1" applyProtection="1"/>
    <xf numFmtId="49" fontId="4" fillId="20" borderId="57" xfId="5" applyNumberFormat="1" applyFont="1" applyFill="1" applyBorder="1" applyAlignment="1" applyProtection="1">
      <alignment horizontal="left"/>
    </xf>
    <xf numFmtId="0" fontId="4" fillId="20" borderId="55" xfId="5" applyFont="1" applyFill="1" applyBorder="1" applyProtection="1"/>
    <xf numFmtId="3" fontId="4" fillId="20" borderId="16" xfId="5" applyNumberFormat="1" applyFont="1" applyFill="1" applyBorder="1" applyProtection="1"/>
    <xf numFmtId="49" fontId="8" fillId="20" borderId="57" xfId="5" applyNumberFormat="1" applyFont="1" applyFill="1" applyBorder="1" applyAlignment="1" applyProtection="1">
      <alignment horizontal="left"/>
    </xf>
    <xf numFmtId="0" fontId="4" fillId="20" borderId="162" xfId="5" applyFont="1" applyFill="1" applyBorder="1" applyProtection="1"/>
    <xf numFmtId="0" fontId="4" fillId="20" borderId="153" xfId="5" applyFont="1" applyFill="1" applyBorder="1" applyAlignment="1" applyProtection="1">
      <alignment horizontal="left"/>
    </xf>
    <xf numFmtId="0" fontId="4" fillId="20" borderId="0" xfId="5" applyFont="1" applyFill="1" applyBorder="1" applyProtection="1"/>
    <xf numFmtId="0" fontId="6" fillId="20" borderId="162" xfId="5" applyFont="1" applyFill="1" applyBorder="1" applyProtection="1"/>
    <xf numFmtId="49" fontId="6" fillId="20" borderId="57" xfId="5" applyNumberFormat="1" applyFont="1" applyFill="1" applyBorder="1" applyAlignment="1" applyProtection="1">
      <alignment horizontal="left"/>
    </xf>
    <xf numFmtId="0" fontId="8" fillId="20" borderId="170" xfId="5" applyFont="1" applyFill="1" applyBorder="1" applyProtection="1"/>
    <xf numFmtId="0" fontId="4" fillId="20" borderId="170" xfId="5" applyFont="1" applyFill="1" applyBorder="1" applyProtection="1"/>
    <xf numFmtId="0" fontId="6" fillId="20" borderId="35" xfId="5" applyFont="1" applyFill="1" applyBorder="1" applyAlignment="1" applyProtection="1">
      <alignment horizontal="left"/>
    </xf>
    <xf numFmtId="0" fontId="6" fillId="20" borderId="35" xfId="5" applyFont="1" applyFill="1" applyBorder="1" applyProtection="1"/>
    <xf numFmtId="0" fontId="4" fillId="20" borderId="2" xfId="5" applyFont="1" applyFill="1" applyBorder="1" applyAlignment="1" applyProtection="1">
      <alignment horizontal="left"/>
    </xf>
    <xf numFmtId="0" fontId="4" fillId="20" borderId="2" xfId="5" applyFont="1" applyFill="1" applyBorder="1" applyProtection="1"/>
    <xf numFmtId="0" fontId="4" fillId="20" borderId="5" xfId="5" applyFont="1" applyFill="1" applyBorder="1" applyProtection="1"/>
    <xf numFmtId="1" fontId="6" fillId="20" borderId="49" xfId="5" applyNumberFormat="1" applyFont="1" applyFill="1" applyBorder="1" applyAlignment="1" applyProtection="1">
      <alignment horizontal="left"/>
    </xf>
    <xf numFmtId="0" fontId="6" fillId="20" borderId="5" xfId="5" applyFont="1" applyFill="1" applyBorder="1" applyProtection="1"/>
    <xf numFmtId="1" fontId="4" fillId="20" borderId="50" xfId="5" applyNumberFormat="1" applyFont="1" applyFill="1" applyBorder="1" applyAlignment="1" applyProtection="1">
      <alignment horizontal="left"/>
    </xf>
    <xf numFmtId="0" fontId="6" fillId="20" borderId="2" xfId="5" applyFont="1" applyFill="1" applyBorder="1" applyAlignment="1" applyProtection="1">
      <alignment horizontal="left"/>
    </xf>
    <xf numFmtId="0" fontId="6" fillId="20" borderId="2" xfId="5" applyFont="1" applyFill="1" applyBorder="1" applyAlignment="1" applyProtection="1">
      <alignment wrapText="1"/>
    </xf>
    <xf numFmtId="0" fontId="6" fillId="20" borderId="5" xfId="5" applyFont="1" applyFill="1" applyBorder="1" applyAlignment="1" applyProtection="1">
      <alignment wrapText="1"/>
    </xf>
    <xf numFmtId="1" fontId="4" fillId="20" borderId="50" xfId="5" applyNumberFormat="1" applyFont="1" applyFill="1" applyBorder="1" applyProtection="1"/>
    <xf numFmtId="1" fontId="6" fillId="20" borderId="186" xfId="5" applyNumberFormat="1" applyFont="1" applyFill="1" applyBorder="1" applyAlignment="1" applyProtection="1">
      <alignment horizontal="left"/>
    </xf>
    <xf numFmtId="0" fontId="6" fillId="20" borderId="9" xfId="5" applyFont="1" applyFill="1" applyBorder="1" applyProtection="1"/>
    <xf numFmtId="1" fontId="4" fillId="20" borderId="49" xfId="5" applyNumberFormat="1" applyFont="1" applyFill="1" applyBorder="1" applyAlignment="1" applyProtection="1">
      <alignment horizontal="left"/>
    </xf>
    <xf numFmtId="49" fontId="4" fillId="20" borderId="5" xfId="5" applyNumberFormat="1" applyFont="1" applyFill="1" applyBorder="1" applyAlignment="1" applyProtection="1">
      <alignment horizontal="left"/>
    </xf>
    <xf numFmtId="0" fontId="4" fillId="20" borderId="6" xfId="5" applyFont="1" applyFill="1" applyBorder="1" applyAlignment="1" applyProtection="1">
      <alignment wrapText="1"/>
    </xf>
    <xf numFmtId="3" fontId="3" fillId="20" borderId="5" xfId="5" applyNumberFormat="1" applyFont="1" applyFill="1" applyBorder="1" applyProtection="1"/>
    <xf numFmtId="3" fontId="46" fillId="20" borderId="5" xfId="5" applyNumberFormat="1" applyFont="1" applyFill="1" applyBorder="1" applyAlignment="1" applyProtection="1">
      <alignment horizontal="right"/>
    </xf>
    <xf numFmtId="3" fontId="46" fillId="20" borderId="2" xfId="5" applyNumberFormat="1" applyFont="1" applyFill="1" applyBorder="1" applyAlignment="1" applyProtection="1">
      <alignment horizontal="right"/>
    </xf>
    <xf numFmtId="3" fontId="43" fillId="20" borderId="11" xfId="5" applyNumberFormat="1" applyFont="1" applyFill="1" applyBorder="1" applyAlignment="1" applyProtection="1">
      <alignment horizontal="right"/>
    </xf>
    <xf numFmtId="3" fontId="43" fillId="20" borderId="165" xfId="5" applyNumberFormat="1" applyFont="1" applyFill="1" applyBorder="1" applyAlignment="1" applyProtection="1">
      <alignment horizontal="right"/>
    </xf>
    <xf numFmtId="3" fontId="43" fillId="20" borderId="0" xfId="5" applyNumberFormat="1" applyFont="1" applyFill="1" applyBorder="1" applyAlignment="1" applyProtection="1">
      <alignment horizontal="right"/>
    </xf>
    <xf numFmtId="3" fontId="43" fillId="20" borderId="82" xfId="5" applyNumberFormat="1" applyFont="1" applyFill="1" applyBorder="1" applyAlignment="1" applyProtection="1">
      <alignment horizontal="right"/>
    </xf>
    <xf numFmtId="3" fontId="43" fillId="20" borderId="38" xfId="5" applyNumberFormat="1" applyFont="1" applyFill="1" applyBorder="1" applyAlignment="1" applyProtection="1">
      <alignment horizontal="right"/>
    </xf>
    <xf numFmtId="3" fontId="3" fillId="20" borderId="9" xfId="5" applyNumberFormat="1" applyFont="1" applyFill="1" applyBorder="1" applyProtection="1"/>
    <xf numFmtId="3" fontId="46" fillId="20" borderId="9" xfId="5" applyNumberFormat="1" applyFont="1" applyFill="1" applyBorder="1" applyProtection="1"/>
    <xf numFmtId="3" fontId="3" fillId="20" borderId="2" xfId="5" applyNumberFormat="1" applyFont="1" applyFill="1" applyBorder="1" applyAlignment="1" applyProtection="1">
      <alignment horizontal="right"/>
    </xf>
    <xf numFmtId="3" fontId="3" fillId="20" borderId="5" xfId="5" applyNumberFormat="1" applyFont="1" applyFill="1" applyBorder="1" applyAlignment="1" applyProtection="1">
      <alignment horizontal="right"/>
    </xf>
    <xf numFmtId="3" fontId="3" fillId="20" borderId="9" xfId="5" applyNumberFormat="1" applyFont="1" applyFill="1" applyBorder="1" applyAlignment="1" applyProtection="1">
      <alignment horizontal="right"/>
    </xf>
    <xf numFmtId="0" fontId="3" fillId="20" borderId="0" xfId="5" applyFont="1" applyFill="1" applyProtection="1"/>
    <xf numFmtId="0" fontId="25" fillId="20" borderId="0" xfId="5" applyFill="1" applyProtection="1"/>
    <xf numFmtId="3" fontId="38" fillId="20" borderId="0" xfId="5" applyNumberFormat="1" applyFont="1" applyFill="1" applyBorder="1" applyProtection="1"/>
    <xf numFmtId="0" fontId="25" fillId="20" borderId="0" xfId="5" applyFont="1" applyFill="1" applyProtection="1"/>
    <xf numFmtId="0" fontId="3" fillId="20" borderId="0" xfId="5" applyFont="1" applyFill="1" applyBorder="1" applyProtection="1"/>
    <xf numFmtId="0" fontId="4" fillId="20" borderId="113" xfId="5" applyFont="1" applyFill="1" applyBorder="1" applyProtection="1"/>
    <xf numFmtId="0" fontId="4" fillId="20" borderId="148" xfId="5" applyFont="1" applyFill="1" applyBorder="1" applyProtection="1"/>
    <xf numFmtId="1" fontId="6" fillId="20" borderId="187" xfId="5" applyNumberFormat="1" applyFont="1" applyFill="1" applyBorder="1" applyAlignment="1" applyProtection="1">
      <alignment horizontal="left"/>
    </xf>
    <xf numFmtId="0" fontId="6" fillId="20" borderId="161" xfId="5" applyFont="1" applyFill="1" applyBorder="1" applyProtection="1"/>
    <xf numFmtId="0" fontId="4" fillId="20" borderId="3" xfId="5" applyFont="1" applyFill="1" applyBorder="1" applyProtection="1"/>
    <xf numFmtId="0" fontId="4" fillId="20" borderId="6" xfId="5" applyFont="1" applyFill="1" applyBorder="1" applyProtection="1"/>
    <xf numFmtId="1" fontId="6" fillId="20" borderId="57" xfId="5" applyNumberFormat="1" applyFont="1" applyFill="1" applyBorder="1" applyAlignment="1" applyProtection="1">
      <alignment horizontal="left"/>
    </xf>
    <xf numFmtId="1" fontId="4" fillId="20" borderId="57" xfId="5" applyNumberFormat="1" applyFont="1" applyFill="1" applyBorder="1" applyAlignment="1" applyProtection="1">
      <alignment horizontal="left"/>
    </xf>
    <xf numFmtId="1" fontId="6" fillId="20" borderId="120" xfId="5" applyNumberFormat="1" applyFont="1" applyFill="1" applyBorder="1" applyAlignment="1" applyProtection="1">
      <alignment horizontal="left"/>
    </xf>
    <xf numFmtId="0" fontId="6" fillId="20" borderId="110" xfId="5" applyFont="1" applyFill="1" applyBorder="1" applyProtection="1"/>
    <xf numFmtId="0" fontId="4" fillId="20" borderId="71" xfId="5" applyFont="1" applyFill="1" applyBorder="1" applyProtection="1"/>
    <xf numFmtId="3" fontId="4" fillId="20" borderId="55" xfId="0" applyNumberFormat="1" applyFont="1" applyFill="1" applyBorder="1" applyProtection="1"/>
    <xf numFmtId="49" fontId="8" fillId="20" borderId="57" xfId="0" applyNumberFormat="1" applyFont="1" applyFill="1" applyBorder="1" applyAlignment="1" applyProtection="1">
      <alignment horizontal="left"/>
    </xf>
    <xf numFmtId="49" fontId="13" fillId="20" borderId="57" xfId="0" applyNumberFormat="1" applyFont="1" applyFill="1" applyBorder="1" applyAlignment="1" applyProtection="1">
      <alignment horizontal="left"/>
    </xf>
    <xf numFmtId="1" fontId="6" fillId="20" borderId="129" xfId="0" applyNumberFormat="1" applyFont="1" applyFill="1" applyBorder="1" applyAlignment="1" applyProtection="1">
      <alignment horizontal="left"/>
    </xf>
    <xf numFmtId="1" fontId="4" fillId="20" borderId="22" xfId="0" applyNumberFormat="1" applyFont="1" applyFill="1" applyBorder="1" applyAlignment="1" applyProtection="1">
      <alignment horizontal="left"/>
    </xf>
    <xf numFmtId="1" fontId="6" fillId="20" borderId="22" xfId="0" applyNumberFormat="1" applyFont="1" applyFill="1" applyBorder="1" applyAlignment="1" applyProtection="1">
      <alignment horizontal="left"/>
    </xf>
    <xf numFmtId="1" fontId="6" fillId="20" borderId="125" xfId="0" applyNumberFormat="1" applyFont="1" applyFill="1" applyBorder="1" applyAlignment="1" applyProtection="1">
      <alignment horizontal="left"/>
    </xf>
    <xf numFmtId="3" fontId="4" fillId="20" borderId="184" xfId="0" applyNumberFormat="1" applyFont="1" applyFill="1" applyBorder="1" applyAlignment="1" applyProtection="1">
      <alignment wrapText="1"/>
    </xf>
    <xf numFmtId="3" fontId="4" fillId="20" borderId="43" xfId="0" applyNumberFormat="1" applyFont="1" applyFill="1" applyBorder="1" applyProtection="1"/>
    <xf numFmtId="3" fontId="4" fillId="20" borderId="0" xfId="0" applyNumberFormat="1" applyFont="1" applyFill="1" applyBorder="1" applyProtection="1"/>
    <xf numFmtId="0" fontId="10" fillId="20" borderId="170" xfId="0" applyFont="1" applyFill="1" applyBorder="1" applyAlignment="1" applyProtection="1">
      <alignment horizontal="left" wrapText="1"/>
    </xf>
    <xf numFmtId="0" fontId="10" fillId="20" borderId="170" xfId="0" applyFont="1" applyFill="1" applyBorder="1" applyAlignment="1" applyProtection="1">
      <alignment horizontal="left"/>
    </xf>
    <xf numFmtId="3" fontId="3" fillId="20" borderId="131" xfId="0" applyNumberFormat="1" applyFont="1" applyFill="1" applyBorder="1" applyAlignment="1" applyProtection="1">
      <alignment horizontal="right"/>
    </xf>
    <xf numFmtId="3" fontId="46" fillId="20" borderId="35" xfId="0" quotePrefix="1" applyNumberFormat="1" applyFont="1" applyFill="1" applyBorder="1" applyAlignment="1" applyProtection="1">
      <alignment horizontal="right"/>
    </xf>
    <xf numFmtId="3" fontId="3" fillId="20" borderId="5" xfId="0" applyNumberFormat="1" applyFont="1" applyFill="1" applyBorder="1" applyAlignment="1" applyProtection="1">
      <alignment horizontal="right"/>
    </xf>
    <xf numFmtId="3" fontId="46" fillId="20" borderId="2" xfId="0" applyNumberFormat="1" applyFont="1" applyFill="1" applyBorder="1" applyAlignment="1" applyProtection="1">
      <alignment horizontal="right"/>
    </xf>
    <xf numFmtId="3" fontId="46" fillId="20" borderId="5" xfId="0" applyNumberFormat="1" applyFont="1" applyFill="1" applyBorder="1" applyAlignment="1" applyProtection="1">
      <alignment horizontal="right"/>
    </xf>
    <xf numFmtId="3" fontId="3" fillId="20" borderId="165" xfId="0" applyNumberFormat="1" applyFont="1" applyFill="1" applyBorder="1" applyAlignment="1" applyProtection="1">
      <alignment horizontal="right"/>
    </xf>
    <xf numFmtId="3" fontId="46" fillId="20" borderId="11" xfId="0" applyNumberFormat="1" applyFont="1" applyFill="1" applyBorder="1" applyAlignment="1" applyProtection="1">
      <alignment horizontal="right"/>
    </xf>
    <xf numFmtId="3" fontId="3" fillId="20" borderId="82" xfId="0" applyNumberFormat="1" applyFont="1" applyFill="1" applyBorder="1" applyAlignment="1" applyProtection="1">
      <alignment horizontal="right"/>
    </xf>
    <xf numFmtId="3" fontId="3" fillId="20" borderId="2" xfId="0" applyNumberFormat="1" applyFont="1" applyFill="1" applyBorder="1" applyAlignment="1" applyProtection="1">
      <alignment horizontal="right"/>
    </xf>
    <xf numFmtId="3" fontId="3" fillId="20" borderId="25" xfId="0" applyNumberFormat="1" applyFont="1" applyFill="1" applyBorder="1" applyAlignment="1" applyProtection="1">
      <alignment horizontal="right"/>
    </xf>
    <xf numFmtId="3" fontId="46" fillId="20" borderId="13" xfId="0" quotePrefix="1" applyNumberFormat="1" applyFont="1" applyFill="1" applyBorder="1" applyAlignment="1" applyProtection="1">
      <alignment horizontal="right"/>
    </xf>
    <xf numFmtId="3" fontId="3" fillId="9" borderId="20" xfId="0" applyNumberFormat="1" applyFont="1" applyFill="1" applyBorder="1" applyProtection="1"/>
    <xf numFmtId="3" fontId="3" fillId="9" borderId="19" xfId="0" applyNumberFormat="1" applyFont="1" applyFill="1" applyBorder="1" applyProtection="1"/>
    <xf numFmtId="172" fontId="37" fillId="0" borderId="0" xfId="0" applyNumberFormat="1" applyFont="1" applyFill="1" applyBorder="1" applyAlignment="1" applyProtection="1">
      <alignment horizontal="left" vertical="justify" wrapText="1"/>
    </xf>
    <xf numFmtId="0" fontId="4" fillId="20" borderId="113" xfId="0" applyFont="1" applyFill="1" applyBorder="1" applyAlignment="1" applyProtection="1">
      <alignment horizontal="right"/>
    </xf>
    <xf numFmtId="0" fontId="9" fillId="20" borderId="94" xfId="0" applyFont="1" applyFill="1" applyBorder="1" applyAlignment="1" applyProtection="1">
      <alignment horizontal="center"/>
    </xf>
    <xf numFmtId="0" fontId="9" fillId="20" borderId="122" xfId="0" applyFont="1" applyFill="1" applyBorder="1" applyAlignment="1" applyProtection="1">
      <alignment horizontal="center"/>
    </xf>
    <xf numFmtId="0" fontId="9" fillId="20" borderId="125" xfId="0" applyFont="1" applyFill="1" applyBorder="1" applyAlignment="1" applyProtection="1">
      <alignment horizontal="center"/>
    </xf>
    <xf numFmtId="0" fontId="4" fillId="20" borderId="94" xfId="0" applyFont="1" applyFill="1" applyBorder="1" applyAlignment="1" applyProtection="1">
      <alignment horizontal="center"/>
    </xf>
    <xf numFmtId="0" fontId="9" fillId="0" borderId="119" xfId="0" applyFont="1" applyFill="1" applyBorder="1" applyAlignment="1" applyProtection="1">
      <alignment horizontal="center"/>
    </xf>
    <xf numFmtId="0" fontId="4" fillId="0" borderId="119" xfId="0" applyFont="1" applyFill="1" applyBorder="1" applyAlignment="1" applyProtection="1">
      <alignment horizontal="right"/>
    </xf>
    <xf numFmtId="0" fontId="37" fillId="0" borderId="0" xfId="0" applyFont="1" applyFill="1" applyAlignment="1" applyProtection="1">
      <alignment horizontal="right"/>
    </xf>
    <xf numFmtId="49" fontId="25" fillId="2" borderId="119" xfId="0" applyNumberFormat="1" applyFont="1" applyFill="1" applyBorder="1" applyProtection="1"/>
    <xf numFmtId="0" fontId="25" fillId="2" borderId="119" xfId="0" applyFont="1" applyFill="1" applyBorder="1" applyProtection="1"/>
    <xf numFmtId="0" fontId="9" fillId="2" borderId="119"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xf numFmtId="0" fontId="25" fillId="2" borderId="0" xfId="0" applyFont="1" applyFill="1" applyBorder="1" applyAlignment="1" applyProtection="1">
      <alignment vertical="top"/>
    </xf>
    <xf numFmtId="0" fontId="0" fillId="0" borderId="0" xfId="0" applyBorder="1" applyAlignment="1">
      <alignment vertical="top"/>
    </xf>
    <xf numFmtId="0" fontId="3" fillId="0" borderId="66" xfId="0" applyFont="1" applyFill="1" applyBorder="1" applyAlignment="1" applyProtection="1">
      <alignment vertical="top"/>
    </xf>
    <xf numFmtId="0" fontId="3" fillId="0" borderId="1" xfId="0" applyFont="1" applyFill="1" applyBorder="1" applyAlignment="1" applyProtection="1">
      <alignment vertical="top"/>
    </xf>
    <xf numFmtId="0" fontId="3"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8" fillId="0" borderId="57" xfId="0" applyFont="1" applyFill="1" applyBorder="1" applyProtection="1"/>
    <xf numFmtId="0" fontId="38" fillId="0" borderId="0" xfId="0" applyFont="1" applyFill="1" applyProtection="1"/>
    <xf numFmtId="0" fontId="112" fillId="0" borderId="0" xfId="0" applyFont="1" applyFill="1" applyProtection="1"/>
    <xf numFmtId="0" fontId="6" fillId="20" borderId="41" xfId="0" applyFont="1" applyFill="1" applyBorder="1" applyAlignment="1" applyProtection="1">
      <alignment wrapText="1"/>
    </xf>
    <xf numFmtId="3" fontId="3" fillId="27" borderId="18" xfId="0" applyNumberFormat="1" applyFont="1" applyFill="1" applyBorder="1" applyAlignment="1" applyProtection="1">
      <alignment horizontal="right"/>
    </xf>
    <xf numFmtId="3" fontId="3" fillId="20" borderId="113" xfId="0" applyNumberFormat="1" applyFont="1" applyFill="1" applyBorder="1" applyAlignment="1" applyProtection="1">
      <alignment horizontal="right"/>
    </xf>
    <xf numFmtId="3" fontId="3" fillId="20" borderId="13" xfId="0" applyNumberFormat="1" applyFont="1" applyFill="1" applyBorder="1" applyAlignment="1" applyProtection="1">
      <alignment horizontal="right"/>
    </xf>
    <xf numFmtId="3" fontId="11" fillId="27" borderId="7" xfId="0" applyNumberFormat="1" applyFont="1" applyFill="1" applyBorder="1" applyProtection="1"/>
    <xf numFmtId="3" fontId="11" fillId="27" borderId="5" xfId="0" applyNumberFormat="1" applyFont="1" applyFill="1" applyBorder="1" applyProtection="1"/>
    <xf numFmtId="3" fontId="11" fillId="27" borderId="19" xfId="0" applyNumberFormat="1" applyFont="1" applyFill="1" applyBorder="1" applyProtection="1"/>
    <xf numFmtId="0" fontId="37" fillId="20" borderId="0" xfId="0" applyFont="1" applyFill="1" applyBorder="1" applyAlignment="1" applyProtection="1"/>
    <xf numFmtId="0" fontId="37" fillId="20" borderId="38" xfId="0" applyFont="1" applyFill="1" applyBorder="1" applyAlignment="1" applyProtection="1"/>
    <xf numFmtId="49" fontId="3" fillId="10" borderId="134" xfId="0" applyNumberFormat="1" applyFont="1" applyFill="1" applyBorder="1" applyAlignment="1" applyProtection="1"/>
    <xf numFmtId="0" fontId="37" fillId="20" borderId="57" xfId="0" applyFont="1" applyFill="1" applyBorder="1" applyProtection="1"/>
    <xf numFmtId="0" fontId="116" fillId="7" borderId="0" xfId="0" applyFont="1" applyFill="1" applyProtection="1"/>
    <xf numFmtId="1" fontId="4" fillId="20" borderId="188" xfId="0" applyNumberFormat="1" applyFont="1" applyFill="1" applyBorder="1" applyAlignment="1" applyProtection="1">
      <alignment horizontal="center" wrapText="1"/>
    </xf>
    <xf numFmtId="3" fontId="112" fillId="0" borderId="0" xfId="0" quotePrefix="1" applyNumberFormat="1" applyFont="1" applyFill="1" applyBorder="1" applyAlignment="1" applyProtection="1">
      <alignment horizontal="left"/>
    </xf>
    <xf numFmtId="49" fontId="4" fillId="0" borderId="0" xfId="0" applyNumberFormat="1" applyFont="1" applyFill="1" applyBorder="1" applyAlignment="1" applyProtection="1">
      <alignment horizontal="left"/>
    </xf>
    <xf numFmtId="1" fontId="6" fillId="0" borderId="0" xfId="0" applyNumberFormat="1" applyFont="1" applyFill="1" applyBorder="1" applyAlignment="1" applyProtection="1">
      <alignment horizontal="left"/>
    </xf>
    <xf numFmtId="0" fontId="92" fillId="0" borderId="0" xfId="0" applyFont="1" applyFill="1" applyProtection="1"/>
    <xf numFmtId="0" fontId="112" fillId="2" borderId="0" xfId="0" applyFont="1" applyFill="1" applyProtection="1"/>
    <xf numFmtId="167" fontId="46" fillId="20" borderId="0" xfId="0" applyNumberFormat="1" applyFont="1" applyFill="1" applyBorder="1" applyProtection="1"/>
    <xf numFmtId="3" fontId="46" fillId="21" borderId="0" xfId="0" applyNumberFormat="1" applyFont="1" applyFill="1" applyBorder="1" applyAlignment="1" applyProtection="1">
      <alignment horizontal="right"/>
    </xf>
    <xf numFmtId="3" fontId="46" fillId="22" borderId="0" xfId="0" applyNumberFormat="1" applyFont="1" applyFill="1" applyBorder="1" applyProtection="1"/>
    <xf numFmtId="167" fontId="46" fillId="0" borderId="0" xfId="0" applyNumberFormat="1" applyFont="1" applyFill="1" applyBorder="1" applyProtection="1"/>
    <xf numFmtId="3" fontId="46" fillId="0" borderId="0" xfId="0" applyNumberFormat="1" applyFont="1" applyFill="1" applyBorder="1" applyAlignment="1" applyProtection="1">
      <alignment horizontal="right"/>
    </xf>
    <xf numFmtId="3" fontId="46" fillId="0" borderId="0" xfId="0" applyNumberFormat="1" applyFont="1" applyFill="1" applyBorder="1" applyProtection="1"/>
    <xf numFmtId="3" fontId="46" fillId="21" borderId="117" xfId="0" applyNumberFormat="1" applyFont="1" applyFill="1" applyBorder="1" applyProtection="1"/>
    <xf numFmtId="3" fontId="11" fillId="0" borderId="10" xfId="0" applyNumberFormat="1" applyFont="1" applyFill="1" applyBorder="1" applyAlignment="1" applyProtection="1">
      <alignment horizontal="right"/>
      <protection locked="0"/>
    </xf>
    <xf numFmtId="3" fontId="14" fillId="0" borderId="71" xfId="0" applyNumberFormat="1" applyFont="1" applyFill="1" applyBorder="1" applyAlignment="1" applyProtection="1">
      <alignment horizontal="right"/>
      <protection locked="0"/>
    </xf>
    <xf numFmtId="49" fontId="9" fillId="20" borderId="189" xfId="0" applyNumberFormat="1" applyFont="1" applyFill="1" applyBorder="1" applyAlignment="1" applyProtection="1">
      <alignment horizontal="center"/>
    </xf>
    <xf numFmtId="1" fontId="9" fillId="20" borderId="190" xfId="0" applyNumberFormat="1" applyFont="1" applyFill="1" applyBorder="1" applyAlignment="1" applyProtection="1">
      <alignment horizontal="center"/>
    </xf>
    <xf numFmtId="1" fontId="9" fillId="20" borderId="190" xfId="0" applyNumberFormat="1" applyFont="1" applyFill="1" applyBorder="1" applyAlignment="1" applyProtection="1">
      <alignment horizontal="left"/>
    </xf>
    <xf numFmtId="3" fontId="14" fillId="2" borderId="191" xfId="0" applyNumberFormat="1" applyFont="1" applyFill="1" applyBorder="1" applyAlignment="1" applyProtection="1">
      <alignment horizontal="right"/>
      <protection locked="0"/>
    </xf>
    <xf numFmtId="0" fontId="25" fillId="20" borderId="152" xfId="0" applyFont="1" applyFill="1" applyBorder="1" applyAlignment="1" applyProtection="1">
      <alignment horizontal="left" wrapText="1"/>
    </xf>
    <xf numFmtId="0" fontId="4" fillId="20" borderId="151" xfId="0" applyFont="1" applyFill="1" applyBorder="1" applyAlignment="1" applyProtection="1">
      <alignment vertical="top" wrapText="1"/>
    </xf>
    <xf numFmtId="0" fontId="4" fillId="20" borderId="131" xfId="0" applyFont="1" applyFill="1" applyBorder="1" applyAlignment="1" applyProtection="1">
      <alignment horizontal="left" vertical="top" wrapText="1"/>
    </xf>
    <xf numFmtId="49" fontId="4" fillId="20" borderId="128" xfId="0" applyNumberFormat="1" applyFont="1" applyFill="1" applyBorder="1" applyAlignment="1" applyProtection="1">
      <alignment horizontal="left"/>
    </xf>
    <xf numFmtId="0" fontId="9" fillId="0" borderId="0" xfId="0" applyFont="1" applyFill="1" applyBorder="1" applyAlignment="1" applyProtection="1">
      <alignment horizontal="center"/>
    </xf>
    <xf numFmtId="3" fontId="3" fillId="3" borderId="39" xfId="0" applyNumberFormat="1" applyFont="1" applyFill="1" applyBorder="1" applyProtection="1"/>
    <xf numFmtId="3" fontId="4" fillId="20" borderId="155" xfId="0" applyNumberFormat="1" applyFont="1" applyFill="1" applyBorder="1" applyAlignment="1" applyProtection="1">
      <alignment horizontal="left" vertical="top" wrapText="1"/>
    </xf>
    <xf numFmtId="0" fontId="4" fillId="20" borderId="55" xfId="0" applyFont="1" applyFill="1" applyBorder="1" applyAlignment="1" applyProtection="1">
      <alignment vertical="top" wrapText="1"/>
    </xf>
    <xf numFmtId="0" fontId="4" fillId="20" borderId="61" xfId="0" applyFont="1" applyFill="1" applyBorder="1" applyProtection="1"/>
    <xf numFmtId="3" fontId="4" fillId="20" borderId="152" xfId="0" applyNumberFormat="1" applyFont="1" applyFill="1" applyBorder="1" applyAlignment="1" applyProtection="1">
      <alignment vertical="top" wrapText="1"/>
    </xf>
    <xf numFmtId="3" fontId="4" fillId="20" borderId="16" xfId="0" applyNumberFormat="1" applyFont="1" applyFill="1" applyBorder="1" applyAlignment="1" applyProtection="1">
      <alignment vertical="top" wrapText="1"/>
    </xf>
    <xf numFmtId="0" fontId="4" fillId="20" borderId="94" xfId="0" applyFont="1" applyFill="1" applyBorder="1" applyAlignment="1" applyProtection="1">
      <alignment vertical="top"/>
    </xf>
    <xf numFmtId="0" fontId="4" fillId="20" borderId="119" xfId="0" applyFont="1" applyFill="1" applyBorder="1" applyAlignment="1" applyProtection="1">
      <alignment vertical="top"/>
    </xf>
    <xf numFmtId="0" fontId="4" fillId="20" borderId="98" xfId="0" applyFont="1" applyFill="1" applyBorder="1" applyAlignment="1" applyProtection="1">
      <alignment vertical="top"/>
    </xf>
    <xf numFmtId="0" fontId="4" fillId="20" borderId="92" xfId="0" applyFont="1" applyFill="1" applyBorder="1" applyAlignment="1" applyProtection="1">
      <alignment vertical="top"/>
    </xf>
    <xf numFmtId="0" fontId="6" fillId="20" borderId="158" xfId="0" applyFont="1" applyFill="1" applyBorder="1" applyAlignment="1" applyProtection="1">
      <alignment vertical="top"/>
    </xf>
    <xf numFmtId="0" fontId="4" fillId="20" borderId="158" xfId="0" applyFont="1" applyFill="1" applyBorder="1" applyAlignment="1" applyProtection="1">
      <alignment vertical="top"/>
    </xf>
    <xf numFmtId="0" fontId="4" fillId="20" borderId="192" xfId="0" applyFont="1" applyFill="1" applyBorder="1" applyAlignment="1" applyProtection="1">
      <alignment vertical="top"/>
    </xf>
    <xf numFmtId="0" fontId="8" fillId="0" borderId="0" xfId="0" applyFont="1" applyFill="1" applyBorder="1" applyAlignment="1" applyProtection="1">
      <alignment vertical="top"/>
    </xf>
    <xf numFmtId="0" fontId="6" fillId="20" borderId="184" xfId="0" applyFont="1" applyFill="1" applyBorder="1" applyAlignment="1" applyProtection="1">
      <alignment vertical="center"/>
    </xf>
    <xf numFmtId="0" fontId="6" fillId="20" borderId="193" xfId="0" applyFont="1" applyFill="1" applyBorder="1" applyAlignment="1" applyProtection="1">
      <alignment vertical="center"/>
    </xf>
    <xf numFmtId="1" fontId="9" fillId="20" borderId="125" xfId="0" applyNumberFormat="1" applyFont="1" applyFill="1" applyBorder="1" applyAlignment="1" applyProtection="1">
      <alignment horizontal="left"/>
    </xf>
    <xf numFmtId="1" fontId="9" fillId="20" borderId="90" xfId="0" applyNumberFormat="1" applyFont="1" applyFill="1" applyBorder="1" applyAlignment="1" applyProtection="1">
      <alignment horizontal="left"/>
    </xf>
    <xf numFmtId="3" fontId="9" fillId="20" borderId="7" xfId="0" applyNumberFormat="1" applyFont="1" applyFill="1" applyBorder="1" applyProtection="1"/>
    <xf numFmtId="0" fontId="4" fillId="20" borderId="97" xfId="5" applyFont="1" applyFill="1" applyBorder="1" applyAlignment="1" applyProtection="1">
      <alignment horizontal="left" wrapText="1"/>
    </xf>
    <xf numFmtId="0" fontId="4" fillId="20" borderId="55" xfId="5" applyFont="1" applyFill="1" applyBorder="1" applyAlignment="1" applyProtection="1">
      <alignment horizontal="right"/>
    </xf>
    <xf numFmtId="3" fontId="3" fillId="0" borderId="0" xfId="0" applyNumberFormat="1" applyFont="1" applyFill="1" applyBorder="1" applyProtection="1"/>
    <xf numFmtId="3" fontId="14" fillId="2" borderId="178" xfId="0" applyNumberFormat="1" applyFont="1" applyFill="1" applyBorder="1" applyAlignment="1" applyProtection="1">
      <alignment horizontal="right"/>
      <protection locked="0"/>
    </xf>
    <xf numFmtId="0" fontId="4" fillId="20" borderId="84" xfId="0" applyFont="1" applyFill="1" applyBorder="1" applyAlignment="1" applyProtection="1">
      <alignment vertical="top" wrapText="1"/>
    </xf>
    <xf numFmtId="0" fontId="4" fillId="20" borderId="113" xfId="0" applyFont="1" applyFill="1" applyBorder="1" applyAlignment="1" applyProtection="1">
      <alignment vertical="top" wrapText="1"/>
    </xf>
    <xf numFmtId="3" fontId="4" fillId="20" borderId="43" xfId="5" applyNumberFormat="1" applyFont="1" applyFill="1" applyBorder="1" applyAlignment="1" applyProtection="1">
      <alignment vertical="center"/>
    </xf>
    <xf numFmtId="3" fontId="6" fillId="20" borderId="153" xfId="5" applyNumberFormat="1" applyFont="1" applyFill="1" applyBorder="1" applyAlignment="1" applyProtection="1">
      <alignment vertical="top"/>
    </xf>
    <xf numFmtId="3" fontId="107" fillId="20" borderId="15" xfId="0" applyNumberFormat="1" applyFont="1" applyFill="1" applyBorder="1" applyAlignment="1" applyProtection="1">
      <alignment vertical="center"/>
    </xf>
    <xf numFmtId="0" fontId="6" fillId="20" borderId="119" xfId="0" applyFont="1" applyFill="1" applyBorder="1" applyProtection="1"/>
    <xf numFmtId="49" fontId="6" fillId="20" borderId="94" xfId="0" applyNumberFormat="1" applyFont="1" applyFill="1" applyBorder="1" applyAlignment="1" applyProtection="1">
      <alignment horizontal="left"/>
    </xf>
    <xf numFmtId="49" fontId="6" fillId="20" borderId="122" xfId="0" applyNumberFormat="1" applyFont="1" applyFill="1" applyBorder="1" applyAlignment="1" applyProtection="1">
      <alignment horizontal="left" vertical="top"/>
    </xf>
    <xf numFmtId="49" fontId="3" fillId="10" borderId="152" xfId="0" applyNumberFormat="1" applyFont="1" applyFill="1" applyBorder="1" applyAlignment="1" applyProtection="1"/>
    <xf numFmtId="3" fontId="47" fillId="17" borderId="38" xfId="0" applyNumberFormat="1" applyFont="1" applyFill="1" applyBorder="1" applyAlignment="1" applyProtection="1">
      <alignment horizontal="right"/>
    </xf>
    <xf numFmtId="0" fontId="0" fillId="0" borderId="0" xfId="0" applyFill="1" applyAlignment="1" applyProtection="1">
      <alignment vertical="top"/>
    </xf>
    <xf numFmtId="0" fontId="112" fillId="0" borderId="0" xfId="0" applyFont="1" applyFill="1" applyBorder="1" applyAlignment="1" applyProtection="1">
      <alignment horizontal="right"/>
    </xf>
    <xf numFmtId="0" fontId="95" fillId="0" borderId="0" xfId="0" applyFont="1" applyFill="1" applyProtection="1"/>
    <xf numFmtId="0" fontId="6" fillId="0" borderId="0" xfId="0" applyFont="1" applyFill="1" applyBorder="1" applyAlignment="1" applyProtection="1">
      <alignment horizontal="center"/>
    </xf>
    <xf numFmtId="0" fontId="112" fillId="0" borderId="0" xfId="0" applyFont="1" applyFill="1" applyBorder="1" applyAlignment="1" applyProtection="1">
      <alignment horizontal="left"/>
    </xf>
    <xf numFmtId="9" fontId="112" fillId="0" borderId="0" xfId="0" applyNumberFormat="1" applyFont="1" applyFill="1" applyBorder="1" applyAlignment="1" applyProtection="1">
      <alignment horizontal="right"/>
    </xf>
    <xf numFmtId="0" fontId="4"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right"/>
    </xf>
    <xf numFmtId="0" fontId="99" fillId="0" borderId="0" xfId="0" applyFont="1" applyFill="1" applyBorder="1" applyProtection="1"/>
    <xf numFmtId="0" fontId="8" fillId="0" borderId="0" xfId="0" applyFont="1" applyFill="1" applyBorder="1" applyAlignment="1" applyProtection="1"/>
    <xf numFmtId="3" fontId="6" fillId="0" borderId="0" xfId="0" applyNumberFormat="1" applyFont="1" applyFill="1" applyBorder="1" applyProtection="1"/>
    <xf numFmtId="3" fontId="6" fillId="0" borderId="0" xfId="0" applyNumberFormat="1" applyFont="1" applyFill="1" applyBorder="1" applyAlignment="1" applyProtection="1">
      <alignment horizontal="center" vertical="center" wrapText="1"/>
    </xf>
    <xf numFmtId="49" fontId="4" fillId="20" borderId="9" xfId="0" applyNumberFormat="1" applyFont="1" applyFill="1" applyBorder="1" applyAlignment="1" applyProtection="1">
      <alignment horizontal="left"/>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9" fillId="0" borderId="0" xfId="0" applyNumberFormat="1" applyFont="1" applyFill="1" applyBorder="1" applyAlignment="1" applyProtection="1">
      <alignment horizontal="left"/>
    </xf>
    <xf numFmtId="3" fontId="4" fillId="20" borderId="72" xfId="0" applyNumberFormat="1" applyFont="1" applyFill="1" applyBorder="1" applyAlignment="1" applyProtection="1"/>
    <xf numFmtId="3" fontId="9" fillId="20" borderId="73" xfId="0" applyNumberFormat="1" applyFont="1" applyFill="1" applyBorder="1" applyAlignment="1" applyProtection="1"/>
    <xf numFmtId="3" fontId="9" fillId="20" borderId="88" xfId="0" applyNumberFormat="1" applyFont="1" applyFill="1" applyBorder="1" applyAlignment="1" applyProtection="1"/>
    <xf numFmtId="3" fontId="3" fillId="0" borderId="194" xfId="0" applyNumberFormat="1" applyFont="1" applyFill="1" applyBorder="1" applyAlignment="1" applyProtection="1">
      <alignment horizontal="right"/>
      <protection locked="0"/>
    </xf>
    <xf numFmtId="49" fontId="4" fillId="0" borderId="0" xfId="9" applyNumberFormat="1" applyFont="1" applyFill="1" applyAlignment="1" applyProtection="1">
      <alignment horizontal="left"/>
    </xf>
    <xf numFmtId="1" fontId="4" fillId="20" borderId="25" xfId="0" applyNumberFormat="1" applyFont="1" applyFill="1" applyBorder="1" applyAlignment="1" applyProtection="1">
      <alignment horizontal="left"/>
    </xf>
    <xf numFmtId="0" fontId="4" fillId="20" borderId="69" xfId="0" applyFont="1" applyFill="1" applyBorder="1" applyProtection="1"/>
    <xf numFmtId="0" fontId="6" fillId="20" borderId="13" xfId="0" applyFont="1" applyFill="1" applyBorder="1" applyAlignment="1" applyProtection="1">
      <alignment vertical="top" wrapText="1"/>
    </xf>
    <xf numFmtId="0" fontId="17" fillId="20" borderId="25" xfId="0" applyFont="1" applyFill="1" applyBorder="1" applyProtection="1"/>
    <xf numFmtId="0" fontId="6" fillId="20" borderId="80" xfId="0" applyFont="1" applyFill="1" applyBorder="1" applyAlignment="1" applyProtection="1">
      <alignment wrapText="1"/>
    </xf>
    <xf numFmtId="1" fontId="4" fillId="20" borderId="13" xfId="0" applyNumberFormat="1" applyFont="1" applyFill="1" applyBorder="1" applyAlignment="1" applyProtection="1">
      <alignment horizontal="center"/>
    </xf>
    <xf numFmtId="0" fontId="4" fillId="20" borderId="13" xfId="0" applyFont="1" applyFill="1" applyBorder="1" applyProtection="1"/>
    <xf numFmtId="1" fontId="9"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wrapText="1"/>
    </xf>
    <xf numFmtId="0" fontId="4" fillId="0" borderId="57" xfId="0" applyFont="1" applyFill="1" applyBorder="1" applyAlignment="1" applyProtection="1">
      <alignment horizontal="center"/>
    </xf>
    <xf numFmtId="0" fontId="4" fillId="0" borderId="57" xfId="0" applyFont="1" applyFill="1" applyBorder="1" applyAlignment="1" applyProtection="1">
      <alignment horizontal="left"/>
    </xf>
    <xf numFmtId="0" fontId="17" fillId="0" borderId="57" xfId="0" applyFont="1" applyFill="1" applyBorder="1" applyProtection="1"/>
    <xf numFmtId="0" fontId="117" fillId="2" borderId="0" xfId="0" applyFont="1" applyFill="1" applyBorder="1" applyProtection="1"/>
    <xf numFmtId="0" fontId="117" fillId="28" borderId="0" xfId="0" applyFont="1" applyFill="1" applyProtection="1"/>
    <xf numFmtId="0" fontId="6" fillId="20" borderId="184" xfId="5" applyFont="1" applyFill="1" applyBorder="1" applyProtection="1"/>
    <xf numFmtId="3" fontId="6" fillId="20" borderId="151" xfId="5" applyNumberFormat="1" applyFont="1" applyFill="1" applyBorder="1" applyProtection="1"/>
    <xf numFmtId="0" fontId="6" fillId="20" borderId="112" xfId="5" applyFont="1" applyFill="1" applyBorder="1" applyProtection="1"/>
    <xf numFmtId="0" fontId="13" fillId="20" borderId="153" xfId="5" applyFont="1" applyFill="1" applyBorder="1" applyProtection="1"/>
    <xf numFmtId="0" fontId="4" fillId="20" borderId="16" xfId="5" applyFont="1" applyFill="1" applyBorder="1" applyAlignment="1" applyProtection="1">
      <alignment vertical="top" wrapText="1"/>
    </xf>
    <xf numFmtId="3" fontId="6" fillId="20" borderId="153" xfId="0" applyNumberFormat="1" applyFont="1" applyFill="1" applyBorder="1" applyAlignment="1" applyProtection="1">
      <alignment vertical="top"/>
    </xf>
    <xf numFmtId="3" fontId="4" fillId="20" borderId="90" xfId="5" applyNumberFormat="1" applyFont="1" applyFill="1" applyBorder="1" applyAlignment="1" applyProtection="1"/>
    <xf numFmtId="168" fontId="10" fillId="0" borderId="0" xfId="0" applyNumberFormat="1" applyFont="1" applyFill="1" applyBorder="1" applyProtection="1"/>
    <xf numFmtId="0" fontId="101" fillId="0" borderId="0" xfId="0" applyFont="1" applyFill="1" applyBorder="1" applyProtection="1"/>
    <xf numFmtId="0" fontId="101" fillId="0" borderId="0" xfId="0" applyFont="1" applyFill="1" applyBorder="1" applyAlignment="1" applyProtection="1">
      <alignment horizontal="center"/>
    </xf>
    <xf numFmtId="0" fontId="4" fillId="20" borderId="149" xfId="0" applyFont="1" applyFill="1" applyBorder="1" applyAlignment="1" applyProtection="1">
      <alignment horizontal="left" vertical="top" wrapText="1"/>
    </xf>
    <xf numFmtId="0" fontId="4" fillId="20" borderId="87" xfId="0" applyFont="1" applyFill="1" applyBorder="1" applyAlignment="1" applyProtection="1">
      <alignment horizontal="left" vertical="top"/>
    </xf>
    <xf numFmtId="3" fontId="4" fillId="20" borderId="26" xfId="0" applyNumberFormat="1" applyFont="1" applyFill="1" applyBorder="1" applyAlignment="1" applyProtection="1">
      <alignment vertical="top" wrapText="1"/>
    </xf>
    <xf numFmtId="0" fontId="18" fillId="20" borderId="153" xfId="0" applyFont="1" applyFill="1" applyBorder="1" applyAlignment="1" applyProtection="1">
      <alignment vertical="top" wrapText="1"/>
    </xf>
    <xf numFmtId="0" fontId="4" fillId="20" borderId="168" xfId="0" applyFont="1" applyFill="1" applyBorder="1" applyAlignment="1" applyProtection="1">
      <alignment horizontal="left" wrapText="1"/>
    </xf>
    <xf numFmtId="0" fontId="18" fillId="20" borderId="152" xfId="0" applyFont="1" applyFill="1" applyBorder="1" applyAlignment="1" applyProtection="1">
      <alignment vertical="top" wrapText="1"/>
    </xf>
    <xf numFmtId="0" fontId="4" fillId="20" borderId="16" xfId="5" applyFont="1" applyFill="1" applyBorder="1" applyAlignment="1" applyProtection="1">
      <alignment horizontal="left" vertical="center" wrapText="1"/>
    </xf>
    <xf numFmtId="0" fontId="6" fillId="20" borderId="185" xfId="5" applyFont="1" applyFill="1" applyBorder="1" applyProtection="1"/>
    <xf numFmtId="0" fontId="113" fillId="2" borderId="0" xfId="0" applyFont="1" applyFill="1" applyProtection="1"/>
    <xf numFmtId="3" fontId="4" fillId="20" borderId="155" xfId="0" applyNumberFormat="1" applyFont="1" applyFill="1" applyBorder="1" applyAlignment="1" applyProtection="1">
      <alignment horizontal="left" vertical="top"/>
    </xf>
    <xf numFmtId="3" fontId="3" fillId="2" borderId="3" xfId="0" applyNumberFormat="1" applyFont="1" applyFill="1" applyBorder="1" applyAlignment="1" applyProtection="1">
      <alignment horizontal="right"/>
      <protection locked="0"/>
    </xf>
    <xf numFmtId="3" fontId="3" fillId="3" borderId="3" xfId="0" applyNumberFormat="1" applyFont="1" applyFill="1" applyBorder="1" applyAlignment="1" applyProtection="1">
      <alignment horizontal="right"/>
    </xf>
    <xf numFmtId="3" fontId="3" fillId="2" borderId="28" xfId="0" applyNumberFormat="1" applyFont="1" applyFill="1" applyBorder="1" applyAlignment="1" applyProtection="1">
      <alignment horizontal="right"/>
      <protection locked="0"/>
    </xf>
    <xf numFmtId="3" fontId="3" fillId="3" borderId="99" xfId="0" applyNumberFormat="1" applyFont="1" applyFill="1" applyBorder="1" applyAlignment="1" applyProtection="1">
      <alignment horizontal="right"/>
    </xf>
    <xf numFmtId="3" fontId="4" fillId="20" borderId="75" xfId="0" applyNumberFormat="1" applyFont="1" applyFill="1" applyBorder="1" applyProtection="1"/>
    <xf numFmtId="3" fontId="6" fillId="0" borderId="57" xfId="0" applyNumberFormat="1" applyFont="1" applyFill="1" applyBorder="1" applyProtection="1"/>
    <xf numFmtId="3" fontId="6" fillId="0" borderId="56" xfId="0" applyNumberFormat="1" applyFont="1" applyFill="1" applyBorder="1" applyProtection="1"/>
    <xf numFmtId="0" fontId="25" fillId="2" borderId="57" xfId="0" applyFont="1" applyFill="1" applyBorder="1" applyProtection="1"/>
    <xf numFmtId="0" fontId="4" fillId="20" borderId="108" xfId="0" applyFont="1" applyFill="1" applyBorder="1" applyProtection="1"/>
    <xf numFmtId="0" fontId="4" fillId="20" borderId="27" xfId="0" applyFont="1" applyFill="1" applyBorder="1" applyProtection="1"/>
    <xf numFmtId="3" fontId="3" fillId="21" borderId="0" xfId="0" applyNumberFormat="1" applyFont="1" applyFill="1" applyBorder="1" applyAlignment="1" applyProtection="1">
      <alignment horizontal="right"/>
    </xf>
    <xf numFmtId="0" fontId="3" fillId="21" borderId="0" xfId="0" applyFont="1" applyFill="1" applyBorder="1" applyProtection="1"/>
    <xf numFmtId="14" fontId="4" fillId="20" borderId="119" xfId="0" applyNumberFormat="1" applyFont="1" applyFill="1" applyBorder="1" applyAlignment="1" applyProtection="1">
      <alignment horizontal="center"/>
    </xf>
    <xf numFmtId="0" fontId="4" fillId="20" borderId="97" xfId="0" applyFont="1" applyFill="1" applyBorder="1" applyProtection="1"/>
    <xf numFmtId="14" fontId="4" fillId="20" borderId="91" xfId="0" applyNumberFormat="1" applyFont="1" applyFill="1" applyBorder="1" applyAlignment="1" applyProtection="1">
      <alignment horizontal="center"/>
    </xf>
    <xf numFmtId="3" fontId="3" fillId="21" borderId="38" xfId="0" applyNumberFormat="1" applyFont="1" applyFill="1" applyBorder="1" applyAlignment="1" applyProtection="1">
      <alignment horizontal="right"/>
    </xf>
    <xf numFmtId="0" fontId="3" fillId="21" borderId="38" xfId="0" applyFont="1" applyFill="1" applyBorder="1" applyProtection="1"/>
    <xf numFmtId="14" fontId="4" fillId="20" borderId="0" xfId="0" applyNumberFormat="1" applyFont="1" applyFill="1" applyBorder="1" applyAlignment="1" applyProtection="1">
      <alignment horizontal="center"/>
    </xf>
    <xf numFmtId="0" fontId="4" fillId="20" borderId="38" xfId="0" applyFont="1" applyFill="1" applyBorder="1" applyProtection="1"/>
    <xf numFmtId="0" fontId="4" fillId="20" borderId="66" xfId="0" applyFont="1" applyFill="1" applyBorder="1" applyProtection="1"/>
    <xf numFmtId="0" fontId="3" fillId="20" borderId="27" xfId="0" applyFont="1" applyFill="1" applyBorder="1" applyProtection="1"/>
    <xf numFmtId="14" fontId="4" fillId="20" borderId="38" xfId="0" applyNumberFormat="1" applyFont="1" applyFill="1" applyBorder="1" applyAlignment="1" applyProtection="1">
      <alignment horizontal="center"/>
    </xf>
    <xf numFmtId="49" fontId="3" fillId="10" borderId="37" xfId="0" applyNumberFormat="1" applyFont="1" applyFill="1" applyBorder="1" applyAlignment="1" applyProtection="1"/>
    <xf numFmtId="0" fontId="4" fillId="20" borderId="109" xfId="0" applyFont="1" applyFill="1" applyBorder="1" applyProtection="1"/>
    <xf numFmtId="0" fontId="4" fillId="20" borderId="67" xfId="0" applyFont="1" applyFill="1" applyBorder="1" applyAlignment="1" applyProtection="1">
      <alignment wrapText="1"/>
    </xf>
    <xf numFmtId="0" fontId="4" fillId="20" borderId="153" xfId="0" applyFont="1" applyFill="1" applyBorder="1" applyAlignment="1" applyProtection="1">
      <alignment vertical="top" wrapText="1"/>
    </xf>
    <xf numFmtId="49" fontId="4" fillId="20" borderId="41" xfId="0" applyNumberFormat="1" applyFont="1" applyFill="1" applyBorder="1" applyAlignment="1" applyProtection="1">
      <alignment horizontal="center" wrapText="1"/>
    </xf>
    <xf numFmtId="49" fontId="4" fillId="20" borderId="127" xfId="0" applyNumberFormat="1" applyFont="1" applyFill="1" applyBorder="1" applyAlignment="1" applyProtection="1">
      <alignment horizontal="center"/>
    </xf>
    <xf numFmtId="49" fontId="4" fillId="20" borderId="128" xfId="0" applyNumberFormat="1" applyFont="1" applyFill="1" applyBorder="1" applyAlignment="1" applyProtection="1">
      <alignment horizontal="center"/>
    </xf>
    <xf numFmtId="0" fontId="4" fillId="20" borderId="5" xfId="0" applyFont="1" applyFill="1" applyBorder="1" applyAlignment="1" applyProtection="1">
      <alignment horizontal="center" wrapText="1"/>
    </xf>
    <xf numFmtId="49" fontId="4" fillId="20" borderId="34" xfId="0" applyNumberFormat="1" applyFont="1" applyFill="1" applyBorder="1" applyAlignment="1" applyProtection="1">
      <alignment horizontal="center"/>
    </xf>
    <xf numFmtId="49" fontId="4" fillId="20" borderId="35" xfId="0" applyNumberFormat="1" applyFont="1" applyFill="1" applyBorder="1" applyAlignment="1" applyProtection="1">
      <alignment horizontal="center"/>
    </xf>
    <xf numFmtId="49" fontId="4" fillId="20" borderId="102" xfId="0" applyNumberFormat="1" applyFont="1" applyFill="1" applyBorder="1" applyAlignment="1" applyProtection="1">
      <alignment horizontal="center"/>
    </xf>
    <xf numFmtId="1" fontId="4" fillId="20" borderId="2" xfId="0" applyNumberFormat="1" applyFont="1" applyFill="1" applyBorder="1" applyAlignment="1" applyProtection="1">
      <alignment horizontal="center" wrapText="1"/>
    </xf>
    <xf numFmtId="0" fontId="9" fillId="0" borderId="0" xfId="0" applyFont="1" applyFill="1" applyProtection="1"/>
    <xf numFmtId="1" fontId="4" fillId="20" borderId="41" xfId="0" applyNumberFormat="1" applyFont="1" applyFill="1" applyBorder="1" applyAlignment="1" applyProtection="1">
      <alignment horizontal="center" vertical="top" wrapText="1"/>
    </xf>
    <xf numFmtId="49" fontId="4" fillId="20" borderId="14" xfId="0" applyNumberFormat="1" applyFont="1" applyFill="1" applyBorder="1" applyAlignment="1" applyProtection="1">
      <alignment horizontal="center"/>
    </xf>
    <xf numFmtId="49" fontId="4" fillId="20" borderId="9" xfId="0" applyNumberFormat="1" applyFont="1" applyFill="1" applyBorder="1" applyAlignment="1" applyProtection="1">
      <alignment horizontal="center"/>
    </xf>
    <xf numFmtId="0" fontId="4" fillId="20" borderId="87" xfId="0" applyFont="1" applyFill="1" applyBorder="1" applyAlignment="1" applyProtection="1">
      <alignment horizontal="center"/>
    </xf>
    <xf numFmtId="1" fontId="4" fillId="20" borderId="25" xfId="0" applyNumberFormat="1" applyFont="1" applyFill="1" applyBorder="1" applyAlignment="1" applyProtection="1">
      <alignment horizontal="center"/>
    </xf>
    <xf numFmtId="0" fontId="4" fillId="29" borderId="97" xfId="0" applyFont="1" applyFill="1" applyBorder="1" applyAlignment="1" applyProtection="1">
      <alignment horizontal="left" vertical="top" wrapText="1"/>
    </xf>
    <xf numFmtId="0" fontId="4" fillId="29" borderId="112" xfId="0" applyFont="1" applyFill="1" applyBorder="1" applyAlignment="1" applyProtection="1">
      <alignment horizontal="left" vertical="top"/>
    </xf>
    <xf numFmtId="0" fontId="0" fillId="29" borderId="43" xfId="0" applyFill="1" applyBorder="1" applyProtection="1"/>
    <xf numFmtId="0" fontId="4" fillId="29" borderId="16" xfId="0" applyFont="1" applyFill="1" applyBorder="1" applyAlignment="1" applyProtection="1">
      <alignment horizontal="left" vertical="top" wrapText="1"/>
    </xf>
    <xf numFmtId="3" fontId="4" fillId="29" borderId="162" xfId="0" applyNumberFormat="1" applyFont="1" applyFill="1" applyBorder="1" applyProtection="1"/>
    <xf numFmtId="3" fontId="4" fillId="29" borderId="97" xfId="0" applyNumberFormat="1" applyFont="1" applyFill="1" applyBorder="1" applyAlignment="1" applyProtection="1">
      <alignment horizontal="left" vertical="top" wrapText="1"/>
    </xf>
    <xf numFmtId="0" fontId="4" fillId="29" borderId="115" xfId="0" applyFont="1" applyFill="1" applyBorder="1" applyAlignment="1" applyProtection="1">
      <alignment horizontal="left" vertical="top" wrapText="1"/>
    </xf>
    <xf numFmtId="3" fontId="4" fillId="29" borderId="113" xfId="0" applyNumberFormat="1" applyFont="1" applyFill="1" applyBorder="1" applyAlignment="1" applyProtection="1">
      <alignment horizontal="left" wrapText="1"/>
    </xf>
    <xf numFmtId="49" fontId="4" fillId="29" borderId="113" xfId="0" applyNumberFormat="1" applyFont="1" applyFill="1" applyBorder="1" applyAlignment="1" applyProtection="1">
      <alignment vertical="top"/>
    </xf>
    <xf numFmtId="3" fontId="4" fillId="29" borderId="97" xfId="0" applyNumberFormat="1" applyFont="1" applyFill="1" applyBorder="1" applyAlignment="1" applyProtection="1">
      <alignment vertical="top"/>
    </xf>
    <xf numFmtId="3" fontId="4" fillId="29" borderId="84" xfId="0" applyNumberFormat="1" applyFont="1" applyFill="1" applyBorder="1" applyAlignment="1" applyProtection="1">
      <alignment vertical="top" wrapText="1"/>
    </xf>
    <xf numFmtId="3" fontId="4" fillId="29" borderId="16" xfId="0" applyNumberFormat="1" applyFont="1" applyFill="1" applyBorder="1" applyAlignment="1" applyProtection="1">
      <alignment horizontal="left" vertical="top" wrapText="1"/>
    </xf>
    <xf numFmtId="0" fontId="4" fillId="29" borderId="148" xfId="0" applyFont="1" applyFill="1" applyBorder="1" applyAlignment="1" applyProtection="1">
      <alignment horizontal="left" vertical="top" wrapText="1"/>
    </xf>
    <xf numFmtId="3" fontId="4" fillId="29" borderId="15" xfId="0" applyNumberFormat="1" applyFont="1" applyFill="1" applyBorder="1" applyAlignment="1" applyProtection="1">
      <alignment horizontal="left" vertical="top" wrapText="1"/>
    </xf>
    <xf numFmtId="0" fontId="12" fillId="29" borderId="0" xfId="0" applyFont="1" applyFill="1" applyBorder="1" applyProtection="1"/>
    <xf numFmtId="3" fontId="4" fillId="29" borderId="16" xfId="0" applyNumberFormat="1" applyFont="1" applyFill="1" applyBorder="1" applyAlignment="1" applyProtection="1">
      <alignment vertical="top"/>
    </xf>
    <xf numFmtId="3" fontId="9" fillId="29" borderId="59" xfId="0" applyNumberFormat="1" applyFont="1" applyFill="1" applyBorder="1" applyProtection="1"/>
    <xf numFmtId="0" fontId="6" fillId="29" borderId="43" xfId="0" applyFont="1" applyFill="1" applyBorder="1" applyProtection="1"/>
    <xf numFmtId="3" fontId="9" fillId="29" borderId="16" xfId="0" applyNumberFormat="1" applyFont="1" applyFill="1" applyBorder="1" applyAlignment="1" applyProtection="1">
      <alignment horizontal="left"/>
    </xf>
    <xf numFmtId="0" fontId="9" fillId="29" borderId="162" xfId="0" applyFont="1" applyFill="1" applyBorder="1" applyProtection="1"/>
    <xf numFmtId="3" fontId="9" fillId="29" borderId="148" xfId="0" applyNumberFormat="1" applyFont="1" applyFill="1" applyBorder="1" applyAlignment="1" applyProtection="1">
      <alignment horizontal="left" vertical="top"/>
    </xf>
    <xf numFmtId="0" fontId="0" fillId="29" borderId="0" xfId="0" applyFill="1" applyBorder="1" applyAlignment="1" applyProtection="1">
      <alignment vertical="top" wrapText="1"/>
    </xf>
    <xf numFmtId="0" fontId="12" fillId="29" borderId="16" xfId="0" applyFont="1" applyFill="1" applyBorder="1" applyProtection="1"/>
    <xf numFmtId="0" fontId="9" fillId="29" borderId="59" xfId="0" applyFont="1" applyFill="1" applyBorder="1" applyProtection="1"/>
    <xf numFmtId="0" fontId="12" fillId="29" borderId="61" xfId="0" applyFont="1" applyFill="1" applyBorder="1" applyProtection="1"/>
    <xf numFmtId="0" fontId="9" fillId="29" borderId="145" xfId="0" applyFont="1" applyFill="1" applyBorder="1" applyProtection="1"/>
    <xf numFmtId="0" fontId="9" fillId="29" borderId="41" xfId="0" applyFont="1" applyFill="1" applyBorder="1" applyProtection="1"/>
    <xf numFmtId="3" fontId="9" fillId="29" borderId="145" xfId="0" applyNumberFormat="1" applyFont="1" applyFill="1" applyBorder="1" applyProtection="1"/>
    <xf numFmtId="3" fontId="4" fillId="29" borderId="15" xfId="0" applyNumberFormat="1" applyFont="1" applyFill="1" applyBorder="1" applyAlignment="1" applyProtection="1">
      <alignment horizontal="left" vertical="top"/>
    </xf>
    <xf numFmtId="49" fontId="9" fillId="29" borderId="85" xfId="0" applyNumberFormat="1" applyFont="1" applyFill="1" applyBorder="1" applyProtection="1"/>
    <xf numFmtId="0" fontId="9" fillId="29" borderId="86" xfId="0" applyFont="1" applyFill="1" applyBorder="1" applyProtection="1"/>
    <xf numFmtId="0" fontId="4" fillId="29" borderId="122" xfId="0" applyFont="1" applyFill="1" applyBorder="1" applyAlignment="1" applyProtection="1">
      <alignment vertical="top" wrapText="1"/>
    </xf>
    <xf numFmtId="0" fontId="4" fillId="29" borderId="15" xfId="0" applyFont="1" applyFill="1" applyBorder="1" applyAlignment="1" applyProtection="1">
      <alignment vertical="top" wrapText="1"/>
    </xf>
    <xf numFmtId="3" fontId="4" fillId="29" borderId="59" xfId="0" applyNumberFormat="1" applyFont="1" applyFill="1" applyBorder="1" applyAlignment="1" applyProtection="1">
      <alignment vertical="top" wrapText="1"/>
    </xf>
    <xf numFmtId="0" fontId="9" fillId="29" borderId="122" xfId="0" applyFont="1" applyFill="1" applyBorder="1" applyProtection="1"/>
    <xf numFmtId="0" fontId="9" fillId="29" borderId="15" xfId="0" applyFont="1" applyFill="1" applyBorder="1" applyProtection="1"/>
    <xf numFmtId="0" fontId="9" fillId="29" borderId="111" xfId="0" applyFont="1" applyFill="1" applyBorder="1" applyProtection="1"/>
    <xf numFmtId="171" fontId="37" fillId="0" borderId="0" xfId="0" applyNumberFormat="1" applyFont="1" applyFill="1" applyBorder="1" applyAlignment="1" applyProtection="1">
      <alignment horizontal="left" vertical="top" wrapText="1"/>
    </xf>
    <xf numFmtId="3" fontId="3" fillId="2" borderId="0" xfId="0" applyNumberFormat="1" applyFont="1" applyFill="1" applyBorder="1" applyAlignment="1" applyProtection="1">
      <alignment horizontal="right"/>
      <protection locked="0"/>
    </xf>
    <xf numFmtId="3" fontId="3" fillId="2" borderId="39" xfId="0" applyNumberFormat="1" applyFont="1" applyFill="1" applyBorder="1" applyAlignment="1" applyProtection="1">
      <alignment horizontal="right"/>
      <protection locked="0"/>
    </xf>
    <xf numFmtId="0" fontId="6" fillId="20" borderId="25" xfId="0" applyFont="1" applyFill="1" applyBorder="1" applyAlignment="1" applyProtection="1">
      <alignment horizontal="left"/>
    </xf>
    <xf numFmtId="49" fontId="9" fillId="0" borderId="197" xfId="0" applyNumberFormat="1" applyFont="1" applyFill="1" applyBorder="1" applyAlignment="1" applyProtection="1">
      <alignment horizontal="center"/>
    </xf>
    <xf numFmtId="49" fontId="4" fillId="0" borderId="197" xfId="0" applyNumberFormat="1" applyFont="1" applyFill="1" applyBorder="1" applyAlignment="1" applyProtection="1">
      <alignment horizontal="center" wrapText="1"/>
    </xf>
    <xf numFmtId="49" fontId="4" fillId="0" borderId="197" xfId="0" applyNumberFormat="1" applyFont="1" applyFill="1" applyBorder="1" applyAlignment="1" applyProtection="1">
      <alignment horizontal="left"/>
    </xf>
    <xf numFmtId="3" fontId="4" fillId="20" borderId="15" xfId="0" applyNumberFormat="1" applyFont="1" applyFill="1" applyBorder="1" applyAlignment="1" applyProtection="1">
      <alignment horizontal="left" wrapText="1"/>
    </xf>
    <xf numFmtId="0" fontId="72" fillId="2" borderId="0" xfId="0" applyFont="1" applyFill="1" applyAlignment="1" applyProtection="1"/>
    <xf numFmtId="3" fontId="6" fillId="20" borderId="113" xfId="0" applyNumberFormat="1" applyFont="1" applyFill="1" applyBorder="1" applyAlignment="1" applyProtection="1">
      <alignment horizontal="left"/>
    </xf>
    <xf numFmtId="3" fontId="6" fillId="20" borderId="15" xfId="0" applyNumberFormat="1" applyFont="1" applyFill="1" applyBorder="1" applyAlignment="1" applyProtection="1">
      <alignment horizontal="left" vertical="top" wrapText="1"/>
    </xf>
    <xf numFmtId="49" fontId="4" fillId="20" borderId="41" xfId="0" applyNumberFormat="1" applyFont="1" applyFill="1" applyBorder="1" applyAlignment="1" applyProtection="1">
      <alignment horizontal="left"/>
    </xf>
    <xf numFmtId="3" fontId="14" fillId="9" borderId="62" xfId="0" applyNumberFormat="1" applyFont="1" applyFill="1" applyBorder="1" applyProtection="1"/>
    <xf numFmtId="0" fontId="10" fillId="0" borderId="0" xfId="0" applyFont="1" applyFill="1" applyProtection="1"/>
    <xf numFmtId="3" fontId="11" fillId="0" borderId="5" xfId="0" quotePrefix="1" applyNumberFormat="1" applyFont="1" applyFill="1" applyBorder="1" applyAlignment="1" applyProtection="1">
      <alignment horizontal="right"/>
      <protection locked="0"/>
    </xf>
    <xf numFmtId="0" fontId="19" fillId="2" borderId="0" xfId="0" applyFont="1" applyFill="1" applyBorder="1" applyAlignment="1" applyProtection="1"/>
    <xf numFmtId="3" fontId="118" fillId="20" borderId="0" xfId="0" applyNumberFormat="1" applyFont="1" applyFill="1" applyBorder="1" applyAlignment="1" applyProtection="1"/>
    <xf numFmtId="3" fontId="118" fillId="20" borderId="43" xfId="0" applyNumberFormat="1" applyFont="1" applyFill="1" applyBorder="1" applyAlignment="1" applyProtection="1"/>
    <xf numFmtId="0" fontId="119" fillId="2" borderId="0" xfId="0" applyFont="1" applyFill="1" applyBorder="1" applyProtection="1"/>
    <xf numFmtId="166" fontId="8" fillId="0" borderId="1" xfId="0" applyNumberFormat="1" applyFont="1" applyFill="1" applyBorder="1" applyAlignment="1" applyProtection="1">
      <alignment horizontal="center" vertical="center"/>
    </xf>
    <xf numFmtId="0" fontId="0" fillId="2" borderId="1" xfId="0" applyFill="1" applyBorder="1" applyProtection="1"/>
    <xf numFmtId="0" fontId="4" fillId="2" borderId="1" xfId="0" applyFont="1" applyFill="1" applyBorder="1" applyProtection="1"/>
    <xf numFmtId="3" fontId="10" fillId="2" borderId="110" xfId="0" applyNumberFormat="1" applyFont="1" applyFill="1" applyBorder="1" applyProtection="1">
      <protection locked="0"/>
    </xf>
    <xf numFmtId="3" fontId="10" fillId="2" borderId="70" xfId="0" applyNumberFormat="1" applyFont="1" applyFill="1" applyBorder="1" applyProtection="1">
      <protection locked="0"/>
    </xf>
    <xf numFmtId="0" fontId="4" fillId="20" borderId="129" xfId="0" applyFont="1" applyFill="1" applyBorder="1" applyAlignment="1" applyProtection="1">
      <alignment horizontal="center"/>
    </xf>
    <xf numFmtId="0" fontId="95" fillId="7" borderId="0" xfId="0" quotePrefix="1" applyFont="1" applyFill="1" applyBorder="1" applyAlignment="1" applyProtection="1">
      <alignment horizontal="left"/>
    </xf>
    <xf numFmtId="0" fontId="113" fillId="0" borderId="0" xfId="0" applyFont="1" applyFill="1" applyAlignment="1" applyProtection="1">
      <alignment wrapText="1"/>
    </xf>
    <xf numFmtId="3" fontId="4" fillId="20" borderId="9" xfId="0" applyNumberFormat="1" applyFont="1" applyFill="1" applyBorder="1" applyProtection="1"/>
    <xf numFmtId="3" fontId="10" fillId="20" borderId="0" xfId="0" applyNumberFormat="1" applyFont="1" applyFill="1" applyBorder="1" applyProtection="1"/>
    <xf numFmtId="3" fontId="10" fillId="20" borderId="38" xfId="0" applyNumberFormat="1" applyFont="1" applyFill="1" applyBorder="1" applyProtection="1"/>
    <xf numFmtId="3" fontId="8" fillId="20" borderId="0" xfId="0" applyNumberFormat="1" applyFont="1" applyFill="1" applyBorder="1" applyProtection="1"/>
    <xf numFmtId="3" fontId="8" fillId="20" borderId="0" xfId="0" applyNumberFormat="1" applyFont="1" applyFill="1" applyBorder="1" applyAlignment="1" applyProtection="1">
      <alignment horizontal="left" vertical="top" wrapText="1"/>
    </xf>
    <xf numFmtId="3" fontId="3" fillId="20" borderId="152" xfId="0" applyNumberFormat="1" applyFont="1" applyFill="1" applyBorder="1" applyAlignment="1" applyProtection="1">
      <alignment horizontal="right"/>
    </xf>
    <xf numFmtId="3" fontId="3" fillId="20" borderId="126" xfId="0" applyNumberFormat="1" applyFont="1" applyFill="1" applyBorder="1" applyAlignment="1" applyProtection="1">
      <alignment horizontal="right"/>
    </xf>
    <xf numFmtId="3" fontId="3" fillId="21" borderId="152" xfId="0" applyNumberFormat="1" applyFont="1" applyFill="1" applyBorder="1" applyAlignment="1" applyProtection="1">
      <alignment horizontal="left"/>
    </xf>
    <xf numFmtId="3" fontId="3" fillId="21" borderId="44" xfId="0" applyNumberFormat="1" applyFont="1" applyFill="1" applyBorder="1" applyAlignment="1" applyProtection="1">
      <alignment horizontal="right"/>
    </xf>
    <xf numFmtId="0" fontId="10" fillId="30" borderId="198" xfId="0" applyFont="1" applyFill="1" applyBorder="1" applyAlignment="1" applyProtection="1">
      <alignment horizontal="left" vertical="center"/>
    </xf>
    <xf numFmtId="0" fontId="92" fillId="30" borderId="198" xfId="0" applyFont="1" applyFill="1" applyBorder="1" applyAlignment="1" applyProtection="1">
      <alignment horizontal="left" vertical="center"/>
    </xf>
    <xf numFmtId="0" fontId="18" fillId="29" borderId="112" xfId="0" applyFont="1" applyFill="1" applyBorder="1" applyAlignment="1" applyProtection="1">
      <alignment horizontal="center" vertical="center"/>
    </xf>
    <xf numFmtId="0" fontId="0" fillId="0" borderId="0" xfId="0" applyFill="1" applyBorder="1" applyAlignment="1">
      <alignment horizontal="left" wrapText="1"/>
    </xf>
    <xf numFmtId="0" fontId="25" fillId="20" borderId="57" xfId="5" applyFill="1" applyBorder="1" applyAlignment="1" applyProtection="1">
      <alignment wrapText="1"/>
    </xf>
    <xf numFmtId="0" fontId="25" fillId="20" borderId="43" xfId="5" applyFill="1" applyBorder="1" applyAlignment="1" applyProtection="1">
      <alignment wrapText="1"/>
    </xf>
    <xf numFmtId="49" fontId="4" fillId="20" borderId="145" xfId="0" applyNumberFormat="1" applyFont="1" applyFill="1" applyBorder="1" applyAlignment="1" applyProtection="1">
      <alignment horizontal="center"/>
    </xf>
    <xf numFmtId="49" fontId="4" fillId="20" borderId="155" xfId="0" applyNumberFormat="1" applyFont="1" applyFill="1" applyBorder="1" applyAlignment="1" applyProtection="1">
      <alignment horizontal="center"/>
    </xf>
    <xf numFmtId="0" fontId="4" fillId="20" borderId="35" xfId="0" applyFont="1" applyFill="1" applyBorder="1" applyAlignment="1" applyProtection="1">
      <alignment horizontal="center"/>
    </xf>
    <xf numFmtId="0" fontId="4" fillId="20" borderId="69" xfId="0" applyFont="1" applyFill="1" applyBorder="1" applyAlignment="1" applyProtection="1">
      <alignment horizontal="center"/>
    </xf>
    <xf numFmtId="3" fontId="4" fillId="20" borderId="27" xfId="0" applyNumberFormat="1" applyFont="1" applyFill="1" applyBorder="1" applyAlignment="1" applyProtection="1"/>
    <xf numFmtId="49" fontId="4" fillId="20" borderId="57" xfId="0" applyNumberFormat="1" applyFont="1" applyFill="1" applyBorder="1" applyAlignment="1" applyProtection="1">
      <alignment horizontal="left" vertical="top"/>
    </xf>
    <xf numFmtId="0" fontId="32" fillId="7" borderId="0" xfId="0" applyFont="1" applyFill="1" applyBorder="1" applyProtection="1"/>
    <xf numFmtId="1" fontId="18" fillId="0" borderId="0" xfId="0" applyNumberFormat="1" applyFont="1" applyFill="1" applyBorder="1" applyAlignment="1" applyProtection="1">
      <alignment horizontal="center"/>
    </xf>
    <xf numFmtId="166" fontId="4" fillId="0" borderId="0" xfId="0" applyNumberFormat="1" applyFont="1" applyFill="1" applyBorder="1" applyProtection="1"/>
    <xf numFmtId="0"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1" fontId="6" fillId="0" borderId="0" xfId="0" applyNumberFormat="1" applyFont="1" applyFill="1" applyBorder="1" applyAlignment="1" applyProtection="1">
      <alignment horizontal="center" wrapText="1"/>
    </xf>
    <xf numFmtId="3" fontId="9" fillId="0" borderId="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1" fontId="4" fillId="0" borderId="0" xfId="0" applyNumberFormat="1" applyFont="1" applyFill="1" applyBorder="1" applyAlignment="1" applyProtection="1">
      <alignment horizontal="center" vertical="top" wrapText="1"/>
    </xf>
    <xf numFmtId="2" fontId="4" fillId="0" borderId="0" xfId="0" applyNumberFormat="1" applyFont="1" applyFill="1" applyBorder="1" applyAlignment="1" applyProtection="1">
      <alignment horizontal="center" wrapText="1"/>
    </xf>
    <xf numFmtId="49" fontId="4" fillId="0" borderId="0" xfId="0" applyNumberFormat="1" applyFont="1" applyFill="1" applyBorder="1" applyAlignment="1" applyProtection="1">
      <alignment horizontal="center" wrapText="1"/>
    </xf>
    <xf numFmtId="49" fontId="118" fillId="0" borderId="0" xfId="0" applyNumberFormat="1" applyFont="1" applyFill="1" applyBorder="1" applyAlignment="1" applyProtection="1">
      <alignment horizontal="center" wrapText="1"/>
    </xf>
    <xf numFmtId="1" fontId="118"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 fontId="9" fillId="0" borderId="0" xfId="0" applyNumberFormat="1" applyFont="1" applyFill="1" applyBorder="1" applyAlignment="1" applyProtection="1">
      <alignment horizontal="center" vertical="center" wrapText="1"/>
    </xf>
    <xf numFmtId="3" fontId="3" fillId="2" borderId="110" xfId="0" applyNumberFormat="1" applyFont="1" applyFill="1" applyBorder="1" applyAlignment="1" applyProtection="1">
      <alignment horizontal="right"/>
      <protection locked="0"/>
    </xf>
    <xf numFmtId="3" fontId="3" fillId="2" borderId="6" xfId="0" applyNumberFormat="1" applyFont="1" applyFill="1" applyBorder="1" applyAlignment="1" applyProtection="1">
      <alignment horizontal="right"/>
      <protection locked="0"/>
    </xf>
    <xf numFmtId="49" fontId="4" fillId="20" borderId="35" xfId="0" applyNumberFormat="1" applyFont="1" applyFill="1" applyBorder="1" applyAlignment="1" applyProtection="1">
      <alignment horizontal="left" wrapText="1"/>
    </xf>
    <xf numFmtId="3" fontId="6" fillId="20" borderId="151" xfId="5" applyNumberFormat="1" applyFont="1" applyFill="1" applyBorder="1" applyAlignment="1" applyProtection="1">
      <alignment vertical="top"/>
    </xf>
    <xf numFmtId="3" fontId="5" fillId="0" borderId="0" xfId="0" applyNumberFormat="1" applyFont="1" applyFill="1" applyBorder="1" applyProtection="1"/>
    <xf numFmtId="49" fontId="13" fillId="0" borderId="0" xfId="0" applyNumberFormat="1" applyFont="1" applyFill="1" applyBorder="1" applyAlignment="1" applyProtection="1">
      <alignment horizontal="center"/>
    </xf>
    <xf numFmtId="3" fontId="4" fillId="0" borderId="0" xfId="0" applyNumberFormat="1" applyFont="1" applyFill="1" applyBorder="1" applyAlignment="1" applyProtection="1"/>
    <xf numFmtId="0" fontId="0" fillId="20" borderId="145" xfId="0" applyFill="1" applyBorder="1" applyAlignment="1">
      <alignment vertical="center"/>
    </xf>
    <xf numFmtId="0" fontId="0" fillId="20" borderId="41" xfId="0" applyFill="1" applyBorder="1" applyAlignment="1">
      <alignment vertical="center"/>
    </xf>
    <xf numFmtId="0" fontId="8" fillId="20" borderId="41" xfId="0" applyFont="1" applyFill="1" applyBorder="1" applyAlignment="1" applyProtection="1"/>
    <xf numFmtId="0" fontId="0" fillId="20" borderId="156" xfId="0" applyFill="1" applyBorder="1" applyAlignment="1" applyProtection="1">
      <alignment wrapText="1"/>
    </xf>
    <xf numFmtId="0" fontId="0" fillId="20" borderId="41" xfId="0" applyFill="1" applyBorder="1" applyAlignment="1">
      <alignment vertical="center" wrapText="1"/>
    </xf>
    <xf numFmtId="0" fontId="8" fillId="20" borderId="41" xfId="0" applyFont="1" applyFill="1" applyBorder="1" applyProtection="1"/>
    <xf numFmtId="0" fontId="0" fillId="20" borderId="137" xfId="0" applyFill="1" applyBorder="1" applyAlignment="1">
      <alignment horizontal="left" vertical="center"/>
    </xf>
    <xf numFmtId="0" fontId="0" fillId="20" borderId="1" xfId="0" applyFill="1" applyBorder="1" applyAlignment="1">
      <alignment horizontal="left" vertical="center"/>
    </xf>
    <xf numFmtId="0" fontId="0" fillId="20" borderId="85" xfId="0" applyFill="1" applyBorder="1" applyAlignment="1">
      <alignment horizontal="left" vertical="center"/>
    </xf>
    <xf numFmtId="0" fontId="0" fillId="20" borderId="86" xfId="0" applyFill="1" applyBorder="1" applyAlignment="1">
      <alignment horizontal="left" wrapText="1"/>
    </xf>
    <xf numFmtId="0" fontId="6" fillId="20" borderId="152" xfId="0" applyFont="1" applyFill="1" applyBorder="1" applyAlignment="1" applyProtection="1">
      <alignment vertical="top" wrapText="1"/>
    </xf>
    <xf numFmtId="0" fontId="4" fillId="20" borderId="16" xfId="0" applyFont="1" applyFill="1" applyBorder="1" applyAlignment="1" applyProtection="1">
      <alignment vertical="center"/>
    </xf>
    <xf numFmtId="0" fontId="4" fillId="20" borderId="15" xfId="0" applyFont="1" applyFill="1" applyBorder="1" applyAlignment="1" applyProtection="1">
      <alignment vertical="center"/>
    </xf>
    <xf numFmtId="0" fontId="4" fillId="20" borderId="15" xfId="0" applyFont="1" applyFill="1" applyBorder="1" applyAlignment="1" applyProtection="1">
      <alignment vertical="center" wrapText="1"/>
    </xf>
    <xf numFmtId="0" fontId="0" fillId="20" borderId="185" xfId="0" applyFill="1" applyBorder="1" applyAlignment="1">
      <alignment horizontal="center" vertical="center"/>
    </xf>
    <xf numFmtId="0" fontId="0" fillId="20" borderId="170" xfId="0" applyFill="1" applyBorder="1" applyAlignment="1" applyProtection="1">
      <alignment vertical="top" wrapText="1"/>
    </xf>
    <xf numFmtId="0" fontId="4" fillId="20" borderId="118" xfId="0" applyFont="1" applyFill="1" applyBorder="1" applyAlignment="1" applyProtection="1">
      <alignment vertical="top"/>
    </xf>
    <xf numFmtId="0" fontId="4" fillId="20" borderId="67" xfId="0" applyFont="1" applyFill="1" applyBorder="1" applyAlignment="1" applyProtection="1">
      <alignment horizontal="left" vertical="top" wrapText="1"/>
    </xf>
    <xf numFmtId="0" fontId="18" fillId="20" borderId="162" xfId="0" applyFont="1" applyFill="1" applyBorder="1" applyAlignment="1" applyProtection="1">
      <alignment horizontal="center" vertical="center" wrapText="1"/>
    </xf>
    <xf numFmtId="0" fontId="8" fillId="20" borderId="153" xfId="0" applyFont="1" applyFill="1" applyBorder="1" applyAlignment="1" applyProtection="1"/>
    <xf numFmtId="0" fontId="4" fillId="20" borderId="15" xfId="0" applyFont="1" applyFill="1" applyBorder="1" applyAlignment="1" applyProtection="1"/>
    <xf numFmtId="0" fontId="4" fillId="20" borderId="123" xfId="0" applyFont="1" applyFill="1" applyBorder="1" applyAlignment="1" applyProtection="1">
      <alignment horizontal="left" vertical="top" wrapText="1"/>
    </xf>
    <xf numFmtId="0" fontId="4" fillId="20" borderId="57" xfId="0" applyFont="1" applyFill="1" applyBorder="1" applyAlignment="1" applyProtection="1">
      <alignment horizontal="left" vertical="center"/>
    </xf>
    <xf numFmtId="0" fontId="4" fillId="20" borderId="148" xfId="0" applyFont="1" applyFill="1" applyBorder="1" applyAlignment="1" applyProtection="1">
      <alignment horizontal="left" vertical="center"/>
    </xf>
    <xf numFmtId="0" fontId="4" fillId="20" borderId="59" xfId="0" applyFont="1" applyFill="1" applyBorder="1" applyAlignment="1" applyProtection="1">
      <alignment horizontal="left" wrapText="1"/>
    </xf>
    <xf numFmtId="3" fontId="4" fillId="20" borderId="153" xfId="5" applyNumberFormat="1" applyFont="1" applyFill="1" applyBorder="1" applyAlignment="1" applyProtection="1"/>
    <xf numFmtId="3" fontId="6" fillId="20" borderId="153" xfId="5" applyNumberFormat="1" applyFont="1" applyFill="1" applyBorder="1" applyAlignment="1" applyProtection="1">
      <alignment vertical="top" wrapText="1"/>
    </xf>
    <xf numFmtId="49" fontId="4" fillId="20" borderId="170" xfId="5" applyNumberFormat="1" applyFont="1" applyFill="1" applyBorder="1" applyProtection="1"/>
    <xf numFmtId="3" fontId="4" fillId="20" borderId="162" xfId="5" applyNumberFormat="1" applyFont="1" applyFill="1" applyBorder="1" applyAlignment="1" applyProtection="1"/>
    <xf numFmtId="0" fontId="4" fillId="20" borderId="185" xfId="5" applyFont="1" applyFill="1" applyBorder="1" applyAlignment="1" applyProtection="1">
      <alignment horizontal="left" vertical="center"/>
    </xf>
    <xf numFmtId="0" fontId="6" fillId="20" borderId="155" xfId="5" applyFont="1" applyFill="1" applyBorder="1" applyAlignment="1" applyProtection="1">
      <alignment vertical="top"/>
    </xf>
    <xf numFmtId="0" fontId="4" fillId="20" borderId="67" xfId="0" applyFont="1" applyFill="1" applyBorder="1" applyAlignment="1" applyProtection="1">
      <alignment vertical="top"/>
    </xf>
    <xf numFmtId="0" fontId="6" fillId="20" borderId="27" xfId="5" applyFont="1" applyFill="1" applyBorder="1" applyAlignment="1" applyProtection="1"/>
    <xf numFmtId="0" fontId="4" fillId="20" borderId="15" xfId="5" applyFont="1" applyFill="1" applyBorder="1" applyAlignment="1" applyProtection="1">
      <alignment horizontal="right"/>
    </xf>
    <xf numFmtId="0" fontId="4" fillId="20" borderId="148" xfId="5" applyFont="1" applyFill="1" applyBorder="1" applyAlignment="1" applyProtection="1"/>
    <xf numFmtId="0" fontId="4" fillId="20" borderId="15" xfId="5" applyFont="1" applyFill="1" applyBorder="1" applyAlignment="1" applyProtection="1"/>
    <xf numFmtId="0" fontId="4" fillId="20" borderId="15" xfId="5" applyFont="1" applyFill="1" applyBorder="1" applyAlignment="1" applyProtection="1">
      <alignment horizontal="left" vertical="top" wrapText="1"/>
    </xf>
    <xf numFmtId="0" fontId="4" fillId="20" borderId="16" xfId="5" applyFont="1" applyFill="1" applyBorder="1" applyAlignment="1" applyProtection="1">
      <alignment horizontal="left" vertical="top" wrapText="1"/>
    </xf>
    <xf numFmtId="49" fontId="4" fillId="20" borderId="153" xfId="5" applyNumberFormat="1" applyFont="1" applyFill="1" applyBorder="1" applyAlignment="1" applyProtection="1">
      <alignment vertical="top"/>
    </xf>
    <xf numFmtId="0" fontId="0" fillId="20" borderId="15" xfId="0" applyFill="1" applyBorder="1" applyAlignment="1">
      <alignment vertical="top" wrapText="1"/>
    </xf>
    <xf numFmtId="0" fontId="0" fillId="20" borderId="41" xfId="0" applyFill="1" applyBorder="1" applyAlignment="1">
      <alignment vertical="top" wrapText="1"/>
    </xf>
    <xf numFmtId="0" fontId="4" fillId="20" borderId="170" xfId="0" applyFont="1" applyFill="1" applyBorder="1" applyAlignment="1" applyProtection="1">
      <alignment horizontal="left" vertical="center"/>
    </xf>
    <xf numFmtId="3" fontId="112" fillId="0" borderId="57" xfId="0" applyNumberFormat="1" applyFont="1" applyFill="1" applyBorder="1" applyProtection="1"/>
    <xf numFmtId="3" fontId="4" fillId="31" borderId="41" xfId="0" applyNumberFormat="1" applyFont="1" applyFill="1" applyBorder="1" applyAlignment="1" applyProtection="1">
      <alignment horizontal="left" vertical="top" wrapText="1"/>
    </xf>
    <xf numFmtId="3" fontId="4" fillId="20" borderId="41" xfId="0" applyNumberFormat="1" applyFont="1" applyFill="1" applyBorder="1" applyAlignment="1" applyProtection="1">
      <alignment horizontal="left" vertical="top"/>
    </xf>
    <xf numFmtId="0" fontId="0" fillId="20" borderId="43" xfId="0" applyFill="1" applyBorder="1" applyProtection="1"/>
    <xf numFmtId="3" fontId="6" fillId="20" borderId="200" xfId="0" applyNumberFormat="1" applyFont="1" applyFill="1" applyBorder="1" applyAlignment="1" applyProtection="1">
      <alignment horizontal="left" vertical="center" wrapText="1"/>
    </xf>
    <xf numFmtId="0" fontId="4" fillId="20" borderId="128" xfId="0" applyFont="1" applyFill="1" applyBorder="1" applyProtection="1"/>
    <xf numFmtId="3" fontId="10" fillId="2" borderId="199" xfId="0" applyNumberFormat="1" applyFont="1" applyFill="1" applyBorder="1" applyProtection="1">
      <protection locked="0"/>
    </xf>
    <xf numFmtId="0" fontId="6" fillId="20" borderId="92" xfId="5" applyFont="1" applyFill="1" applyBorder="1" applyProtection="1"/>
    <xf numFmtId="0" fontId="6" fillId="20" borderId="43" xfId="5" applyFont="1" applyFill="1" applyBorder="1" applyProtection="1"/>
    <xf numFmtId="0" fontId="6" fillId="20" borderId="27" xfId="5" applyFont="1" applyFill="1" applyBorder="1" applyAlignment="1" applyProtection="1">
      <alignment horizontal="left"/>
    </xf>
    <xf numFmtId="0" fontId="6" fillId="20" borderId="184" xfId="5" applyFont="1" applyFill="1" applyBorder="1" applyAlignment="1" applyProtection="1">
      <alignment horizontal="left"/>
    </xf>
    <xf numFmtId="0" fontId="4" fillId="20" borderId="55" xfId="5" applyFont="1" applyFill="1" applyBorder="1" applyAlignment="1" applyProtection="1">
      <alignment vertical="top"/>
    </xf>
    <xf numFmtId="0" fontId="4" fillId="20" borderId="55" xfId="5" applyFont="1" applyFill="1" applyBorder="1" applyAlignment="1" applyProtection="1">
      <alignment horizontal="left" vertical="center"/>
    </xf>
    <xf numFmtId="3" fontId="4" fillId="20" borderId="43" xfId="5" applyNumberFormat="1" applyFont="1" applyFill="1" applyBorder="1" applyAlignment="1" applyProtection="1">
      <alignment wrapText="1"/>
    </xf>
    <xf numFmtId="3" fontId="4" fillId="20" borderId="43" xfId="5" applyNumberFormat="1" applyFont="1" applyFill="1" applyBorder="1" applyAlignment="1" applyProtection="1">
      <alignment vertical="center" wrapText="1"/>
    </xf>
    <xf numFmtId="0" fontId="6" fillId="20" borderId="184" xfId="0" applyFont="1" applyFill="1" applyBorder="1" applyAlignment="1" applyProtection="1">
      <alignment horizontal="left"/>
    </xf>
    <xf numFmtId="0" fontId="6" fillId="20" borderId="92" xfId="0" applyFont="1" applyFill="1" applyBorder="1" applyAlignment="1" applyProtection="1">
      <alignment horizontal="left"/>
    </xf>
    <xf numFmtId="0" fontId="6" fillId="20" borderId="27" xfId="0" applyFont="1" applyFill="1" applyBorder="1" applyAlignment="1" applyProtection="1">
      <alignment horizontal="left"/>
    </xf>
    <xf numFmtId="0" fontId="6" fillId="20" borderId="43" xfId="0" applyFont="1" applyFill="1" applyBorder="1" applyAlignment="1" applyProtection="1">
      <alignment horizontal="left"/>
    </xf>
    <xf numFmtId="0" fontId="4" fillId="20" borderId="153" xfId="0" applyFont="1" applyFill="1" applyBorder="1" applyAlignment="1" applyProtection="1">
      <alignment horizontal="center"/>
    </xf>
    <xf numFmtId="0" fontId="4" fillId="20" borderId="55" xfId="5" applyFont="1" applyFill="1" applyBorder="1" applyAlignment="1" applyProtection="1">
      <alignment vertical="top" wrapText="1"/>
    </xf>
    <xf numFmtId="0" fontId="4" fillId="20" borderId="61" xfId="5" applyFont="1" applyFill="1" applyBorder="1" applyProtection="1"/>
    <xf numFmtId="1" fontId="4" fillId="20" borderId="16" xfId="5" applyNumberFormat="1" applyFont="1" applyFill="1" applyBorder="1" applyAlignment="1" applyProtection="1">
      <alignment horizontal="center"/>
    </xf>
    <xf numFmtId="1" fontId="4" fillId="20" borderId="162" xfId="5" applyNumberFormat="1" applyFont="1" applyFill="1" applyBorder="1" applyAlignment="1" applyProtection="1">
      <alignment horizontal="center"/>
    </xf>
    <xf numFmtId="3" fontId="6" fillId="20" borderId="170" xfId="5" applyNumberFormat="1" applyFont="1" applyFill="1" applyBorder="1" applyAlignment="1" applyProtection="1">
      <alignment vertical="top"/>
    </xf>
    <xf numFmtId="3" fontId="6" fillId="20" borderId="43" xfId="5" applyNumberFormat="1" applyFont="1" applyFill="1" applyBorder="1" applyAlignment="1" applyProtection="1">
      <alignment vertical="center"/>
    </xf>
    <xf numFmtId="3" fontId="6" fillId="20" borderId="43" xfId="0" applyNumberFormat="1" applyFont="1" applyFill="1" applyBorder="1" applyAlignment="1" applyProtection="1">
      <alignment vertical="center"/>
    </xf>
    <xf numFmtId="3" fontId="6" fillId="20" borderId="170" xfId="0" applyNumberFormat="1" applyFont="1" applyFill="1" applyBorder="1" applyAlignment="1" applyProtection="1">
      <alignment vertical="top"/>
    </xf>
    <xf numFmtId="0" fontId="4" fillId="20" borderId="153" xfId="5" applyFont="1" applyFill="1" applyBorder="1" applyAlignment="1" applyProtection="1">
      <alignment vertical="top" wrapText="1"/>
    </xf>
    <xf numFmtId="0" fontId="4" fillId="20" borderId="153" xfId="5" applyFont="1" applyFill="1" applyBorder="1" applyAlignment="1" applyProtection="1">
      <alignment vertical="center" wrapText="1"/>
    </xf>
    <xf numFmtId="0" fontId="4" fillId="10" borderId="57" xfId="0" applyFont="1" applyFill="1" applyBorder="1" applyAlignment="1" applyProtection="1">
      <alignment horizontal="center"/>
    </xf>
    <xf numFmtId="3" fontId="3" fillId="20" borderId="49" xfId="0" applyNumberFormat="1" applyFont="1" applyFill="1" applyBorder="1" applyAlignment="1" applyProtection="1">
      <alignment horizontal="right"/>
    </xf>
    <xf numFmtId="3" fontId="19" fillId="20" borderId="7" xfId="0" applyNumberFormat="1" applyFont="1" applyFill="1" applyBorder="1" applyProtection="1"/>
    <xf numFmtId="3" fontId="45" fillId="20" borderId="5" xfId="0" applyNumberFormat="1" applyFont="1" applyFill="1" applyBorder="1" applyProtection="1"/>
    <xf numFmtId="3" fontId="91" fillId="20" borderId="5" xfId="0" applyNumberFormat="1" applyFont="1" applyFill="1" applyBorder="1" applyProtection="1"/>
    <xf numFmtId="0" fontId="3" fillId="20" borderId="7" xfId="0" applyFont="1" applyFill="1" applyBorder="1" applyAlignment="1" applyProtection="1">
      <alignment vertical="top"/>
    </xf>
    <xf numFmtId="0" fontId="3" fillId="20" borderId="5" xfId="0" applyFont="1" applyFill="1" applyBorder="1" applyAlignment="1" applyProtection="1">
      <alignment vertical="top"/>
    </xf>
    <xf numFmtId="0" fontId="22" fillId="20" borderId="0" xfId="0" applyFont="1" applyFill="1" applyBorder="1" applyProtection="1"/>
    <xf numFmtId="0" fontId="22" fillId="20" borderId="15" xfId="0" applyFont="1" applyFill="1" applyBorder="1" applyProtection="1"/>
    <xf numFmtId="0" fontId="5" fillId="20" borderId="15" xfId="0" applyFont="1" applyFill="1" applyBorder="1" applyProtection="1"/>
    <xf numFmtId="0" fontId="9" fillId="20" borderId="202" xfId="0" applyFont="1" applyFill="1" applyBorder="1" applyAlignment="1" applyProtection="1">
      <alignment horizontal="left"/>
    </xf>
    <xf numFmtId="0" fontId="9" fillId="20" borderId="65" xfId="0" applyFont="1" applyFill="1" applyBorder="1" applyAlignment="1" applyProtection="1">
      <alignment horizontal="left"/>
    </xf>
    <xf numFmtId="0" fontId="4" fillId="20" borderId="65" xfId="0" applyFont="1" applyFill="1" applyBorder="1" applyAlignment="1" applyProtection="1">
      <alignment horizontal="left"/>
    </xf>
    <xf numFmtId="0" fontId="3" fillId="20" borderId="102" xfId="0" applyFont="1" applyFill="1" applyBorder="1" applyAlignment="1" applyProtection="1">
      <alignment vertical="top"/>
    </xf>
    <xf numFmtId="0" fontId="3" fillId="20" borderId="69" xfId="0" applyFont="1" applyFill="1" applyBorder="1" applyAlignment="1" applyProtection="1">
      <alignment vertical="top"/>
    </xf>
    <xf numFmtId="3" fontId="48" fillId="20" borderId="7" xfId="0" applyNumberFormat="1" applyFont="1" applyFill="1" applyBorder="1" applyProtection="1"/>
    <xf numFmtId="3" fontId="45" fillId="20" borderId="8" xfId="0" applyNumberFormat="1" applyFont="1" applyFill="1" applyBorder="1" applyProtection="1"/>
    <xf numFmtId="3" fontId="91" fillId="20" borderId="8" xfId="0" applyNumberFormat="1" applyFont="1" applyFill="1" applyBorder="1" applyProtection="1"/>
    <xf numFmtId="3" fontId="45" fillId="20" borderId="7" xfId="0" applyNumberFormat="1" applyFont="1" applyFill="1" applyBorder="1" applyProtection="1"/>
    <xf numFmtId="3" fontId="3" fillId="20" borderId="7" xfId="0" applyNumberFormat="1" applyFont="1" applyFill="1" applyBorder="1" applyAlignment="1" applyProtection="1">
      <alignment vertical="top"/>
    </xf>
    <xf numFmtId="3" fontId="43" fillId="20" borderId="29" xfId="0" applyNumberFormat="1" applyFont="1" applyFill="1" applyBorder="1" applyAlignment="1" applyProtection="1">
      <alignment vertical="top" wrapText="1"/>
    </xf>
    <xf numFmtId="3" fontId="3" fillId="20" borderId="45" xfId="0" applyNumberFormat="1" applyFont="1" applyFill="1" applyBorder="1" applyAlignment="1" applyProtection="1">
      <alignment horizontal="right"/>
    </xf>
    <xf numFmtId="3" fontId="43" fillId="20" borderId="141" xfId="0" applyNumberFormat="1" applyFont="1" applyFill="1" applyBorder="1" applyAlignment="1" applyProtection="1">
      <alignment vertical="top" wrapText="1"/>
    </xf>
    <xf numFmtId="169" fontId="42" fillId="20" borderId="152" xfId="0" applyNumberFormat="1" applyFont="1" applyFill="1" applyBorder="1" applyProtection="1"/>
    <xf numFmtId="3" fontId="11" fillId="20" borderId="7" xfId="0" applyNumberFormat="1" applyFont="1" applyFill="1" applyBorder="1" applyAlignment="1" applyProtection="1">
      <alignment vertical="top"/>
      <protection locked="0"/>
    </xf>
    <xf numFmtId="3" fontId="11" fillId="20" borderId="5" xfId="0" applyNumberFormat="1" applyFont="1" applyFill="1" applyBorder="1" applyAlignment="1" applyProtection="1">
      <alignment vertical="top"/>
      <protection locked="0"/>
    </xf>
    <xf numFmtId="0" fontId="3" fillId="20" borderId="5" xfId="0" applyFont="1" applyFill="1" applyBorder="1" applyAlignment="1" applyProtection="1">
      <alignment vertical="top"/>
      <protection locked="0"/>
    </xf>
    <xf numFmtId="0" fontId="3" fillId="20" borderId="155" xfId="0" applyFont="1" applyFill="1" applyBorder="1" applyAlignment="1" applyProtection="1">
      <alignment vertical="top"/>
      <protection locked="0"/>
    </xf>
    <xf numFmtId="0" fontId="3" fillId="20" borderId="67" xfId="0" applyFont="1" applyFill="1" applyBorder="1" applyAlignment="1" applyProtection="1">
      <alignment vertical="top"/>
      <protection locked="0"/>
    </xf>
    <xf numFmtId="3" fontId="19" fillId="20" borderId="14" xfId="0" applyNumberFormat="1" applyFont="1" applyFill="1" applyBorder="1" applyProtection="1"/>
    <xf numFmtId="3" fontId="45" fillId="20" borderId="17" xfId="0" applyNumberFormat="1" applyFont="1" applyFill="1" applyBorder="1" applyProtection="1"/>
    <xf numFmtId="3" fontId="91" fillId="20" borderId="17" xfId="0" applyNumberFormat="1" applyFont="1" applyFill="1" applyBorder="1" applyProtection="1"/>
    <xf numFmtId="3" fontId="3" fillId="20" borderId="7" xfId="0" applyNumberFormat="1" applyFont="1" applyFill="1" applyBorder="1" applyAlignment="1" applyProtection="1">
      <alignment vertical="top"/>
      <protection locked="0"/>
    </xf>
    <xf numFmtId="0" fontId="17" fillId="20" borderId="90" xfId="0" applyFont="1" applyFill="1" applyBorder="1" applyAlignment="1" applyProtection="1">
      <alignment wrapText="1"/>
    </xf>
    <xf numFmtId="0" fontId="10" fillId="20" borderId="186" xfId="0" applyFont="1" applyFill="1" applyBorder="1" applyProtection="1"/>
    <xf numFmtId="3" fontId="112" fillId="20" borderId="7" xfId="0" applyNumberFormat="1" applyFont="1" applyFill="1" applyBorder="1" applyProtection="1"/>
    <xf numFmtId="3" fontId="114" fillId="20" borderId="5" xfId="0" applyNumberFormat="1" applyFont="1" applyFill="1" applyBorder="1" applyProtection="1"/>
    <xf numFmtId="3" fontId="26" fillId="20" borderId="5" xfId="0" applyNumberFormat="1" applyFont="1" applyFill="1" applyBorder="1" applyProtection="1"/>
    <xf numFmtId="3" fontId="46" fillId="20" borderId="155" xfId="0" applyNumberFormat="1" applyFont="1" applyFill="1" applyBorder="1" applyProtection="1"/>
    <xf numFmtId="3" fontId="46" fillId="20" borderId="123" xfId="0" applyNumberFormat="1" applyFont="1" applyFill="1" applyBorder="1" applyProtection="1"/>
    <xf numFmtId="3" fontId="3" fillId="20" borderId="45" xfId="0" applyNumberFormat="1" applyFont="1" applyFill="1" applyBorder="1" applyAlignment="1" applyProtection="1">
      <alignment horizontal="right" vertical="top" wrapText="1"/>
    </xf>
    <xf numFmtId="3" fontId="43" fillId="20" borderId="22" xfId="0" applyNumberFormat="1" applyFont="1" applyFill="1" applyBorder="1" applyAlignment="1" applyProtection="1">
      <alignment vertical="top"/>
    </xf>
    <xf numFmtId="0" fontId="10" fillId="20" borderId="5" xfId="0" applyFont="1" applyFill="1" applyBorder="1" applyAlignment="1" applyProtection="1">
      <alignment vertical="top"/>
    </xf>
    <xf numFmtId="3" fontId="4" fillId="20" borderId="128" xfId="0" applyNumberFormat="1" applyFont="1" applyFill="1" applyBorder="1" applyProtection="1"/>
    <xf numFmtId="3" fontId="46" fillId="20" borderId="16" xfId="0" applyNumberFormat="1" applyFont="1" applyFill="1" applyBorder="1" applyProtection="1"/>
    <xf numFmtId="3" fontId="46" fillId="20" borderId="67" xfId="0" applyNumberFormat="1" applyFont="1" applyFill="1" applyBorder="1" applyProtection="1"/>
    <xf numFmtId="0" fontId="10" fillId="20" borderId="7" xfId="0" applyFont="1" applyFill="1" applyBorder="1" applyAlignment="1" applyProtection="1">
      <alignment vertical="top"/>
    </xf>
    <xf numFmtId="3" fontId="4" fillId="0" borderId="0" xfId="0" applyNumberFormat="1" applyFont="1" applyFill="1" applyBorder="1" applyAlignment="1" applyProtection="1">
      <alignment horizontal="center"/>
    </xf>
    <xf numFmtId="3" fontId="6" fillId="0" borderId="0" xfId="0" applyNumberFormat="1" applyFont="1" applyFill="1" applyBorder="1" applyAlignment="1" applyProtection="1"/>
    <xf numFmtId="3" fontId="9" fillId="0" borderId="0" xfId="0" applyNumberFormat="1" applyFont="1" applyFill="1" applyBorder="1" applyAlignment="1" applyProtection="1"/>
    <xf numFmtId="3" fontId="9" fillId="20" borderId="12" xfId="0" applyNumberFormat="1" applyFont="1" applyFill="1" applyBorder="1" applyAlignment="1" applyProtection="1"/>
    <xf numFmtId="3" fontId="14" fillId="2" borderId="63" xfId="0" applyNumberFormat="1" applyFont="1" applyFill="1" applyBorder="1" applyAlignment="1" applyProtection="1">
      <alignment horizontal="right"/>
      <protection locked="0"/>
    </xf>
    <xf numFmtId="0" fontId="113" fillId="0" borderId="0" xfId="0" applyFont="1" applyFill="1" applyProtection="1"/>
    <xf numFmtId="0" fontId="113" fillId="0" borderId="0" xfId="0" applyFont="1" applyFill="1" applyBorder="1" applyProtection="1"/>
    <xf numFmtId="0" fontId="113" fillId="2" borderId="0" xfId="0" applyFont="1" applyFill="1" applyBorder="1" applyProtection="1"/>
    <xf numFmtId="3" fontId="113" fillId="2" borderId="0" xfId="0" applyNumberFormat="1" applyFont="1" applyFill="1" applyBorder="1" applyProtection="1"/>
    <xf numFmtId="0" fontId="25" fillId="20" borderId="5" xfId="0" applyFont="1" applyFill="1" applyBorder="1" applyProtection="1"/>
    <xf numFmtId="0" fontId="2" fillId="20" borderId="5" xfId="0" applyFont="1" applyFill="1" applyBorder="1" applyProtection="1"/>
    <xf numFmtId="3" fontId="120" fillId="20" borderId="5" xfId="0" applyNumberFormat="1" applyFont="1" applyFill="1" applyBorder="1" applyAlignment="1" applyProtection="1"/>
    <xf numFmtId="3" fontId="46" fillId="22" borderId="133" xfId="0" applyNumberFormat="1" applyFont="1" applyFill="1" applyBorder="1" applyProtection="1"/>
    <xf numFmtId="3" fontId="37" fillId="2" borderId="0" xfId="0" applyNumberFormat="1" applyFont="1" applyFill="1" applyAlignment="1" applyProtection="1">
      <alignment vertical="top" wrapText="1"/>
    </xf>
    <xf numFmtId="0" fontId="117" fillId="0" borderId="0" xfId="0" applyFont="1" applyFill="1" applyProtection="1"/>
    <xf numFmtId="0" fontId="4" fillId="20" borderId="25" xfId="5" applyFont="1" applyFill="1" applyBorder="1" applyProtection="1"/>
    <xf numFmtId="3" fontId="112" fillId="0" borderId="0" xfId="0" applyNumberFormat="1" applyFont="1" applyFill="1" applyBorder="1" applyAlignment="1" applyProtection="1">
      <alignment vertical="top"/>
    </xf>
    <xf numFmtId="3" fontId="3" fillId="0" borderId="18" xfId="0" applyNumberFormat="1" applyFont="1" applyFill="1" applyBorder="1" applyProtection="1">
      <protection locked="0"/>
    </xf>
    <xf numFmtId="3" fontId="10" fillId="0" borderId="0" xfId="0" applyNumberFormat="1" applyFont="1" applyFill="1" applyBorder="1" applyProtection="1">
      <protection locked="0"/>
    </xf>
    <xf numFmtId="3" fontId="3" fillId="0" borderId="0" xfId="0" applyNumberFormat="1" applyFont="1" applyFill="1" applyBorder="1" applyAlignment="1" applyProtection="1">
      <alignment horizontal="right"/>
      <protection locked="0"/>
    </xf>
    <xf numFmtId="49" fontId="4" fillId="20" borderId="203" xfId="0" applyNumberFormat="1" applyFont="1" applyFill="1" applyBorder="1" applyAlignment="1" applyProtection="1">
      <alignment horizontal="left"/>
    </xf>
    <xf numFmtId="0" fontId="52" fillId="2" borderId="163" xfId="0" applyFont="1" applyFill="1" applyBorder="1" applyProtection="1"/>
    <xf numFmtId="0" fontId="52" fillId="2" borderId="161" xfId="0" applyFont="1" applyFill="1" applyBorder="1" applyProtection="1"/>
    <xf numFmtId="3" fontId="3" fillId="2" borderId="42" xfId="0" applyNumberFormat="1" applyFont="1" applyFill="1" applyBorder="1" applyAlignment="1" applyProtection="1">
      <alignment horizontal="right"/>
      <protection locked="0"/>
    </xf>
    <xf numFmtId="0" fontId="0" fillId="2" borderId="56" xfId="0" applyFill="1" applyBorder="1" applyProtection="1"/>
    <xf numFmtId="0" fontId="3" fillId="0" borderId="0" xfId="0" applyFont="1" applyBorder="1" applyAlignment="1" applyProtection="1">
      <alignment wrapText="1"/>
      <protection locked="0"/>
    </xf>
    <xf numFmtId="0" fontId="52" fillId="2" borderId="1" xfId="0" applyFont="1" applyFill="1" applyBorder="1" applyProtection="1"/>
    <xf numFmtId="0" fontId="0" fillId="2" borderId="61" xfId="0" applyFill="1" applyBorder="1" applyProtection="1"/>
    <xf numFmtId="49" fontId="4" fillId="0" borderId="197" xfId="0" applyNumberFormat="1" applyFont="1" applyFill="1" applyBorder="1" applyAlignment="1" applyProtection="1">
      <alignment horizontal="center"/>
    </xf>
    <xf numFmtId="0" fontId="52" fillId="2" borderId="42" xfId="0" applyFont="1" applyFill="1" applyBorder="1" applyProtection="1"/>
    <xf numFmtId="3" fontId="3" fillId="9" borderId="81" xfId="0" applyNumberFormat="1" applyFont="1" applyFill="1" applyBorder="1" applyProtection="1"/>
    <xf numFmtId="3" fontId="14" fillId="2" borderId="35" xfId="0" applyNumberFormat="1" applyFont="1" applyFill="1" applyBorder="1" applyAlignment="1" applyProtection="1">
      <alignment horizontal="right"/>
      <protection locked="0"/>
    </xf>
    <xf numFmtId="3" fontId="14" fillId="2" borderId="39" xfId="0" applyNumberFormat="1" applyFont="1" applyFill="1" applyBorder="1" applyAlignment="1" applyProtection="1">
      <alignment horizontal="right"/>
      <protection locked="0"/>
    </xf>
    <xf numFmtId="0" fontId="4" fillId="20" borderId="128" xfId="0" applyFont="1" applyFill="1" applyBorder="1" applyAlignment="1" applyProtection="1">
      <alignment horizontal="center"/>
    </xf>
    <xf numFmtId="3" fontId="3" fillId="0" borderId="36" xfId="0" applyNumberFormat="1" applyFont="1" applyFill="1" applyBorder="1" applyProtection="1"/>
    <xf numFmtId="0" fontId="112" fillId="2" borderId="0" xfId="0" applyFont="1" applyFill="1" applyBorder="1" applyProtection="1"/>
    <xf numFmtId="167" fontId="6" fillId="20" borderId="142" xfId="0" applyNumberFormat="1" applyFont="1" applyFill="1" applyBorder="1" applyAlignment="1" applyProtection="1">
      <alignment horizontal="left"/>
    </xf>
    <xf numFmtId="3" fontId="14" fillId="2" borderId="103" xfId="0" applyNumberFormat="1" applyFont="1" applyFill="1" applyBorder="1" applyAlignment="1" applyProtection="1">
      <alignment horizontal="right"/>
      <protection locked="0"/>
    </xf>
    <xf numFmtId="167" fontId="6" fillId="20" borderId="91" xfId="0" applyNumberFormat="1" applyFont="1" applyFill="1" applyBorder="1" applyAlignment="1" applyProtection="1">
      <alignment horizontal="left"/>
    </xf>
    <xf numFmtId="167" fontId="4" fillId="20" borderId="55" xfId="0" applyNumberFormat="1" applyFont="1" applyFill="1" applyBorder="1" applyAlignment="1" applyProtection="1">
      <alignment horizontal="left"/>
    </xf>
    <xf numFmtId="0" fontId="4" fillId="20" borderId="34" xfId="0" applyNumberFormat="1" applyFont="1" applyFill="1" applyBorder="1" applyAlignment="1" applyProtection="1">
      <alignment horizontal="center"/>
    </xf>
    <xf numFmtId="49" fontId="4" fillId="20" borderId="35" xfId="0" applyNumberFormat="1" applyFont="1" applyFill="1" applyBorder="1" applyAlignment="1" applyProtection="1">
      <alignment horizontal="center" wrapText="1"/>
    </xf>
    <xf numFmtId="3" fontId="3" fillId="9" borderId="26" xfId="0" applyNumberFormat="1" applyFont="1" applyFill="1" applyBorder="1" applyAlignment="1" applyProtection="1"/>
    <xf numFmtId="1" fontId="121" fillId="20" borderId="86" xfId="0" applyNumberFormat="1" applyFont="1" applyFill="1" applyBorder="1" applyAlignment="1" applyProtection="1">
      <alignment horizontal="left" vertical="top" wrapText="1"/>
    </xf>
    <xf numFmtId="0" fontId="4" fillId="20" borderId="191" xfId="0" applyFont="1" applyFill="1" applyBorder="1" applyAlignment="1" applyProtection="1">
      <alignment wrapText="1"/>
    </xf>
    <xf numFmtId="0" fontId="4" fillId="20" borderId="199" xfId="0" applyFont="1" applyFill="1" applyBorder="1" applyAlignment="1" applyProtection="1">
      <alignment horizontal="left" wrapText="1"/>
    </xf>
    <xf numFmtId="0" fontId="123" fillId="20" borderId="145" xfId="0" applyFont="1" applyFill="1" applyBorder="1" applyProtection="1"/>
    <xf numFmtId="3" fontId="3" fillId="3" borderId="110" xfId="0" applyNumberFormat="1" applyFont="1" applyFill="1" applyBorder="1" applyProtection="1"/>
    <xf numFmtId="3" fontId="3" fillId="3" borderId="7" xfId="0" applyNumberFormat="1" applyFont="1" applyFill="1" applyBorder="1" applyProtection="1"/>
    <xf numFmtId="3" fontId="11" fillId="2" borderId="6" xfId="0" quotePrefix="1" applyNumberFormat="1" applyFont="1" applyFill="1" applyBorder="1" applyAlignment="1" applyProtection="1">
      <alignment horizontal="right"/>
      <protection locked="0"/>
    </xf>
    <xf numFmtId="3" fontId="11" fillId="0" borderId="6" xfId="0" quotePrefix="1" applyNumberFormat="1" applyFont="1" applyFill="1" applyBorder="1" applyAlignment="1" applyProtection="1">
      <alignment horizontal="right"/>
      <protection locked="0"/>
    </xf>
    <xf numFmtId="3" fontId="3" fillId="9" borderId="171" xfId="0" applyNumberFormat="1" applyFont="1" applyFill="1" applyBorder="1" applyAlignment="1" applyProtection="1"/>
    <xf numFmtId="3" fontId="3" fillId="9" borderId="87" xfId="0" applyNumberFormat="1" applyFont="1" applyFill="1" applyBorder="1" applyAlignment="1" applyProtection="1"/>
    <xf numFmtId="1" fontId="3" fillId="0" borderId="0" xfId="0" applyNumberFormat="1" applyFont="1" applyFill="1" applyBorder="1" applyAlignment="1" applyProtection="1">
      <alignment horizontal="left" vertical="top"/>
    </xf>
    <xf numFmtId="3" fontId="3" fillId="0" borderId="18" xfId="5" applyNumberFormat="1" applyFont="1" applyFill="1" applyBorder="1" applyAlignment="1" applyProtection="1">
      <alignment horizontal="right"/>
      <protection locked="0"/>
    </xf>
    <xf numFmtId="0" fontId="4" fillId="20" borderId="23" xfId="0" applyFont="1" applyFill="1" applyBorder="1" applyAlignment="1" applyProtection="1">
      <alignment horizontal="left" vertical="top" wrapText="1"/>
    </xf>
    <xf numFmtId="0" fontId="4" fillId="20" borderId="23" xfId="5" applyFont="1" applyFill="1" applyBorder="1" applyAlignment="1" applyProtection="1">
      <alignment horizontal="left" vertical="top" wrapText="1"/>
    </xf>
    <xf numFmtId="0" fontId="3" fillId="0" borderId="0" xfId="0" quotePrefix="1" applyFont="1" applyFill="1" applyBorder="1" applyAlignment="1" applyProtection="1">
      <alignment vertical="top"/>
    </xf>
    <xf numFmtId="49" fontId="4" fillId="20" borderId="0" xfId="5" applyNumberFormat="1" applyFont="1" applyFill="1" applyBorder="1" applyAlignment="1" applyProtection="1">
      <alignment horizontal="center"/>
    </xf>
    <xf numFmtId="0" fontId="4" fillId="20" borderId="36" xfId="5" applyFont="1" applyFill="1" applyBorder="1" applyAlignment="1" applyProtection="1">
      <alignment horizontal="left" vertical="top" wrapText="1"/>
    </xf>
    <xf numFmtId="0" fontId="6" fillId="20" borderId="15" xfId="5" applyFont="1" applyFill="1" applyBorder="1" applyProtection="1"/>
    <xf numFmtId="0" fontId="4" fillId="20" borderId="41" xfId="5" applyFont="1" applyFill="1" applyBorder="1" applyProtection="1"/>
    <xf numFmtId="3" fontId="3" fillId="3" borderId="62" xfId="5" applyNumberFormat="1" applyFont="1" applyFill="1" applyBorder="1" applyAlignment="1" applyProtection="1">
      <alignment horizontal="right"/>
    </xf>
    <xf numFmtId="0" fontId="37" fillId="2" borderId="0" xfId="5" applyFont="1" applyFill="1" applyBorder="1" applyAlignment="1" applyProtection="1">
      <alignment horizontal="left" vertical="top"/>
    </xf>
    <xf numFmtId="3" fontId="3" fillId="3" borderId="80" xfId="5" applyNumberFormat="1" applyFont="1" applyFill="1" applyBorder="1" applyAlignment="1" applyProtection="1">
      <alignment horizontal="right"/>
    </xf>
    <xf numFmtId="0" fontId="6" fillId="20" borderId="113" xfId="5" applyFont="1" applyFill="1" applyBorder="1" applyAlignment="1" applyProtection="1">
      <alignment horizontal="left"/>
    </xf>
    <xf numFmtId="0" fontId="3" fillId="0" borderId="0" xfId="5" applyFont="1" applyFill="1" applyBorder="1" applyAlignment="1" applyProtection="1">
      <alignment vertical="top"/>
    </xf>
    <xf numFmtId="0" fontId="4" fillId="20" borderId="15" xfId="5" applyFont="1" applyFill="1" applyBorder="1" applyProtection="1"/>
    <xf numFmtId="3" fontId="3" fillId="0" borderId="2" xfId="5" applyNumberFormat="1" applyFont="1" applyFill="1" applyBorder="1" applyAlignment="1" applyProtection="1">
      <alignment horizontal="right"/>
      <protection locked="0"/>
    </xf>
    <xf numFmtId="3" fontId="3" fillId="0" borderId="15" xfId="5" applyNumberFormat="1" applyFont="1" applyFill="1" applyBorder="1" applyAlignment="1" applyProtection="1">
      <alignment horizontal="right"/>
      <protection locked="0"/>
    </xf>
    <xf numFmtId="3" fontId="3" fillId="0" borderId="59" xfId="5" applyNumberFormat="1" applyFont="1" applyFill="1" applyBorder="1" applyAlignment="1" applyProtection="1">
      <alignment horizontal="right"/>
      <protection locked="0"/>
    </xf>
    <xf numFmtId="0" fontId="2" fillId="2" borderId="0" xfId="5" applyFont="1" applyFill="1" applyAlignment="1" applyProtection="1">
      <alignment vertical="top"/>
    </xf>
    <xf numFmtId="3" fontId="37" fillId="2" borderId="0" xfId="5" applyNumberFormat="1" applyFont="1" applyFill="1" applyAlignment="1" applyProtection="1">
      <alignment vertical="top"/>
    </xf>
    <xf numFmtId="0" fontId="69" fillId="2" borderId="0" xfId="5" applyFont="1" applyFill="1" applyAlignment="1" applyProtection="1">
      <alignment vertical="top"/>
    </xf>
    <xf numFmtId="0" fontId="25" fillId="2" borderId="0" xfId="5" applyFill="1" applyBorder="1" applyAlignment="1" applyProtection="1">
      <alignment horizontal="left" vertical="top"/>
    </xf>
    <xf numFmtId="0" fontId="25" fillId="2" borderId="0" xfId="5" applyFill="1" applyAlignment="1" applyProtection="1">
      <alignment vertical="top"/>
    </xf>
    <xf numFmtId="0" fontId="70" fillId="2" borderId="0" xfId="5" applyFont="1" applyFill="1" applyAlignment="1" applyProtection="1">
      <alignment vertical="top"/>
    </xf>
    <xf numFmtId="3" fontId="4" fillId="20" borderId="20" xfId="0" applyNumberFormat="1" applyFont="1" applyFill="1" applyBorder="1" applyAlignment="1" applyProtection="1">
      <alignment horizontal="center"/>
    </xf>
    <xf numFmtId="3" fontId="3" fillId="20" borderId="35" xfId="5" applyNumberFormat="1" applyFont="1" applyFill="1" applyBorder="1" applyProtection="1"/>
    <xf numFmtId="3" fontId="4" fillId="20" borderId="153" xfId="5" applyNumberFormat="1" applyFont="1" applyFill="1" applyBorder="1" applyProtection="1"/>
    <xf numFmtId="0" fontId="8" fillId="20" borderId="170" xfId="5" applyFont="1" applyFill="1" applyBorder="1" applyProtection="1"/>
    <xf numFmtId="3" fontId="3" fillId="20" borderId="5" xfId="5" applyNumberFormat="1" applyFont="1" applyFill="1" applyBorder="1" applyProtection="1"/>
    <xf numFmtId="3" fontId="43" fillId="20" borderId="38" xfId="5" applyNumberFormat="1" applyFont="1" applyFill="1" applyBorder="1" applyAlignment="1" applyProtection="1">
      <alignment horizontal="right"/>
    </xf>
    <xf numFmtId="169" fontId="42" fillId="20" borderId="145" xfId="5" applyNumberFormat="1" applyFont="1" applyFill="1" applyBorder="1" applyProtection="1"/>
    <xf numFmtId="169" fontId="42" fillId="20" borderId="185" xfId="5" applyNumberFormat="1" applyFont="1" applyFill="1" applyBorder="1" applyProtection="1"/>
    <xf numFmtId="0" fontId="4" fillId="20" borderId="151" xfId="5" applyFont="1" applyFill="1" applyBorder="1" applyProtection="1"/>
    <xf numFmtId="3" fontId="6" fillId="20" borderId="107" xfId="5" applyNumberFormat="1" applyFont="1" applyFill="1" applyBorder="1" applyAlignment="1" applyProtection="1">
      <alignment vertical="top"/>
    </xf>
    <xf numFmtId="3" fontId="4" fillId="20" borderId="0" xfId="5" applyNumberFormat="1" applyFont="1" applyFill="1" applyBorder="1" applyAlignment="1" applyProtection="1">
      <alignment vertical="top"/>
    </xf>
    <xf numFmtId="169" fontId="4" fillId="20" borderId="1" xfId="5" applyNumberFormat="1" applyFont="1" applyFill="1" applyBorder="1" applyProtection="1"/>
    <xf numFmtId="3" fontId="3" fillId="20" borderId="67" xfId="5" applyNumberFormat="1" applyFont="1" applyFill="1" applyBorder="1" applyProtection="1"/>
    <xf numFmtId="3" fontId="46" fillId="20" borderId="35" xfId="5" applyNumberFormat="1" applyFont="1" applyFill="1" applyBorder="1" applyProtection="1"/>
    <xf numFmtId="3" fontId="4" fillId="20" borderId="167" xfId="5" applyNumberFormat="1" applyFont="1" applyFill="1" applyBorder="1" applyAlignment="1" applyProtection="1">
      <alignment vertical="top" wrapText="1"/>
    </xf>
    <xf numFmtId="0" fontId="4" fillId="20" borderId="163" xfId="5" applyFont="1" applyFill="1" applyBorder="1" applyAlignment="1" applyProtection="1">
      <alignment vertical="top" wrapText="1"/>
    </xf>
    <xf numFmtId="3" fontId="4" fillId="20" borderId="153" xfId="5" applyNumberFormat="1" applyFont="1" applyFill="1" applyBorder="1" applyAlignment="1" applyProtection="1">
      <alignment vertical="center"/>
    </xf>
    <xf numFmtId="0" fontId="4" fillId="20" borderId="16" xfId="5" applyFont="1" applyFill="1" applyBorder="1" applyAlignment="1" applyProtection="1">
      <alignment horizontal="left" vertical="center"/>
    </xf>
    <xf numFmtId="0" fontId="4" fillId="20" borderId="16" xfId="5" applyFont="1" applyFill="1" applyBorder="1" applyAlignment="1" applyProtection="1">
      <alignment vertical="top"/>
    </xf>
    <xf numFmtId="3" fontId="3" fillId="20" borderId="15" xfId="5" applyNumberFormat="1" applyFont="1" applyFill="1" applyBorder="1" applyProtection="1"/>
    <xf numFmtId="3" fontId="3" fillId="20" borderId="13" xfId="5" applyNumberFormat="1" applyFont="1" applyFill="1" applyBorder="1" applyProtection="1"/>
    <xf numFmtId="0" fontId="4" fillId="20" borderId="184" xfId="0" applyFont="1" applyFill="1" applyBorder="1" applyAlignment="1" applyProtection="1"/>
    <xf numFmtId="3" fontId="4" fillId="20" borderId="151" xfId="0" applyNumberFormat="1" applyFont="1" applyFill="1" applyBorder="1" applyAlignment="1" applyProtection="1"/>
    <xf numFmtId="3" fontId="4" fillId="20" borderId="153" xfId="0" applyNumberFormat="1" applyFont="1" applyFill="1" applyBorder="1" applyAlignment="1" applyProtection="1"/>
    <xf numFmtId="0" fontId="0" fillId="2" borderId="0" xfId="0" applyFill="1" applyAlignment="1" applyProtection="1"/>
    <xf numFmtId="0" fontId="4" fillId="20" borderId="113" xfId="0" applyFont="1" applyFill="1" applyBorder="1" applyAlignment="1" applyProtection="1"/>
    <xf numFmtId="3" fontId="6" fillId="20" borderId="92" xfId="0" applyNumberFormat="1" applyFont="1" applyFill="1" applyBorder="1" applyAlignment="1" applyProtection="1"/>
    <xf numFmtId="3" fontId="3" fillId="9" borderId="5" xfId="0" applyNumberFormat="1" applyFont="1" applyFill="1" applyBorder="1" applyAlignment="1" applyProtection="1"/>
    <xf numFmtId="0" fontId="4" fillId="20" borderId="55" xfId="0" applyFont="1" applyFill="1" applyBorder="1" applyAlignment="1" applyProtection="1"/>
    <xf numFmtId="0" fontId="4" fillId="20" borderId="107" xfId="5" applyFont="1" applyFill="1" applyBorder="1" applyAlignment="1" applyProtection="1"/>
    <xf numFmtId="0" fontId="4" fillId="20" borderId="61" xfId="5" applyFont="1" applyFill="1" applyBorder="1" applyAlignment="1" applyProtection="1"/>
    <xf numFmtId="0" fontId="4" fillId="20" borderId="0" xfId="0" applyFont="1" applyFill="1" applyBorder="1" applyAlignment="1" applyProtection="1"/>
    <xf numFmtId="0" fontId="4" fillId="20" borderId="162" xfId="0" applyFont="1" applyFill="1" applyBorder="1" applyAlignment="1" applyProtection="1"/>
    <xf numFmtId="0" fontId="4" fillId="20" borderId="153" xfId="0" applyFont="1" applyFill="1" applyBorder="1" applyAlignment="1" applyProtection="1"/>
    <xf numFmtId="0" fontId="4" fillId="20" borderId="142" xfId="0" applyFont="1" applyFill="1" applyBorder="1" applyAlignment="1" applyProtection="1"/>
    <xf numFmtId="0" fontId="6" fillId="20" borderId="53" xfId="0" applyFont="1" applyFill="1" applyBorder="1" applyAlignment="1" applyProtection="1"/>
    <xf numFmtId="3" fontId="3" fillId="9" borderId="35" xfId="0" applyNumberFormat="1" applyFont="1" applyFill="1" applyBorder="1" applyAlignment="1" applyProtection="1"/>
    <xf numFmtId="3" fontId="3" fillId="9" borderId="131" xfId="0" applyNumberFormat="1" applyFont="1" applyFill="1" applyBorder="1" applyAlignment="1" applyProtection="1"/>
    <xf numFmtId="0" fontId="4" fillId="20" borderId="5" xfId="0" applyFont="1" applyFill="1" applyBorder="1" applyAlignment="1" applyProtection="1"/>
    <xf numFmtId="0" fontId="6" fillId="20" borderId="5" xfId="0" applyFont="1" applyFill="1" applyBorder="1" applyAlignment="1" applyProtection="1"/>
    <xf numFmtId="0" fontId="6" fillId="20" borderId="54" xfId="0" applyFont="1" applyFill="1" applyBorder="1" applyAlignment="1" applyProtection="1"/>
    <xf numFmtId="3" fontId="3" fillId="9" borderId="2" xfId="0" applyNumberFormat="1" applyFont="1" applyFill="1" applyBorder="1" applyAlignment="1" applyProtection="1"/>
    <xf numFmtId="3" fontId="3" fillId="9" borderId="53" xfId="0" applyNumberFormat="1" applyFont="1" applyFill="1" applyBorder="1" applyAlignment="1" applyProtection="1"/>
    <xf numFmtId="0" fontId="4" fillId="20" borderId="2" xfId="0" applyFont="1" applyFill="1" applyBorder="1" applyAlignment="1" applyProtection="1"/>
    <xf numFmtId="0" fontId="6" fillId="20" borderId="2" xfId="0" applyFont="1" applyFill="1" applyBorder="1" applyAlignment="1" applyProtection="1"/>
    <xf numFmtId="0" fontId="6" fillId="20" borderId="13" xfId="0" applyFont="1" applyFill="1" applyBorder="1" applyAlignment="1" applyProtection="1"/>
    <xf numFmtId="0" fontId="11" fillId="0" borderId="0" xfId="0" applyFont="1" applyFill="1" applyBorder="1" applyAlignment="1" applyProtection="1"/>
    <xf numFmtId="0" fontId="25" fillId="0" borderId="0" xfId="0" applyFont="1" applyFill="1" applyAlignment="1" applyProtection="1"/>
    <xf numFmtId="0" fontId="25" fillId="0" borderId="0" xfId="0" applyFont="1" applyFill="1" applyBorder="1" applyAlignment="1" applyProtection="1"/>
    <xf numFmtId="1" fontId="4" fillId="20" borderId="85" xfId="0" applyNumberFormat="1" applyFont="1" applyFill="1" applyBorder="1" applyAlignment="1" applyProtection="1">
      <alignment horizontal="center" vertical="top" wrapText="1"/>
    </xf>
    <xf numFmtId="3" fontId="4" fillId="20" borderId="153" xfId="0" applyNumberFormat="1" applyFont="1" applyFill="1" applyBorder="1" applyAlignment="1" applyProtection="1">
      <alignment vertical="top"/>
    </xf>
    <xf numFmtId="3" fontId="43" fillId="0" borderId="0" xfId="5" applyNumberFormat="1" applyFont="1" applyFill="1" applyBorder="1" applyAlignment="1" applyProtection="1">
      <alignment horizontal="right"/>
    </xf>
    <xf numFmtId="3" fontId="112" fillId="2" borderId="0" xfId="0" applyNumberFormat="1" applyFont="1" applyFill="1" applyProtection="1"/>
    <xf numFmtId="3" fontId="3" fillId="0" borderId="7" xfId="0" applyNumberFormat="1" applyFont="1" applyFill="1" applyBorder="1" applyAlignment="1" applyProtection="1">
      <alignment horizontal="right"/>
      <protection locked="0"/>
    </xf>
    <xf numFmtId="0" fontId="112" fillId="2" borderId="0" xfId="0" applyFont="1" applyFill="1" applyBorder="1" applyAlignment="1" applyProtection="1">
      <alignment horizontal="left"/>
    </xf>
    <xf numFmtId="0" fontId="112" fillId="2" borderId="0" xfId="0" applyFont="1" applyFill="1" applyBorder="1" applyAlignment="1" applyProtection="1"/>
    <xf numFmtId="3" fontId="43" fillId="0" borderId="119" xfId="5" applyNumberFormat="1" applyFont="1" applyFill="1" applyBorder="1" applyAlignment="1" applyProtection="1">
      <alignment horizontal="right"/>
    </xf>
    <xf numFmtId="49" fontId="4" fillId="20" borderId="125" xfId="0" applyNumberFormat="1" applyFont="1" applyFill="1" applyBorder="1" applyAlignment="1" applyProtection="1">
      <alignment horizontal="left"/>
    </xf>
    <xf numFmtId="49" fontId="4" fillId="20" borderId="165" xfId="0" applyNumberFormat="1" applyFont="1" applyFill="1" applyBorder="1" applyProtection="1"/>
    <xf numFmtId="3" fontId="11" fillId="27" borderId="155" xfId="0" applyNumberFormat="1" applyFont="1" applyFill="1" applyBorder="1" applyProtection="1"/>
    <xf numFmtId="3" fontId="11" fillId="27" borderId="67" xfId="0" applyNumberFormat="1" applyFont="1" applyFill="1" applyBorder="1" applyProtection="1"/>
    <xf numFmtId="3" fontId="11" fillId="27" borderId="68" xfId="0" applyNumberFormat="1" applyFont="1" applyFill="1" applyBorder="1" applyProtection="1"/>
    <xf numFmtId="1" fontId="4" fillId="20" borderId="205" xfId="0" applyNumberFormat="1" applyFont="1" applyFill="1" applyBorder="1" applyAlignment="1" applyProtection="1">
      <alignment horizontal="left"/>
    </xf>
    <xf numFmtId="1" fontId="4" fillId="20" borderId="205" xfId="0" applyNumberFormat="1" applyFont="1" applyFill="1" applyBorder="1" applyProtection="1"/>
    <xf numFmtId="1" fontId="3" fillId="20" borderId="206" xfId="0" applyNumberFormat="1" applyFont="1" applyFill="1" applyBorder="1" applyAlignment="1" applyProtection="1"/>
    <xf numFmtId="1" fontId="124" fillId="20" borderId="208" xfId="0" applyNumberFormat="1" applyFont="1" applyFill="1" applyBorder="1" applyProtection="1"/>
    <xf numFmtId="1" fontId="125" fillId="20" borderId="207" xfId="0" applyNumberFormat="1" applyFont="1" applyFill="1" applyBorder="1" applyAlignment="1" applyProtection="1"/>
    <xf numFmtId="1" fontId="124" fillId="20" borderId="209" xfId="0" applyNumberFormat="1" applyFont="1" applyFill="1" applyBorder="1" applyProtection="1"/>
    <xf numFmtId="1" fontId="124" fillId="20" borderId="210" xfId="0" applyNumberFormat="1" applyFont="1" applyFill="1" applyBorder="1" applyProtection="1"/>
    <xf numFmtId="1" fontId="125" fillId="20" borderId="173" xfId="0" applyNumberFormat="1" applyFont="1" applyFill="1" applyBorder="1" applyAlignment="1" applyProtection="1"/>
    <xf numFmtId="1" fontId="125" fillId="20" borderId="38" xfId="0" applyNumberFormat="1" applyFont="1" applyFill="1" applyBorder="1" applyAlignment="1" applyProtection="1"/>
    <xf numFmtId="1" fontId="125" fillId="20" borderId="58" xfId="0" applyNumberFormat="1" applyFont="1" applyFill="1" applyBorder="1" applyAlignment="1" applyProtection="1"/>
    <xf numFmtId="1" fontId="125" fillId="20" borderId="0" xfId="0" applyNumberFormat="1" applyFont="1" applyFill="1" applyBorder="1" applyAlignment="1" applyProtection="1"/>
    <xf numFmtId="0" fontId="118" fillId="20" borderId="38" xfId="0" applyNumberFormat="1" applyFont="1" applyFill="1" applyBorder="1" applyAlignment="1" applyProtection="1"/>
    <xf numFmtId="0" fontId="118" fillId="20" borderId="65" xfId="0" applyNumberFormat="1" applyFont="1" applyFill="1" applyBorder="1" applyAlignment="1" applyProtection="1"/>
    <xf numFmtId="0" fontId="118" fillId="20" borderId="173" xfId="0" applyNumberFormat="1" applyFont="1" applyFill="1" applyBorder="1" applyAlignment="1" applyProtection="1"/>
    <xf numFmtId="49" fontId="125" fillId="20" borderId="38" xfId="0" applyNumberFormat="1" applyFont="1" applyFill="1" applyBorder="1" applyAlignment="1" applyProtection="1"/>
    <xf numFmtId="0" fontId="118" fillId="20" borderId="58" xfId="0" applyNumberFormat="1" applyFont="1" applyFill="1" applyBorder="1" applyAlignment="1" applyProtection="1"/>
    <xf numFmtId="3" fontId="3" fillId="2" borderId="87" xfId="0" applyNumberFormat="1" applyFont="1" applyFill="1" applyBorder="1" applyAlignment="1" applyProtection="1">
      <alignment horizontal="right"/>
      <protection locked="0"/>
    </xf>
    <xf numFmtId="0" fontId="25" fillId="20" borderId="154" xfId="5" applyFont="1" applyFill="1" applyBorder="1" applyAlignment="1" applyProtection="1">
      <alignment horizontal="left" wrapText="1"/>
    </xf>
    <xf numFmtId="169" fontId="42" fillId="20" borderId="154" xfId="5" applyNumberFormat="1" applyFont="1" applyFill="1" applyBorder="1" applyProtection="1"/>
    <xf numFmtId="0" fontId="25" fillId="20" borderId="154" xfId="5" applyFill="1" applyBorder="1" applyProtection="1"/>
    <xf numFmtId="3" fontId="43" fillId="20" borderId="154" xfId="5" applyNumberFormat="1" applyFont="1" applyFill="1" applyBorder="1" applyProtection="1"/>
    <xf numFmtId="3" fontId="3" fillId="20" borderId="32" xfId="5" applyNumberFormat="1" applyFont="1" applyFill="1" applyBorder="1" applyAlignment="1" applyProtection="1">
      <alignment horizontal="right"/>
    </xf>
    <xf numFmtId="3" fontId="3" fillId="20" borderId="31" xfId="5" applyNumberFormat="1" applyFont="1" applyFill="1" applyBorder="1" applyAlignment="1" applyProtection="1">
      <alignment horizontal="right"/>
    </xf>
    <xf numFmtId="3" fontId="3" fillId="20" borderId="33" xfId="5" applyNumberFormat="1" applyFont="1" applyFill="1" applyBorder="1" applyAlignment="1" applyProtection="1">
      <alignment horizontal="right"/>
    </xf>
    <xf numFmtId="3" fontId="3" fillId="20" borderId="114" xfId="5" applyNumberFormat="1" applyFont="1" applyFill="1" applyBorder="1" applyAlignment="1" applyProtection="1">
      <alignment horizontal="right"/>
    </xf>
    <xf numFmtId="3" fontId="3" fillId="20" borderId="99" xfId="5" applyNumberFormat="1" applyFont="1" applyFill="1" applyBorder="1" applyAlignment="1" applyProtection="1">
      <alignment horizontal="right"/>
    </xf>
    <xf numFmtId="3" fontId="3" fillId="20" borderId="204" xfId="5" applyNumberFormat="1" applyFont="1" applyFill="1" applyBorder="1" applyAlignment="1" applyProtection="1">
      <alignment horizontal="right"/>
    </xf>
    <xf numFmtId="3" fontId="3" fillId="20" borderId="201" xfId="5" applyNumberFormat="1" applyFont="1" applyFill="1" applyBorder="1" applyAlignment="1" applyProtection="1">
      <alignment horizontal="right"/>
    </xf>
    <xf numFmtId="3" fontId="3" fillId="20" borderId="33" xfId="5" applyNumberFormat="1" applyFont="1" applyFill="1" applyBorder="1" applyProtection="1"/>
    <xf numFmtId="0" fontId="25" fillId="20" borderId="174" xfId="5" applyFill="1" applyBorder="1" applyProtection="1"/>
    <xf numFmtId="3" fontId="46" fillId="21" borderId="125" xfId="0" applyNumberFormat="1" applyFont="1" applyFill="1" applyBorder="1" applyProtection="1"/>
    <xf numFmtId="0" fontId="0" fillId="0" borderId="56" xfId="0" applyFill="1" applyBorder="1" applyProtection="1"/>
    <xf numFmtId="3" fontId="112" fillId="0" borderId="119" xfId="5" applyNumberFormat="1" applyFont="1" applyFill="1" applyBorder="1" applyAlignment="1" applyProtection="1">
      <alignment horizontal="right"/>
    </xf>
    <xf numFmtId="0" fontId="0" fillId="0" borderId="0" xfId="0" applyBorder="1" applyAlignment="1" applyProtection="1">
      <alignment wrapText="1"/>
      <protection locked="0"/>
    </xf>
    <xf numFmtId="3" fontId="3" fillId="0" borderId="19" xfId="0" applyNumberFormat="1" applyFont="1" applyFill="1" applyBorder="1" applyAlignment="1" applyProtection="1">
      <alignment horizontal="right"/>
      <protection locked="0"/>
    </xf>
    <xf numFmtId="3" fontId="4" fillId="20" borderId="55" xfId="0" applyNumberFormat="1" applyFont="1" applyFill="1" applyBorder="1" applyAlignment="1" applyProtection="1">
      <alignment horizontal="left" wrapText="1"/>
    </xf>
    <xf numFmtId="3" fontId="4" fillId="20" borderId="55" xfId="0" applyNumberFormat="1" applyFont="1" applyFill="1" applyBorder="1" applyAlignment="1" applyProtection="1">
      <alignment horizontal="left" vertical="top"/>
    </xf>
    <xf numFmtId="3" fontId="4" fillId="20" borderId="142" xfId="0" applyNumberFormat="1" applyFont="1" applyFill="1" applyBorder="1" applyAlignment="1" applyProtection="1">
      <alignment horizontal="left" vertical="top"/>
    </xf>
    <xf numFmtId="170" fontId="4" fillId="20" borderId="212" xfId="0" applyNumberFormat="1" applyFont="1" applyFill="1" applyBorder="1" applyAlignment="1" applyProtection="1">
      <alignment horizontal="left"/>
    </xf>
    <xf numFmtId="3" fontId="14" fillId="2" borderId="142" xfId="0" applyNumberFormat="1" applyFont="1" applyFill="1" applyBorder="1" applyAlignment="1" applyProtection="1">
      <alignment horizontal="right"/>
      <protection locked="0"/>
    </xf>
    <xf numFmtId="3" fontId="3" fillId="3" borderId="213" xfId="0" applyNumberFormat="1" applyFont="1" applyFill="1" applyBorder="1" applyAlignment="1" applyProtection="1">
      <alignment horizontal="right"/>
    </xf>
    <xf numFmtId="3" fontId="14" fillId="6" borderId="142" xfId="0" applyNumberFormat="1" applyFont="1" applyFill="1" applyBorder="1" applyAlignment="1" applyProtection="1">
      <alignment horizontal="right"/>
      <protection locked="0"/>
    </xf>
    <xf numFmtId="3" fontId="3" fillId="20" borderId="212" xfId="0" applyNumberFormat="1" applyFont="1" applyFill="1" applyBorder="1" applyAlignment="1" applyProtection="1">
      <alignment horizontal="right"/>
    </xf>
    <xf numFmtId="3" fontId="3" fillId="3" borderId="142" xfId="0" applyNumberFormat="1" applyFont="1" applyFill="1" applyBorder="1" applyAlignment="1" applyProtection="1">
      <alignment horizontal="right"/>
    </xf>
    <xf numFmtId="3" fontId="3" fillId="3" borderId="203" xfId="0" applyNumberFormat="1" applyFont="1" applyFill="1" applyBorder="1" applyAlignment="1" applyProtection="1">
      <alignment horizontal="right"/>
    </xf>
    <xf numFmtId="3" fontId="14" fillId="2" borderId="82" xfId="0" applyNumberFormat="1" applyFont="1" applyFill="1" applyBorder="1" applyAlignment="1" applyProtection="1">
      <alignment horizontal="right"/>
      <protection locked="0"/>
    </xf>
    <xf numFmtId="3" fontId="3" fillId="3" borderId="194" xfId="0" applyNumberFormat="1" applyFont="1" applyFill="1" applyBorder="1" applyAlignment="1" applyProtection="1">
      <alignment horizontal="right"/>
    </xf>
    <xf numFmtId="3" fontId="6" fillId="0" borderId="57" xfId="0" applyNumberFormat="1" applyFont="1" applyFill="1" applyBorder="1" applyAlignment="1" applyProtection="1">
      <alignment horizontal="left"/>
    </xf>
    <xf numFmtId="3" fontId="4" fillId="0" borderId="0" xfId="0" applyNumberFormat="1" applyFont="1" applyFill="1" applyBorder="1" applyAlignment="1" applyProtection="1">
      <alignment horizontal="left"/>
    </xf>
    <xf numFmtId="3" fontId="6" fillId="0" borderId="57" xfId="0" applyNumberFormat="1" applyFont="1" applyFill="1" applyBorder="1" applyAlignment="1" applyProtection="1">
      <alignment horizontal="left" vertical="top" wrapText="1"/>
    </xf>
    <xf numFmtId="3" fontId="4" fillId="0" borderId="0" xfId="0" applyNumberFormat="1" applyFont="1" applyFill="1" applyBorder="1" applyAlignment="1" applyProtection="1">
      <alignment horizontal="left" wrapText="1"/>
    </xf>
    <xf numFmtId="0" fontId="6" fillId="0" borderId="57" xfId="0" applyFont="1" applyFill="1" applyBorder="1" applyAlignment="1" applyProtection="1">
      <alignment horizontal="left"/>
    </xf>
    <xf numFmtId="3" fontId="4" fillId="0" borderId="0" xfId="0" applyNumberFormat="1" applyFont="1" applyFill="1" applyBorder="1" applyAlignment="1" applyProtection="1">
      <alignment horizontal="left" vertical="top"/>
    </xf>
    <xf numFmtId="3" fontId="4" fillId="0" borderId="57" xfId="0" applyNumberFormat="1" applyFont="1" applyFill="1" applyBorder="1" applyAlignment="1" applyProtection="1">
      <alignment horizontal="left" vertical="top" wrapText="1"/>
    </xf>
    <xf numFmtId="170" fontId="4" fillId="0" borderId="57" xfId="0" applyNumberFormat="1" applyFont="1" applyFill="1" applyBorder="1" applyAlignment="1" applyProtection="1">
      <alignment horizontal="left"/>
    </xf>
    <xf numFmtId="170" fontId="4" fillId="0" borderId="0" xfId="0" applyNumberFormat="1" applyFont="1" applyFill="1" applyBorder="1" applyAlignment="1" applyProtection="1">
      <alignment horizontal="left"/>
    </xf>
    <xf numFmtId="3" fontId="112" fillId="0" borderId="0" xfId="0" applyNumberFormat="1" applyFont="1" applyFill="1" applyBorder="1" applyAlignment="1" applyProtection="1">
      <alignment horizontal="right"/>
    </xf>
    <xf numFmtId="0" fontId="3" fillId="0" borderId="0" xfId="0" applyFont="1" applyBorder="1" applyAlignment="1" applyProtection="1"/>
    <xf numFmtId="0" fontId="0" fillId="0" borderId="0" xfId="0" applyBorder="1" applyAlignment="1">
      <alignment wrapText="1"/>
    </xf>
    <xf numFmtId="0" fontId="0" fillId="0" borderId="0" xfId="0" applyBorder="1" applyAlignment="1" applyProtection="1">
      <alignment vertical="top"/>
    </xf>
    <xf numFmtId="0" fontId="4" fillId="0" borderId="0" xfId="0" applyFont="1" applyBorder="1" applyAlignment="1" applyProtection="1"/>
    <xf numFmtId="49" fontId="4" fillId="20" borderId="87" xfId="0" applyNumberFormat="1" applyFont="1" applyFill="1" applyBorder="1" applyAlignment="1" applyProtection="1">
      <alignment horizontal="center"/>
    </xf>
    <xf numFmtId="49" fontId="4" fillId="20" borderId="172" xfId="0" applyNumberFormat="1" applyFont="1" applyFill="1" applyBorder="1" applyAlignment="1" applyProtection="1">
      <alignment horizontal="left"/>
    </xf>
    <xf numFmtId="0" fontId="3" fillId="20" borderId="106" xfId="0" applyFont="1" applyFill="1" applyBorder="1" applyProtection="1"/>
    <xf numFmtId="49" fontId="4" fillId="20" borderId="70" xfId="0" applyNumberFormat="1" applyFont="1" applyFill="1" applyBorder="1" applyAlignment="1" applyProtection="1">
      <alignment horizontal="left"/>
    </xf>
    <xf numFmtId="49" fontId="4" fillId="20" borderId="25" xfId="0" applyNumberFormat="1" applyFont="1" applyFill="1" applyBorder="1" applyAlignment="1" applyProtection="1">
      <alignment horizontal="center"/>
    </xf>
    <xf numFmtId="0" fontId="4" fillId="20" borderId="112" xfId="0" applyNumberFormat="1" applyFont="1" applyFill="1" applyBorder="1" applyAlignment="1" applyProtection="1">
      <alignment horizontal="center" vertical="top" wrapText="1"/>
    </xf>
    <xf numFmtId="0" fontId="112" fillId="0" borderId="57" xfId="0" applyNumberFormat="1" applyFont="1" applyFill="1" applyBorder="1" applyAlignment="1" applyProtection="1">
      <alignment horizontal="left"/>
    </xf>
    <xf numFmtId="0" fontId="3" fillId="20" borderId="94" xfId="0" applyFont="1" applyFill="1" applyBorder="1" applyAlignment="1" applyProtection="1">
      <alignment horizontal="left" vertical="top" wrapText="1"/>
    </xf>
    <xf numFmtId="0" fontId="37" fillId="0" borderId="0" xfId="0" applyFont="1" applyFill="1" applyAlignment="1" applyProtection="1"/>
    <xf numFmtId="0" fontId="4" fillId="20" borderId="107" xfId="5" applyFont="1" applyFill="1" applyBorder="1" applyAlignment="1" applyProtection="1">
      <alignment horizontal="left" vertical="top"/>
    </xf>
    <xf numFmtId="3" fontId="46" fillId="20" borderId="9" xfId="5" applyNumberFormat="1" applyFont="1" applyFill="1" applyBorder="1" applyAlignment="1" applyProtection="1">
      <alignment horizontal="right"/>
    </xf>
    <xf numFmtId="0" fontId="4" fillId="20" borderId="3" xfId="0" applyFont="1" applyFill="1" applyBorder="1" applyAlignment="1" applyProtection="1">
      <alignment vertical="top" wrapText="1"/>
    </xf>
    <xf numFmtId="3" fontId="3" fillId="2" borderId="214" xfId="0" applyNumberFormat="1" applyFont="1" applyFill="1" applyBorder="1" applyProtection="1">
      <protection locked="0"/>
    </xf>
    <xf numFmtId="3" fontId="3" fillId="2" borderId="106" xfId="0" applyNumberFormat="1" applyFont="1" applyFill="1" applyBorder="1" applyProtection="1">
      <protection locked="0"/>
    </xf>
    <xf numFmtId="3" fontId="3" fillId="0" borderId="34" xfId="0" applyNumberFormat="1" applyFont="1" applyFill="1" applyBorder="1" applyProtection="1">
      <protection locked="0"/>
    </xf>
    <xf numFmtId="3" fontId="3" fillId="0" borderId="110" xfId="0" applyNumberFormat="1" applyFont="1" applyFill="1" applyBorder="1" applyProtection="1">
      <protection locked="0"/>
    </xf>
    <xf numFmtId="3" fontId="14" fillId="0" borderId="22" xfId="0" applyNumberFormat="1" applyFont="1" applyFill="1" applyBorder="1" applyAlignment="1" applyProtection="1">
      <alignment horizontal="right"/>
      <protection locked="0"/>
    </xf>
    <xf numFmtId="3" fontId="14" fillId="0" borderId="5" xfId="0" applyNumberFormat="1" applyFont="1" applyFill="1" applyBorder="1" applyAlignment="1" applyProtection="1">
      <alignment horizontal="right"/>
      <protection locked="0"/>
    </xf>
    <xf numFmtId="3" fontId="14" fillId="0" borderId="21" xfId="0" applyNumberFormat="1" applyFont="1" applyFill="1" applyBorder="1" applyAlignment="1" applyProtection="1">
      <alignment horizontal="right"/>
      <protection locked="0"/>
    </xf>
    <xf numFmtId="3" fontId="14" fillId="0" borderId="2" xfId="0" applyNumberFormat="1" applyFont="1" applyFill="1" applyBorder="1" applyAlignment="1" applyProtection="1">
      <alignment horizontal="right"/>
      <protection locked="0"/>
    </xf>
    <xf numFmtId="3" fontId="14" fillId="27" borderId="29" xfId="0" applyNumberFormat="1" applyFont="1" applyFill="1" applyBorder="1" applyAlignment="1" applyProtection="1">
      <alignment horizontal="right"/>
    </xf>
    <xf numFmtId="3" fontId="3" fillId="20" borderId="90" xfId="0" applyNumberFormat="1" applyFont="1" applyFill="1" applyBorder="1" applyAlignment="1" applyProtection="1">
      <alignment horizontal="right"/>
    </xf>
    <xf numFmtId="0" fontId="112" fillId="0" borderId="0" xfId="0" applyNumberFormat="1" applyFont="1" applyFill="1" applyBorder="1" applyAlignment="1" applyProtection="1">
      <alignment horizontal="left"/>
    </xf>
    <xf numFmtId="3" fontId="3" fillId="3" borderId="81" xfId="0" applyNumberFormat="1" applyFont="1" applyFill="1" applyBorder="1" applyAlignment="1" applyProtection="1">
      <alignment horizontal="right"/>
    </xf>
    <xf numFmtId="0" fontId="25" fillId="0" borderId="0" xfId="0" quotePrefix="1" applyFont="1" applyBorder="1" applyAlignment="1" applyProtection="1">
      <alignment vertical="top" wrapText="1"/>
    </xf>
    <xf numFmtId="0" fontId="4" fillId="0" borderId="0" xfId="0" applyFont="1" applyAlignment="1" applyProtection="1"/>
    <xf numFmtId="0" fontId="3" fillId="0" borderId="0" xfId="0" applyFont="1" applyBorder="1" applyAlignment="1" applyProtection="1">
      <alignment wrapText="1"/>
    </xf>
    <xf numFmtId="3" fontId="4" fillId="20" borderId="20" xfId="5" applyNumberFormat="1" applyFont="1" applyFill="1" applyBorder="1" applyAlignment="1" applyProtection="1">
      <alignment horizontal="center"/>
    </xf>
    <xf numFmtId="3" fontId="3" fillId="32" borderId="109" xfId="5" applyNumberFormat="1" applyFont="1" applyFill="1" applyBorder="1" applyProtection="1"/>
    <xf numFmtId="3" fontId="3" fillId="32" borderId="5" xfId="5" applyNumberFormat="1" applyFont="1" applyFill="1" applyBorder="1" applyAlignment="1" applyProtection="1">
      <alignment horizontal="right"/>
    </xf>
    <xf numFmtId="3" fontId="3" fillId="32" borderId="69" xfId="5" applyNumberFormat="1" applyFont="1" applyFill="1" applyBorder="1" applyAlignment="1" applyProtection="1">
      <alignment horizontal="right"/>
    </xf>
    <xf numFmtId="3" fontId="3" fillId="32" borderId="25" xfId="5" applyNumberFormat="1" applyFont="1" applyFill="1" applyBorder="1" applyAlignment="1" applyProtection="1">
      <alignment horizontal="right"/>
    </xf>
    <xf numFmtId="3" fontId="112" fillId="20" borderId="14" xfId="0" applyNumberFormat="1" applyFont="1" applyFill="1" applyBorder="1" applyProtection="1"/>
    <xf numFmtId="3" fontId="114" fillId="20" borderId="9" xfId="0" applyNumberFormat="1" applyFont="1" applyFill="1" applyBorder="1" applyProtection="1"/>
    <xf numFmtId="3" fontId="115" fillId="20" borderId="9" xfId="0" applyNumberFormat="1" applyFont="1" applyFill="1" applyBorder="1" applyProtection="1"/>
    <xf numFmtId="3" fontId="115" fillId="20" borderId="5" xfId="0" applyNumberFormat="1" applyFont="1" applyFill="1" applyBorder="1" applyProtection="1"/>
    <xf numFmtId="0" fontId="112" fillId="0" borderId="0" xfId="0" applyNumberFormat="1" applyFont="1" applyFill="1" applyBorder="1" applyAlignment="1" applyProtection="1"/>
    <xf numFmtId="0" fontId="0" fillId="0" borderId="0" xfId="0" applyFill="1" applyBorder="1" applyAlignment="1" applyProtection="1">
      <alignment vertical="top" wrapText="1"/>
    </xf>
    <xf numFmtId="3" fontId="4" fillId="20" borderId="15" xfId="5" applyNumberFormat="1" applyFont="1" applyFill="1" applyBorder="1" applyAlignment="1" applyProtection="1">
      <alignment vertical="top" wrapText="1"/>
    </xf>
    <xf numFmtId="3" fontId="4" fillId="20" borderId="153" xfId="5" applyNumberFormat="1" applyFont="1" applyFill="1" applyBorder="1" applyAlignment="1" applyProtection="1">
      <alignment vertical="center" wrapText="1"/>
    </xf>
    <xf numFmtId="49" fontId="4" fillId="20" borderId="69" xfId="0" applyNumberFormat="1" applyFont="1" applyFill="1" applyBorder="1" applyAlignment="1" applyProtection="1">
      <alignment horizontal="center"/>
    </xf>
    <xf numFmtId="167" fontId="6" fillId="20" borderId="84" xfId="0" applyNumberFormat="1" applyFont="1" applyFill="1" applyBorder="1" applyAlignment="1" applyProtection="1">
      <alignment horizontal="left"/>
    </xf>
    <xf numFmtId="167" fontId="4" fillId="20" borderId="59" xfId="0" applyNumberFormat="1" applyFont="1" applyFill="1" applyBorder="1" applyAlignment="1" applyProtection="1">
      <alignment horizontal="left"/>
    </xf>
    <xf numFmtId="0" fontId="6" fillId="20" borderId="84" xfId="0" applyFont="1" applyFill="1" applyBorder="1" applyAlignment="1" applyProtection="1">
      <alignment horizontal="left"/>
    </xf>
    <xf numFmtId="0" fontId="122" fillId="20" borderId="97" xfId="0" applyFont="1" applyFill="1" applyBorder="1" applyAlignment="1" applyProtection="1">
      <alignment vertical="top" wrapText="1"/>
    </xf>
    <xf numFmtId="0" fontId="122" fillId="20" borderId="84" xfId="0" applyFont="1" applyFill="1" applyBorder="1" applyAlignment="1" applyProtection="1">
      <alignment vertical="top" wrapText="1"/>
    </xf>
    <xf numFmtId="49" fontId="4" fillId="20" borderId="22" xfId="5" applyNumberFormat="1" applyFont="1" applyFill="1" applyBorder="1" applyAlignment="1" applyProtection="1">
      <alignment horizontal="center"/>
    </xf>
    <xf numFmtId="0" fontId="6" fillId="20" borderId="80" xfId="5" applyFont="1" applyFill="1" applyBorder="1" applyProtection="1"/>
    <xf numFmtId="3" fontId="6" fillId="20" borderId="113" xfId="5" applyNumberFormat="1" applyFont="1" applyFill="1" applyBorder="1" applyAlignment="1" applyProtection="1">
      <alignment horizontal="left" vertical="top" wrapText="1"/>
    </xf>
    <xf numFmtId="3" fontId="6" fillId="20" borderId="84" xfId="5" applyNumberFormat="1" applyFont="1" applyFill="1" applyBorder="1" applyAlignment="1" applyProtection="1">
      <alignment horizontal="left" vertical="top" wrapText="1"/>
    </xf>
    <xf numFmtId="3" fontId="6" fillId="20" borderId="59" xfId="5" applyNumberFormat="1" applyFont="1" applyFill="1" applyBorder="1" applyAlignment="1" applyProtection="1">
      <alignment horizontal="left"/>
    </xf>
    <xf numFmtId="3" fontId="6" fillId="20" borderId="59" xfId="5" quotePrefix="1" applyNumberFormat="1" applyFont="1" applyFill="1" applyBorder="1" applyAlignment="1" applyProtection="1">
      <alignment horizontal="left" vertical="top"/>
    </xf>
    <xf numFmtId="0" fontId="4" fillId="20" borderId="41" xfId="5" applyFont="1" applyFill="1" applyBorder="1" applyAlignment="1" applyProtection="1">
      <alignment horizontal="center" wrapText="1"/>
    </xf>
    <xf numFmtId="3" fontId="4" fillId="20" borderId="86" xfId="5" applyNumberFormat="1" applyFont="1" applyFill="1" applyBorder="1" applyAlignment="1" applyProtection="1">
      <alignment horizontal="center" wrapText="1"/>
    </xf>
    <xf numFmtId="3" fontId="6" fillId="20" borderId="184" xfId="5" applyNumberFormat="1" applyFont="1" applyFill="1" applyBorder="1" applyProtection="1"/>
    <xf numFmtId="3" fontId="6" fillId="20" borderId="0" xfId="5" applyNumberFormat="1" applyFont="1" applyFill="1" applyBorder="1" applyAlignment="1" applyProtection="1">
      <alignment vertical="center"/>
    </xf>
    <xf numFmtId="3" fontId="4" fillId="20" borderId="184" xfId="0" applyNumberFormat="1" applyFont="1" applyFill="1" applyBorder="1" applyAlignment="1" applyProtection="1"/>
    <xf numFmtId="49" fontId="4" fillId="20" borderId="2" xfId="0" applyNumberFormat="1" applyFont="1" applyFill="1" applyBorder="1" applyAlignment="1" applyProtection="1">
      <alignment horizontal="left" vertical="top" wrapText="1"/>
    </xf>
    <xf numFmtId="3" fontId="6" fillId="20" borderId="211" xfId="5" applyNumberFormat="1" applyFont="1" applyFill="1" applyBorder="1" applyAlignment="1" applyProtection="1">
      <alignment horizontal="left" vertical="center" wrapText="1"/>
    </xf>
    <xf numFmtId="0" fontId="127" fillId="20" borderId="2" xfId="5" applyFont="1" applyFill="1" applyBorder="1" applyAlignment="1" applyProtection="1">
      <alignment horizontal="left"/>
    </xf>
    <xf numFmtId="49" fontId="101" fillId="20" borderId="22" xfId="0" applyNumberFormat="1" applyFont="1" applyFill="1" applyBorder="1" applyAlignment="1" applyProtection="1">
      <alignment horizontal="center"/>
    </xf>
    <xf numFmtId="0" fontId="101" fillId="20" borderId="24" xfId="0" applyFont="1" applyFill="1" applyBorder="1" applyAlignment="1" applyProtection="1">
      <alignment horizontal="center"/>
    </xf>
    <xf numFmtId="49" fontId="127" fillId="20" borderId="22" xfId="5" applyNumberFormat="1" applyFont="1" applyFill="1" applyBorder="1" applyAlignment="1" applyProtection="1">
      <alignment horizontal="center"/>
    </xf>
    <xf numFmtId="49" fontId="127" fillId="20" borderId="24" xfId="5" applyNumberFormat="1" applyFont="1" applyFill="1" applyBorder="1" applyAlignment="1" applyProtection="1">
      <alignment horizontal="center"/>
    </xf>
    <xf numFmtId="49" fontId="127" fillId="20" borderId="137" xfId="0" applyNumberFormat="1" applyFont="1" applyFill="1" applyBorder="1" applyAlignment="1" applyProtection="1">
      <alignment horizontal="center"/>
    </xf>
    <xf numFmtId="49" fontId="127" fillId="20" borderId="141" xfId="5" applyNumberFormat="1" applyFont="1" applyFill="1" applyBorder="1" applyAlignment="1" applyProtection="1">
      <alignment horizontal="center"/>
    </xf>
    <xf numFmtId="0" fontId="128" fillId="20" borderId="9" xfId="0" applyFont="1" applyFill="1" applyBorder="1" applyAlignment="1" applyProtection="1">
      <alignment horizontal="left"/>
    </xf>
    <xf numFmtId="3" fontId="3" fillId="21" borderId="20" xfId="0" applyNumberFormat="1" applyFont="1" applyFill="1" applyBorder="1" applyProtection="1"/>
    <xf numFmtId="3" fontId="3" fillId="9" borderId="174" xfId="0" applyNumberFormat="1" applyFont="1" applyFill="1" applyBorder="1" applyProtection="1"/>
    <xf numFmtId="3" fontId="3" fillId="20" borderId="32" xfId="0" applyNumberFormat="1" applyFont="1" applyFill="1" applyBorder="1" applyAlignment="1" applyProtection="1">
      <alignment horizontal="right"/>
    </xf>
    <xf numFmtId="3" fontId="3" fillId="0" borderId="19" xfId="0" applyNumberFormat="1" applyFont="1" applyFill="1" applyBorder="1" applyProtection="1">
      <protection locked="0"/>
    </xf>
    <xf numFmtId="3" fontId="3" fillId="0" borderId="26" xfId="0" applyNumberFormat="1" applyFont="1" applyFill="1" applyBorder="1" applyProtection="1">
      <protection locked="0"/>
    </xf>
    <xf numFmtId="0" fontId="64" fillId="20" borderId="27" xfId="0" applyFont="1" applyFill="1" applyBorder="1" applyAlignment="1">
      <alignment horizontal="right" wrapText="1"/>
    </xf>
    <xf numFmtId="0" fontId="0" fillId="20" borderId="0" xfId="0" applyFill="1" applyAlignment="1"/>
    <xf numFmtId="0" fontId="127" fillId="20" borderId="0" xfId="0" applyFont="1" applyFill="1" applyAlignment="1">
      <alignment wrapText="1"/>
    </xf>
    <xf numFmtId="0" fontId="127" fillId="20" borderId="207" xfId="0" applyFont="1" applyFill="1" applyBorder="1" applyAlignment="1">
      <alignment wrapText="1"/>
    </xf>
    <xf numFmtId="0" fontId="129" fillId="20" borderId="0" xfId="0" applyFont="1" applyFill="1" applyAlignment="1">
      <alignment vertical="top" wrapText="1"/>
    </xf>
    <xf numFmtId="0" fontId="129" fillId="20" borderId="0" xfId="0" applyFont="1" applyFill="1" applyAlignment="1">
      <alignment wrapText="1"/>
    </xf>
    <xf numFmtId="0" fontId="128" fillId="20" borderId="0" xfId="0" applyFont="1" applyFill="1" applyAlignment="1">
      <alignment wrapText="1"/>
    </xf>
    <xf numFmtId="0" fontId="112" fillId="20" borderId="0" xfId="0" applyFont="1" applyFill="1" applyBorder="1" applyAlignment="1" applyProtection="1">
      <alignment wrapText="1"/>
    </xf>
    <xf numFmtId="0" fontId="0" fillId="20" borderId="0" xfId="0" applyFill="1" applyAlignment="1">
      <alignment wrapText="1"/>
    </xf>
    <xf numFmtId="0" fontId="0" fillId="20" borderId="0" xfId="0" applyFill="1" applyAlignment="1">
      <alignment horizontal="left" vertical="top" wrapText="1"/>
    </xf>
    <xf numFmtId="0" fontId="127" fillId="20" borderId="38" xfId="0" applyFont="1" applyFill="1" applyBorder="1" applyAlignment="1">
      <alignment wrapText="1"/>
    </xf>
    <xf numFmtId="0" fontId="8" fillId="20" borderId="0" xfId="0" applyFont="1" applyFill="1" applyAlignment="1">
      <alignment wrapText="1"/>
    </xf>
    <xf numFmtId="0" fontId="37" fillId="0" borderId="0" xfId="0" quotePrefix="1" applyFont="1" applyFill="1" applyProtection="1"/>
    <xf numFmtId="0" fontId="100" fillId="0" borderId="0" xfId="0" applyFont="1" applyFill="1" applyAlignment="1" applyProtection="1">
      <alignment wrapText="1"/>
    </xf>
    <xf numFmtId="0" fontId="113" fillId="0" borderId="0" xfId="0" applyFont="1" applyFill="1" applyAlignment="1" applyProtection="1">
      <alignment vertical="top" wrapText="1"/>
    </xf>
    <xf numFmtId="1" fontId="112" fillId="0" borderId="57" xfId="0" applyNumberFormat="1" applyFont="1" applyFill="1" applyBorder="1" applyAlignment="1" applyProtection="1">
      <alignment horizontal="left"/>
    </xf>
    <xf numFmtId="0" fontId="112" fillId="0" borderId="0" xfId="0" applyNumberFormat="1" applyFont="1" applyFill="1" applyBorder="1" applyAlignment="1" applyProtection="1">
      <alignment horizontal="left" wrapText="1"/>
    </xf>
    <xf numFmtId="0" fontId="126" fillId="0" borderId="0" xfId="0" applyFont="1" applyFill="1" applyBorder="1" applyProtection="1"/>
    <xf numFmtId="3" fontId="37" fillId="0" borderId="55" xfId="5" quotePrefix="1" applyNumberFormat="1" applyFont="1" applyFill="1" applyBorder="1" applyAlignment="1" applyProtection="1">
      <alignment horizontal="left"/>
    </xf>
    <xf numFmtId="0" fontId="112" fillId="0" borderId="0" xfId="0" applyFont="1" applyFill="1" applyAlignment="1" applyProtection="1"/>
    <xf numFmtId="49" fontId="127" fillId="20" borderId="7" xfId="0" applyNumberFormat="1" applyFont="1" applyFill="1" applyBorder="1" applyAlignment="1" applyProtection="1">
      <alignment horizontal="center"/>
    </xf>
    <xf numFmtId="0" fontId="113" fillId="0" borderId="0" xfId="0" applyFont="1" applyFill="1" applyAlignment="1" applyProtection="1">
      <alignment horizontal="right" vertical="top" wrapText="1"/>
    </xf>
    <xf numFmtId="3" fontId="3" fillId="0" borderId="32" xfId="0" applyNumberFormat="1" applyFont="1" applyFill="1" applyBorder="1" applyProtection="1">
      <protection locked="0"/>
    </xf>
    <xf numFmtId="49" fontId="4" fillId="20" borderId="41" xfId="0" applyNumberFormat="1" applyFont="1" applyFill="1" applyBorder="1" applyAlignment="1" applyProtection="1">
      <alignment horizontal="center"/>
    </xf>
    <xf numFmtId="49" fontId="127" fillId="20" borderId="2" xfId="0" applyNumberFormat="1" applyFont="1" applyFill="1" applyBorder="1" applyAlignment="1" applyProtection="1">
      <alignment horizontal="center" vertical="top" wrapText="1"/>
    </xf>
    <xf numFmtId="0" fontId="4" fillId="20" borderId="59" xfId="5" applyFont="1" applyFill="1" applyBorder="1" applyAlignment="1" applyProtection="1">
      <alignment horizontal="left" wrapText="1"/>
    </xf>
    <xf numFmtId="0" fontId="134" fillId="0" borderId="0" xfId="0" applyFont="1" applyFill="1" applyBorder="1" applyAlignment="1" applyProtection="1">
      <alignment horizontal="left" vertical="top"/>
    </xf>
    <xf numFmtId="0" fontId="0" fillId="0" borderId="56" xfId="0" applyFill="1" applyBorder="1" applyAlignment="1"/>
    <xf numFmtId="0" fontId="0" fillId="0" borderId="0" xfId="0" applyFill="1" applyAlignment="1"/>
    <xf numFmtId="0" fontId="126" fillId="2" borderId="0" xfId="0" applyFont="1" applyFill="1" applyProtection="1"/>
    <xf numFmtId="0" fontId="135" fillId="0" borderId="0" xfId="0" applyFont="1" applyFill="1" applyAlignment="1">
      <alignment wrapText="1"/>
    </xf>
    <xf numFmtId="0" fontId="0" fillId="0" borderId="0" xfId="0" applyAlignment="1">
      <alignment wrapText="1"/>
    </xf>
    <xf numFmtId="0" fontId="10" fillId="0" borderId="0" xfId="0" applyFont="1" applyAlignment="1">
      <alignment wrapText="1"/>
    </xf>
    <xf numFmtId="3" fontId="112" fillId="0" borderId="0" xfId="0" applyNumberFormat="1" applyFont="1" applyFill="1" applyBorder="1" applyProtection="1"/>
    <xf numFmtId="0" fontId="37" fillId="0" borderId="0" xfId="0" applyFont="1" applyFill="1" applyAlignment="1" applyProtection="1">
      <alignment horizontal="left" vertical="top"/>
    </xf>
    <xf numFmtId="0" fontId="113" fillId="0" borderId="0" xfId="0" applyFont="1" applyFill="1" applyAlignment="1" applyProtection="1">
      <alignment horizontal="right"/>
    </xf>
    <xf numFmtId="0" fontId="113" fillId="0" borderId="0" xfId="0" applyFont="1" applyFill="1" applyAlignment="1" applyProtection="1">
      <alignment horizontal="left" vertical="top" wrapText="1"/>
    </xf>
    <xf numFmtId="3" fontId="6" fillId="20" borderId="15" xfId="5" applyNumberFormat="1" applyFont="1" applyFill="1" applyBorder="1" applyAlignment="1" applyProtection="1">
      <alignment horizontal="left"/>
    </xf>
    <xf numFmtId="3" fontId="6" fillId="20" borderId="15" xfId="5" applyNumberFormat="1" applyFont="1" applyFill="1" applyBorder="1" applyAlignment="1" applyProtection="1">
      <alignment horizontal="left" vertical="center"/>
    </xf>
    <xf numFmtId="3" fontId="128" fillId="20" borderId="15" xfId="5" applyNumberFormat="1" applyFont="1" applyFill="1" applyBorder="1" applyAlignment="1" applyProtection="1">
      <alignment horizontal="left" vertical="top" wrapText="1"/>
    </xf>
    <xf numFmtId="0" fontId="112" fillId="0" borderId="0" xfId="0" applyFont="1" applyFill="1" applyBorder="1" applyAlignment="1" applyProtection="1">
      <alignment vertical="top"/>
    </xf>
    <xf numFmtId="0" fontId="126" fillId="0" borderId="0" xfId="0" applyFont="1" applyFill="1" applyBorder="1" applyAlignment="1" applyProtection="1">
      <alignment vertical="top"/>
    </xf>
    <xf numFmtId="0" fontId="135" fillId="0" borderId="0" xfId="0" applyFont="1" applyAlignment="1">
      <alignment wrapText="1"/>
    </xf>
    <xf numFmtId="3" fontId="136" fillId="0" borderId="0" xfId="0" applyNumberFormat="1" applyFont="1" applyFill="1" applyBorder="1" applyProtection="1"/>
    <xf numFmtId="0" fontId="0" fillId="0" borderId="0" xfId="0" applyFill="1" applyBorder="1" applyAlignment="1">
      <alignment horizontal="left" wrapText="1"/>
    </xf>
    <xf numFmtId="1" fontId="4" fillId="20" borderId="2" xfId="0" applyNumberFormat="1" applyFont="1" applyFill="1" applyBorder="1" applyAlignment="1" applyProtection="1">
      <alignment horizontal="center" vertical="center" wrapText="1"/>
    </xf>
    <xf numFmtId="0" fontId="4" fillId="20" borderId="2" xfId="0" applyFont="1" applyFill="1" applyBorder="1" applyAlignment="1" applyProtection="1">
      <alignment horizontal="left" vertical="center" wrapText="1"/>
    </xf>
    <xf numFmtId="0" fontId="6" fillId="20" borderId="25" xfId="0" applyFont="1" applyFill="1" applyBorder="1" applyAlignment="1" applyProtection="1">
      <alignment horizontal="left" vertical="center" wrapText="1"/>
    </xf>
    <xf numFmtId="0" fontId="37" fillId="0" borderId="0" xfId="0" applyFont="1" applyFill="1" applyAlignment="1" applyProtection="1">
      <alignment vertical="top" wrapText="1"/>
    </xf>
    <xf numFmtId="3" fontId="3" fillId="2" borderId="43" xfId="0" applyNumberFormat="1" applyFont="1" applyFill="1" applyBorder="1" applyAlignment="1" applyProtection="1">
      <alignment horizontal="right"/>
      <protection locked="0"/>
    </xf>
    <xf numFmtId="0" fontId="56" fillId="2" borderId="0" xfId="0" applyFont="1" applyFill="1" applyAlignment="1" applyProtection="1"/>
    <xf numFmtId="0" fontId="4" fillId="20" borderId="162" xfId="0" applyNumberFormat="1" applyFont="1" applyFill="1" applyBorder="1" applyAlignment="1" applyProtection="1">
      <alignment horizontal="center" vertical="top" wrapText="1"/>
    </xf>
    <xf numFmtId="49" fontId="4" fillId="20" borderId="12" xfId="0" applyNumberFormat="1" applyFont="1" applyFill="1" applyBorder="1" applyAlignment="1" applyProtection="1">
      <alignment horizontal="left" vertical="top" wrapText="1"/>
    </xf>
    <xf numFmtId="0" fontId="4" fillId="20" borderId="8" xfId="0" applyFont="1" applyFill="1" applyBorder="1" applyAlignment="1" applyProtection="1">
      <alignment vertical="top" wrapText="1"/>
    </xf>
    <xf numFmtId="49" fontId="4" fillId="20" borderId="212" xfId="0" applyNumberFormat="1" applyFont="1" applyFill="1" applyBorder="1" applyAlignment="1" applyProtection="1">
      <alignment horizontal="left"/>
    </xf>
    <xf numFmtId="0" fontId="52" fillId="20" borderId="63" xfId="0" applyFont="1" applyFill="1" applyBorder="1" applyProtection="1"/>
    <xf numFmtId="166" fontId="10" fillId="2" borderId="0" xfId="0" applyNumberFormat="1" applyFont="1" applyFill="1" applyBorder="1" applyAlignment="1" applyProtection="1">
      <alignment horizontal="center" vertical="center"/>
    </xf>
    <xf numFmtId="3" fontId="4" fillId="20" borderId="43" xfId="5" applyNumberFormat="1" applyFont="1" applyFill="1" applyBorder="1" applyAlignment="1" applyProtection="1"/>
    <xf numFmtId="3" fontId="4" fillId="20" borderId="43" xfId="5" applyNumberFormat="1" applyFont="1" applyFill="1" applyBorder="1" applyAlignment="1" applyProtection="1">
      <alignment vertical="top" wrapText="1"/>
    </xf>
    <xf numFmtId="3" fontId="3" fillId="26" borderId="35" xfId="0" applyNumberFormat="1" applyFont="1" applyFill="1" applyBorder="1" applyAlignment="1" applyProtection="1"/>
    <xf numFmtId="3" fontId="3" fillId="26" borderId="2" xfId="0" applyNumberFormat="1" applyFont="1" applyFill="1" applyBorder="1" applyAlignment="1" applyProtection="1"/>
    <xf numFmtId="3" fontId="3" fillId="26" borderId="5" xfId="0" applyNumberFormat="1" applyFont="1" applyFill="1" applyBorder="1" applyAlignment="1" applyProtection="1"/>
    <xf numFmtId="0" fontId="4" fillId="20" borderId="35" xfId="0" applyFont="1" applyFill="1" applyBorder="1" applyProtection="1"/>
    <xf numFmtId="49" fontId="8" fillId="0" borderId="0" xfId="0" applyNumberFormat="1" applyFont="1" applyFill="1" applyBorder="1" applyAlignment="1" applyProtection="1">
      <alignment horizontal="center"/>
    </xf>
    <xf numFmtId="49" fontId="4" fillId="20" borderId="119" xfId="0" applyNumberFormat="1" applyFont="1" applyFill="1" applyBorder="1" applyAlignment="1" applyProtection="1">
      <alignment horizontal="left"/>
    </xf>
    <xf numFmtId="0" fontId="17" fillId="20" borderId="119" xfId="0" applyFont="1" applyFill="1" applyBorder="1" applyProtection="1"/>
    <xf numFmtId="0" fontId="9" fillId="20" borderId="35" xfId="0" applyFont="1" applyFill="1" applyBorder="1" applyProtection="1"/>
    <xf numFmtId="49" fontId="4" fillId="20" borderId="12" xfId="0" applyNumberFormat="1" applyFont="1" applyFill="1" applyBorder="1" applyAlignment="1" applyProtection="1">
      <alignment horizontal="right" vertical="center" wrapText="1"/>
    </xf>
    <xf numFmtId="0" fontId="4" fillId="20" borderId="8" xfId="0" applyFont="1" applyFill="1" applyBorder="1" applyAlignment="1" applyProtection="1">
      <alignment horizontal="left" vertical="top" wrapText="1"/>
    </xf>
    <xf numFmtId="0" fontId="56" fillId="0" borderId="0" xfId="0" applyFont="1" applyFill="1" applyAlignment="1" applyProtection="1">
      <alignment vertical="top"/>
    </xf>
    <xf numFmtId="1" fontId="6" fillId="0" borderId="0" xfId="0" applyNumberFormat="1" applyFont="1" applyFill="1" applyBorder="1" applyAlignment="1" applyProtection="1">
      <alignment horizontal="left" wrapText="1"/>
    </xf>
    <xf numFmtId="1" fontId="4" fillId="0" borderId="0" xfId="0" applyNumberFormat="1" applyFont="1" applyFill="1" applyBorder="1" applyAlignment="1" applyProtection="1">
      <alignment horizontal="center" wrapText="1"/>
    </xf>
    <xf numFmtId="0" fontId="112" fillId="0" borderId="0" xfId="0" applyNumberFormat="1" applyFont="1" applyFill="1" applyAlignment="1" applyProtection="1"/>
    <xf numFmtId="3" fontId="112" fillId="0" borderId="0" xfId="0" applyNumberFormat="1" applyFont="1" applyFill="1" applyBorder="1" applyAlignment="1" applyProtection="1">
      <alignment horizontal="left" wrapText="1"/>
    </xf>
    <xf numFmtId="1" fontId="4" fillId="20" borderId="41" xfId="0" applyNumberFormat="1" applyFont="1" applyFill="1" applyBorder="1" applyAlignment="1" applyProtection="1">
      <alignment horizontal="left" vertical="top" wrapText="1"/>
    </xf>
    <xf numFmtId="49" fontId="4" fillId="20" borderId="5" xfId="0" applyNumberFormat="1" applyFont="1" applyFill="1" applyBorder="1" applyAlignment="1" applyProtection="1">
      <alignment horizontal="left"/>
    </xf>
    <xf numFmtId="169" fontId="4" fillId="20" borderId="61" xfId="5" applyNumberFormat="1" applyFont="1" applyFill="1" applyBorder="1" applyAlignment="1" applyProtection="1">
      <alignment vertical="top"/>
    </xf>
    <xf numFmtId="169" fontId="4" fillId="20" borderId="170" xfId="0" applyNumberFormat="1" applyFont="1" applyFill="1" applyBorder="1" applyAlignment="1" applyProtection="1">
      <alignment vertical="top"/>
    </xf>
    <xf numFmtId="0" fontId="3" fillId="0" borderId="0" xfId="0" applyFont="1" applyBorder="1" applyAlignment="1" applyProtection="1">
      <alignment vertical="top" wrapText="1"/>
      <protection locked="0"/>
    </xf>
    <xf numFmtId="3" fontId="14" fillId="20" borderId="68" xfId="0" applyNumberFormat="1" applyFont="1" applyFill="1" applyBorder="1" applyAlignment="1" applyProtection="1">
      <alignment horizontal="right"/>
    </xf>
    <xf numFmtId="49" fontId="4" fillId="20" borderId="7" xfId="0" applyNumberFormat="1" applyFont="1" applyFill="1" applyBorder="1" applyAlignment="1" applyProtection="1">
      <alignment horizontal="center"/>
    </xf>
    <xf numFmtId="0" fontId="4" fillId="20" borderId="8" xfId="0" applyFont="1" applyFill="1" applyBorder="1" applyAlignment="1" applyProtection="1">
      <alignment horizontal="left"/>
    </xf>
    <xf numFmtId="49" fontId="4" fillId="20" borderId="73" xfId="0" applyNumberFormat="1" applyFont="1" applyFill="1" applyBorder="1" applyAlignment="1" applyProtection="1">
      <alignment wrapText="1"/>
    </xf>
    <xf numFmtId="49" fontId="4" fillId="20" borderId="11" xfId="0" applyNumberFormat="1" applyFont="1" applyFill="1" applyBorder="1" applyAlignment="1" applyProtection="1">
      <alignment wrapText="1"/>
    </xf>
    <xf numFmtId="0" fontId="4" fillId="2" borderId="1" xfId="0" applyFont="1" applyFill="1" applyBorder="1" applyAlignment="1" applyProtection="1">
      <alignment horizontal="center"/>
    </xf>
    <xf numFmtId="49" fontId="9" fillId="20" borderId="190" xfId="0" applyNumberFormat="1" applyFont="1" applyFill="1" applyBorder="1" applyAlignment="1" applyProtection="1">
      <alignment horizontal="center"/>
    </xf>
    <xf numFmtId="3" fontId="3" fillId="2" borderId="189" xfId="0" applyNumberFormat="1" applyFont="1" applyFill="1" applyBorder="1" applyAlignment="1" applyProtection="1">
      <alignment horizontal="right"/>
      <protection locked="0"/>
    </xf>
    <xf numFmtId="3" fontId="3" fillId="2" borderId="145" xfId="0" applyNumberFormat="1" applyFont="1" applyFill="1" applyBorder="1" applyAlignment="1" applyProtection="1">
      <alignment horizontal="right"/>
      <protection locked="0"/>
    </xf>
    <xf numFmtId="0" fontId="112" fillId="2" borderId="0" xfId="0" applyFont="1" applyFill="1" applyAlignment="1" applyProtection="1">
      <alignment wrapText="1"/>
    </xf>
    <xf numFmtId="0" fontId="47" fillId="0" borderId="0" xfId="0" applyNumberFormat="1" applyFont="1" applyFill="1" applyBorder="1" applyAlignment="1" applyProtection="1">
      <alignment horizontal="right"/>
    </xf>
    <xf numFmtId="0" fontId="4" fillId="20" borderId="8" xfId="0" applyFont="1" applyFill="1" applyBorder="1" applyAlignment="1" applyProtection="1">
      <alignment horizontal="center" wrapText="1"/>
    </xf>
    <xf numFmtId="0" fontId="4" fillId="20" borderId="54" xfId="0" applyFont="1" applyFill="1" applyBorder="1" applyAlignment="1" applyProtection="1">
      <alignment horizontal="center" wrapText="1"/>
    </xf>
    <xf numFmtId="1" fontId="4" fillId="20" borderId="25"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1" fontId="4" fillId="20" borderId="79" xfId="0" applyNumberFormat="1" applyFont="1" applyFill="1" applyBorder="1" applyAlignment="1" applyProtection="1">
      <alignment horizontal="center" wrapText="1"/>
    </xf>
    <xf numFmtId="3" fontId="14" fillId="0" borderId="222" xfId="0" applyNumberFormat="1" applyFont="1" applyFill="1" applyBorder="1" applyAlignment="1" applyProtection="1">
      <alignment horizontal="right"/>
    </xf>
    <xf numFmtId="0" fontId="4" fillId="0" borderId="219" xfId="0" applyFont="1" applyFill="1" applyBorder="1" applyAlignment="1" applyProtection="1">
      <alignment horizontal="center"/>
    </xf>
    <xf numFmtId="1" fontId="4" fillId="0" borderId="219" xfId="0" applyNumberFormat="1" applyFont="1" applyFill="1" applyBorder="1" applyAlignment="1" applyProtection="1">
      <alignment horizontal="center" wrapText="1"/>
    </xf>
    <xf numFmtId="1" fontId="4" fillId="0" borderId="219" xfId="0" applyNumberFormat="1" applyFont="1" applyFill="1" applyBorder="1" applyAlignment="1" applyProtection="1">
      <alignment horizontal="left"/>
    </xf>
    <xf numFmtId="0" fontId="4" fillId="0" borderId="222" xfId="0" applyFont="1" applyFill="1" applyBorder="1" applyAlignment="1" applyProtection="1">
      <alignment horizontal="center"/>
    </xf>
    <xf numFmtId="1" fontId="4" fillId="0" borderId="222" xfId="0" applyNumberFormat="1" applyFont="1" applyFill="1" applyBorder="1" applyAlignment="1" applyProtection="1">
      <alignment horizontal="center" wrapText="1"/>
    </xf>
    <xf numFmtId="1" fontId="4" fillId="0" borderId="222" xfId="0" applyNumberFormat="1" applyFont="1" applyFill="1" applyBorder="1" applyAlignment="1" applyProtection="1">
      <alignment horizontal="left"/>
    </xf>
    <xf numFmtId="0" fontId="4" fillId="20" borderId="21" xfId="0" applyNumberFormat="1" applyFont="1" applyFill="1" applyBorder="1" applyAlignment="1" applyProtection="1">
      <alignment horizontal="center"/>
    </xf>
    <xf numFmtId="0" fontId="4" fillId="20" borderId="2" xfId="0" applyNumberFormat="1" applyFont="1" applyFill="1" applyBorder="1" applyAlignment="1" applyProtection="1">
      <alignment horizontal="center"/>
    </xf>
    <xf numFmtId="0" fontId="6" fillId="20" borderId="15" xfId="0" applyNumberFormat="1" applyFont="1" applyFill="1" applyBorder="1" applyAlignment="1" applyProtection="1">
      <alignment horizontal="center"/>
    </xf>
    <xf numFmtId="0" fontId="4" fillId="20" borderId="5" xfId="0" applyNumberFormat="1" applyFont="1" applyFill="1" applyBorder="1" applyAlignment="1" applyProtection="1">
      <alignment horizontal="center"/>
    </xf>
    <xf numFmtId="0" fontId="9" fillId="20" borderId="2" xfId="0" applyNumberFormat="1" applyFont="1" applyFill="1" applyBorder="1" applyAlignment="1" applyProtection="1">
      <alignment horizontal="center"/>
    </xf>
    <xf numFmtId="0" fontId="17" fillId="20" borderId="2" xfId="0" applyNumberFormat="1" applyFont="1" applyFill="1" applyBorder="1" applyAlignment="1" applyProtection="1">
      <alignment horizontal="center"/>
    </xf>
    <xf numFmtId="0" fontId="4" fillId="20" borderId="124" xfId="0" applyNumberFormat="1" applyFont="1" applyFill="1" applyBorder="1" applyAlignment="1" applyProtection="1">
      <alignment horizontal="center"/>
    </xf>
    <xf numFmtId="0" fontId="17" fillId="20" borderId="13" xfId="0" applyNumberFormat="1" applyFont="1" applyFill="1" applyBorder="1" applyAlignment="1" applyProtection="1">
      <alignment horizontal="center"/>
    </xf>
    <xf numFmtId="0" fontId="4" fillId="20" borderId="122" xfId="0" applyNumberFormat="1" applyFont="1" applyFill="1" applyBorder="1" applyAlignment="1" applyProtection="1">
      <alignment horizontal="center"/>
    </xf>
    <xf numFmtId="0" fontId="9" fillId="20" borderId="94" xfId="0" applyNumberFormat="1" applyFont="1" applyFill="1" applyBorder="1" applyAlignment="1" applyProtection="1">
      <alignment horizontal="center"/>
    </xf>
    <xf numFmtId="0" fontId="9" fillId="20" borderId="113" xfId="0" applyNumberFormat="1" applyFont="1" applyFill="1" applyBorder="1" applyAlignment="1" applyProtection="1">
      <alignment horizontal="center"/>
    </xf>
    <xf numFmtId="0" fontId="4" fillId="20" borderId="24" xfId="0" applyNumberFormat="1" applyFont="1" applyFill="1" applyBorder="1" applyAlignment="1" applyProtection="1">
      <alignment horizontal="center"/>
    </xf>
    <xf numFmtId="0" fontId="4" fillId="20" borderId="141" xfId="0" applyNumberFormat="1" applyFont="1" applyFill="1" applyBorder="1" applyAlignment="1" applyProtection="1">
      <alignment horizontal="center"/>
    </xf>
    <xf numFmtId="0" fontId="4" fillId="20" borderId="22" xfId="0" applyNumberFormat="1" applyFont="1" applyFill="1" applyBorder="1" applyAlignment="1" applyProtection="1">
      <alignment horizontal="center"/>
    </xf>
    <xf numFmtId="0" fontId="9" fillId="20" borderId="36" xfId="0" applyNumberFormat="1" applyFont="1" applyFill="1" applyBorder="1" applyAlignment="1" applyProtection="1">
      <alignment horizontal="center"/>
    </xf>
    <xf numFmtId="0" fontId="9" fillId="20" borderId="122" xfId="0" applyNumberFormat="1" applyFont="1" applyFill="1" applyBorder="1" applyAlignment="1" applyProtection="1">
      <alignment horizontal="center"/>
    </xf>
    <xf numFmtId="0" fontId="118" fillId="20" borderId="122" xfId="0" applyNumberFormat="1" applyFont="1" applyFill="1" applyBorder="1" applyAlignment="1" applyProtection="1">
      <alignment horizontal="center"/>
    </xf>
    <xf numFmtId="0" fontId="9" fillId="20" borderId="37" xfId="0" applyNumberFormat="1" applyFont="1" applyFill="1" applyBorder="1" applyAlignment="1" applyProtection="1">
      <alignment horizontal="center"/>
    </xf>
    <xf numFmtId="0" fontId="12" fillId="20" borderId="57" xfId="0" applyNumberFormat="1" applyFont="1" applyFill="1" applyBorder="1" applyProtection="1"/>
    <xf numFmtId="0" fontId="4" fillId="20" borderId="126" xfId="0" applyNumberFormat="1" applyFont="1" applyFill="1" applyBorder="1" applyAlignment="1" applyProtection="1">
      <alignment horizontal="center"/>
    </xf>
    <xf numFmtId="0" fontId="9" fillId="20" borderId="125" xfId="0" applyNumberFormat="1" applyFont="1" applyFill="1" applyBorder="1" applyAlignment="1" applyProtection="1">
      <alignment horizontal="center"/>
    </xf>
    <xf numFmtId="0" fontId="105" fillId="20" borderId="21" xfId="0" applyNumberFormat="1" applyFont="1" applyFill="1" applyBorder="1" applyAlignment="1" applyProtection="1">
      <alignment horizontal="center"/>
    </xf>
    <xf numFmtId="49" fontId="4" fillId="20" borderId="24" xfId="5" applyNumberFormat="1" applyFont="1" applyFill="1" applyBorder="1" applyAlignment="1" applyProtection="1">
      <alignment horizontal="center"/>
    </xf>
    <xf numFmtId="3" fontId="112" fillId="2" borderId="0" xfId="0" applyNumberFormat="1" applyFont="1" applyFill="1" applyBorder="1" applyAlignment="1" applyProtection="1">
      <alignment horizontal="left"/>
      <protection locked="0"/>
    </xf>
    <xf numFmtId="167" fontId="3" fillId="20" borderId="51" xfId="0" applyNumberFormat="1" applyFont="1" applyFill="1" applyBorder="1" applyProtection="1"/>
    <xf numFmtId="167" fontId="3" fillId="20" borderId="58" xfId="0" applyNumberFormat="1" applyFont="1" applyFill="1" applyBorder="1" applyProtection="1"/>
    <xf numFmtId="3" fontId="14" fillId="2" borderId="219" xfId="0" applyNumberFormat="1" applyFont="1" applyFill="1" applyBorder="1" applyAlignment="1" applyProtection="1">
      <alignment horizontal="right"/>
    </xf>
    <xf numFmtId="3" fontId="14" fillId="20" borderId="26" xfId="0" applyNumberFormat="1" applyFont="1" applyFill="1" applyBorder="1" applyAlignment="1" applyProtection="1">
      <alignment horizontal="right"/>
      <protection locked="0"/>
    </xf>
    <xf numFmtId="49" fontId="9" fillId="20" borderId="163" xfId="0" applyNumberFormat="1" applyFont="1" applyFill="1" applyBorder="1" applyAlignment="1" applyProtection="1">
      <alignment horizontal="center"/>
    </xf>
    <xf numFmtId="49" fontId="4" fillId="20" borderId="131" xfId="0" applyNumberFormat="1" applyFont="1" applyFill="1" applyBorder="1" applyAlignment="1" applyProtection="1">
      <alignment horizontal="center" wrapText="1"/>
    </xf>
    <xf numFmtId="49" fontId="9" fillId="20" borderId="131" xfId="0" applyNumberFormat="1" applyFont="1" applyFill="1" applyBorder="1" applyAlignment="1" applyProtection="1">
      <alignment horizontal="left"/>
    </xf>
    <xf numFmtId="49" fontId="9" fillId="20" borderId="4" xfId="0" applyNumberFormat="1" applyFont="1" applyFill="1" applyBorder="1" applyAlignment="1" applyProtection="1">
      <alignment horizontal="center"/>
    </xf>
    <xf numFmtId="49" fontId="9" fillId="0" borderId="197" xfId="0" applyNumberFormat="1" applyFont="1" applyFill="1" applyBorder="1" applyAlignment="1" applyProtection="1">
      <alignment horizontal="left"/>
    </xf>
    <xf numFmtId="3" fontId="112" fillId="0" borderId="0" xfId="0" applyNumberFormat="1" applyFont="1" applyFill="1" applyBorder="1" applyProtection="1">
      <protection locked="0"/>
    </xf>
    <xf numFmtId="3" fontId="3" fillId="2" borderId="199" xfId="0" applyNumberFormat="1" applyFont="1" applyFill="1" applyBorder="1" applyAlignment="1" applyProtection="1">
      <alignment horizontal="right"/>
      <protection locked="0"/>
    </xf>
    <xf numFmtId="3" fontId="3" fillId="0" borderId="199" xfId="0" applyNumberFormat="1" applyFont="1" applyFill="1" applyBorder="1" applyProtection="1">
      <protection locked="0"/>
    </xf>
    <xf numFmtId="3" fontId="3" fillId="20" borderId="57" xfId="0" applyNumberFormat="1" applyFont="1" applyFill="1" applyBorder="1" applyAlignment="1" applyProtection="1">
      <alignment horizontal="right"/>
      <protection locked="0"/>
    </xf>
    <xf numFmtId="3" fontId="3" fillId="20" borderId="56" xfId="0" applyNumberFormat="1" applyFont="1" applyFill="1" applyBorder="1" applyAlignment="1" applyProtection="1">
      <alignment horizontal="right"/>
      <protection locked="0"/>
    </xf>
    <xf numFmtId="0" fontId="37" fillId="0" borderId="0" xfId="0" applyFont="1" applyFill="1" applyAlignment="1" applyProtection="1">
      <alignment vertical="top"/>
    </xf>
    <xf numFmtId="0" fontId="112" fillId="0" borderId="0" xfId="0" applyFont="1" applyFill="1" applyBorder="1" applyAlignment="1" applyProtection="1"/>
    <xf numFmtId="3" fontId="46" fillId="21" borderId="122" xfId="0" applyNumberFormat="1" applyFont="1" applyFill="1" applyBorder="1" applyAlignment="1" applyProtection="1"/>
    <xf numFmtId="3" fontId="46" fillId="21" borderId="59" xfId="0" applyNumberFormat="1" applyFont="1" applyFill="1" applyBorder="1" applyAlignment="1" applyProtection="1"/>
    <xf numFmtId="0" fontId="112" fillId="0" borderId="0" xfId="0" applyNumberFormat="1" applyFont="1" applyFill="1" applyBorder="1" applyAlignment="1" applyProtection="1">
      <alignment vertical="top" wrapText="1"/>
    </xf>
    <xf numFmtId="0" fontId="112" fillId="0" borderId="0" xfId="0" applyNumberFormat="1" applyFont="1" applyFill="1" applyBorder="1" applyAlignment="1" applyProtection="1">
      <alignment wrapText="1"/>
    </xf>
    <xf numFmtId="3" fontId="11" fillId="0" borderId="7" xfId="0" applyNumberFormat="1" applyFont="1" applyFill="1" applyBorder="1" applyAlignment="1" applyProtection="1">
      <alignment horizontal="right"/>
      <protection locked="0"/>
    </xf>
    <xf numFmtId="0" fontId="139" fillId="0" borderId="0" xfId="0" applyFont="1" applyFill="1" applyBorder="1" applyProtection="1"/>
    <xf numFmtId="3" fontId="112" fillId="0" borderId="0" xfId="0" applyNumberFormat="1" applyFont="1" applyFill="1" applyBorder="1" applyAlignment="1" applyProtection="1">
      <alignment horizontal="left" vertical="top" wrapText="1"/>
    </xf>
    <xf numFmtId="0" fontId="4" fillId="20" borderId="37" xfId="0" applyFont="1" applyFill="1" applyBorder="1" applyAlignment="1" applyProtection="1">
      <alignment horizontal="center"/>
    </xf>
    <xf numFmtId="0" fontId="9" fillId="20" borderId="224" xfId="0" applyFont="1" applyFill="1" applyBorder="1" applyAlignment="1" applyProtection="1">
      <alignment horizontal="center"/>
    </xf>
    <xf numFmtId="0" fontId="4" fillId="20" borderId="130" xfId="0" applyFont="1" applyFill="1" applyBorder="1" applyAlignment="1" applyProtection="1">
      <alignment horizontal="left" vertical="top" wrapText="1"/>
    </xf>
    <xf numFmtId="0" fontId="4" fillId="20" borderId="125" xfId="0" applyFont="1" applyFill="1" applyBorder="1" applyAlignment="1" applyProtection="1">
      <alignment horizontal="left" vertical="top" wrapText="1"/>
    </xf>
    <xf numFmtId="0" fontId="4" fillId="20" borderId="162" xfId="5" applyFont="1" applyFill="1" applyBorder="1" applyAlignment="1" applyProtection="1">
      <alignment vertical="top" wrapText="1"/>
    </xf>
    <xf numFmtId="3" fontId="4" fillId="20" borderId="183" xfId="0" applyNumberFormat="1" applyFont="1" applyFill="1" applyBorder="1" applyAlignment="1" applyProtection="1">
      <alignment vertical="top" wrapText="1"/>
    </xf>
    <xf numFmtId="0" fontId="0" fillId="0" borderId="0" xfId="0" applyFill="1" applyBorder="1" applyAlignment="1"/>
    <xf numFmtId="3" fontId="3" fillId="2" borderId="0" xfId="0" applyNumberFormat="1" applyFont="1" applyFill="1" applyBorder="1" applyProtection="1">
      <protection locked="0"/>
    </xf>
    <xf numFmtId="49" fontId="4" fillId="28" borderId="0" xfId="0" applyNumberFormat="1" applyFont="1" applyFill="1" applyBorder="1" applyAlignment="1" applyProtection="1">
      <alignment horizontal="center"/>
    </xf>
    <xf numFmtId="0" fontId="6" fillId="28" borderId="0" xfId="0" applyFont="1" applyFill="1" applyBorder="1" applyAlignment="1" applyProtection="1">
      <alignment horizontal="left"/>
    </xf>
    <xf numFmtId="3" fontId="3" fillId="3" borderId="149" xfId="0" applyNumberFormat="1" applyFont="1" applyFill="1" applyBorder="1" applyProtection="1"/>
    <xf numFmtId="49" fontId="4" fillId="20" borderId="15" xfId="0" applyNumberFormat="1" applyFont="1" applyFill="1" applyBorder="1" applyAlignment="1" applyProtection="1">
      <alignment horizontal="center"/>
    </xf>
    <xf numFmtId="167" fontId="4" fillId="20" borderId="15" xfId="0" applyNumberFormat="1" applyFont="1" applyFill="1" applyBorder="1" applyAlignment="1" applyProtection="1">
      <alignment horizontal="left"/>
    </xf>
    <xf numFmtId="3" fontId="3" fillId="2" borderId="182" xfId="0" applyNumberFormat="1" applyFont="1" applyFill="1" applyBorder="1" applyAlignment="1" applyProtection="1">
      <alignment horizontal="right"/>
      <protection locked="0"/>
    </xf>
    <xf numFmtId="3" fontId="3" fillId="2" borderId="91" xfId="0" applyNumberFormat="1" applyFont="1" applyFill="1" applyBorder="1" applyAlignment="1" applyProtection="1">
      <alignment horizontal="right"/>
      <protection locked="0"/>
    </xf>
    <xf numFmtId="0" fontId="37" fillId="0" borderId="152" xfId="0" applyFont="1" applyFill="1" applyBorder="1" applyProtection="1"/>
    <xf numFmtId="49" fontId="6" fillId="20" borderId="67" xfId="0" applyNumberFormat="1" applyFont="1" applyFill="1" applyBorder="1" applyAlignment="1" applyProtection="1">
      <alignment horizontal="center"/>
    </xf>
    <xf numFmtId="0" fontId="10" fillId="2" borderId="219" xfId="0" applyFont="1" applyFill="1" applyBorder="1" applyProtection="1"/>
    <xf numFmtId="0" fontId="0" fillId="0" borderId="219" xfId="0" applyFill="1" applyBorder="1" applyProtection="1"/>
    <xf numFmtId="0" fontId="10" fillId="2" borderId="197" xfId="0" applyFont="1" applyFill="1" applyBorder="1" applyProtection="1"/>
    <xf numFmtId="3" fontId="14" fillId="2" borderId="160" xfId="0" applyNumberFormat="1" applyFont="1" applyFill="1" applyBorder="1" applyAlignment="1" applyProtection="1">
      <alignment horizontal="right"/>
      <protection locked="0"/>
    </xf>
    <xf numFmtId="3" fontId="3" fillId="2" borderId="70" xfId="0" applyNumberFormat="1" applyFont="1" applyFill="1" applyBorder="1" applyAlignment="1" applyProtection="1">
      <alignment horizontal="right"/>
      <protection locked="0"/>
    </xf>
    <xf numFmtId="3" fontId="46" fillId="0" borderId="57" xfId="0" applyNumberFormat="1" applyFont="1" applyFill="1" applyBorder="1" applyProtection="1"/>
    <xf numFmtId="3" fontId="46" fillId="20" borderId="68" xfId="0" applyNumberFormat="1" applyFont="1" applyFill="1" applyBorder="1" applyProtection="1"/>
    <xf numFmtId="3" fontId="46" fillId="21" borderId="83" xfId="0" applyNumberFormat="1" applyFont="1" applyFill="1" applyBorder="1" applyProtection="1"/>
    <xf numFmtId="3" fontId="46" fillId="20" borderId="18" xfId="0" applyNumberFormat="1" applyFont="1" applyFill="1" applyBorder="1" applyProtection="1"/>
    <xf numFmtId="3" fontId="3" fillId="28" borderId="60" xfId="0" applyNumberFormat="1" applyFont="1" applyFill="1" applyBorder="1" applyAlignment="1" applyProtection="1">
      <alignment horizontal="right"/>
      <protection locked="0"/>
    </xf>
    <xf numFmtId="49" fontId="4" fillId="20" borderId="128" xfId="0" applyNumberFormat="1" applyFont="1" applyFill="1" applyBorder="1" applyAlignment="1" applyProtection="1">
      <alignment horizontal="center" wrapText="1"/>
    </xf>
    <xf numFmtId="49" fontId="4" fillId="20" borderId="199" xfId="0" applyNumberFormat="1" applyFont="1" applyFill="1" applyBorder="1" applyAlignment="1" applyProtection="1">
      <alignment horizontal="left"/>
    </xf>
    <xf numFmtId="3" fontId="3" fillId="2" borderId="127" xfId="0" applyNumberFormat="1" applyFont="1" applyFill="1" applyBorder="1" applyAlignment="1" applyProtection="1">
      <alignment horizontal="right"/>
      <protection locked="0"/>
    </xf>
    <xf numFmtId="49" fontId="4" fillId="20" borderId="225" xfId="0" applyNumberFormat="1" applyFont="1" applyFill="1" applyBorder="1" applyAlignment="1" applyProtection="1">
      <alignment horizontal="center"/>
    </xf>
    <xf numFmtId="3" fontId="3" fillId="28" borderId="81" xfId="0" applyNumberFormat="1" applyFont="1" applyFill="1" applyBorder="1" applyProtection="1">
      <protection locked="0"/>
    </xf>
    <xf numFmtId="3" fontId="37" fillId="20" borderId="55" xfId="0" applyNumberFormat="1" applyFont="1" applyFill="1" applyBorder="1" applyAlignment="1" applyProtection="1"/>
    <xf numFmtId="3" fontId="112" fillId="20" borderId="55" xfId="0" applyNumberFormat="1" applyFont="1" applyFill="1" applyBorder="1" applyAlignment="1" applyProtection="1">
      <alignment vertical="center"/>
    </xf>
    <xf numFmtId="0" fontId="4" fillId="20" borderId="7" xfId="0" applyFont="1" applyFill="1" applyBorder="1" applyAlignment="1" applyProtection="1">
      <alignment horizontal="center"/>
    </xf>
    <xf numFmtId="49" fontId="4" fillId="20" borderId="27" xfId="0" applyNumberFormat="1" applyFont="1" applyFill="1" applyBorder="1" applyAlignment="1" applyProtection="1">
      <alignment horizontal="center"/>
    </xf>
    <xf numFmtId="49" fontId="4" fillId="20" borderId="226" xfId="0" applyNumberFormat="1" applyFont="1" applyFill="1" applyBorder="1" applyAlignment="1" applyProtection="1">
      <alignment horizontal="left"/>
    </xf>
    <xf numFmtId="49" fontId="4" fillId="20" borderId="150" xfId="0" applyNumberFormat="1" applyFont="1" applyFill="1" applyBorder="1" applyAlignment="1" applyProtection="1">
      <alignment horizontal="center" wrapText="1"/>
    </xf>
    <xf numFmtId="0" fontId="4" fillId="20" borderId="8" xfId="0" applyFont="1" applyFill="1" applyBorder="1" applyAlignment="1" applyProtection="1">
      <alignment horizontal="left" wrapText="1"/>
    </xf>
    <xf numFmtId="1" fontId="4" fillId="20" borderId="69" xfId="0" applyNumberFormat="1" applyFont="1" applyFill="1" applyBorder="1" applyAlignment="1" applyProtection="1">
      <alignment horizontal="center"/>
    </xf>
    <xf numFmtId="0" fontId="4" fillId="20" borderId="67" xfId="0" applyFont="1" applyFill="1" applyBorder="1" applyAlignment="1" applyProtection="1">
      <alignment horizontal="left"/>
    </xf>
    <xf numFmtId="1" fontId="4" fillId="20" borderId="128" xfId="0" applyNumberFormat="1" applyFont="1" applyFill="1" applyBorder="1" applyAlignment="1" applyProtection="1">
      <alignment horizontal="center"/>
    </xf>
    <xf numFmtId="0" fontId="4" fillId="20" borderId="80" xfId="0" applyFont="1" applyFill="1" applyBorder="1" applyProtection="1"/>
    <xf numFmtId="1" fontId="9" fillId="20" borderId="69" xfId="0" applyNumberFormat="1" applyFont="1" applyFill="1" applyBorder="1" applyAlignment="1" applyProtection="1">
      <alignment horizontal="center"/>
    </xf>
    <xf numFmtId="3" fontId="3" fillId="20" borderId="20" xfId="0" applyNumberFormat="1" applyFont="1" applyFill="1" applyBorder="1" applyAlignment="1" applyProtection="1">
      <alignment horizontal="right"/>
    </xf>
    <xf numFmtId="0" fontId="4" fillId="20" borderId="24" xfId="0" applyFont="1" applyFill="1" applyBorder="1" applyAlignment="1" applyProtection="1">
      <alignment vertical="top"/>
    </xf>
    <xf numFmtId="3" fontId="4" fillId="20" borderId="25" xfId="0" applyNumberFormat="1" applyFont="1" applyFill="1" applyBorder="1" applyAlignment="1" applyProtection="1">
      <alignment vertical="top"/>
    </xf>
    <xf numFmtId="0" fontId="141" fillId="2" borderId="0" xfId="0" applyFont="1" applyFill="1" applyProtection="1"/>
    <xf numFmtId="0" fontId="6" fillId="20" borderId="9" xfId="0" applyFont="1" applyFill="1" applyBorder="1" applyAlignment="1" applyProtection="1">
      <alignment vertical="top" wrapText="1"/>
    </xf>
    <xf numFmtId="1" fontId="3" fillId="20" borderId="15" xfId="0" applyNumberFormat="1" applyFont="1" applyFill="1" applyBorder="1" applyAlignment="1" applyProtection="1">
      <alignment horizontal="left" wrapText="1"/>
    </xf>
    <xf numFmtId="49" fontId="4" fillId="20" borderId="63" xfId="0" applyNumberFormat="1" applyFont="1" applyFill="1" applyBorder="1" applyAlignment="1" applyProtection="1">
      <alignment horizontal="left"/>
    </xf>
    <xf numFmtId="0" fontId="4" fillId="20" borderId="9" xfId="0" applyFont="1" applyFill="1" applyBorder="1" applyAlignment="1" applyProtection="1">
      <alignment horizontal="center" wrapText="1"/>
    </xf>
    <xf numFmtId="1" fontId="4" fillId="20" borderId="69" xfId="0" applyNumberFormat="1" applyFont="1" applyFill="1" applyBorder="1" applyAlignment="1" applyProtection="1">
      <alignment horizontal="left"/>
    </xf>
    <xf numFmtId="3" fontId="3" fillId="0" borderId="12" xfId="0" applyNumberFormat="1" applyFont="1" applyFill="1" applyBorder="1" applyAlignment="1" applyProtection="1">
      <alignment horizontal="right"/>
      <protection locked="0"/>
    </xf>
    <xf numFmtId="3" fontId="3" fillId="20" borderId="19" xfId="0" applyNumberFormat="1" applyFont="1" applyFill="1" applyBorder="1" applyProtection="1"/>
    <xf numFmtId="3" fontId="14" fillId="0" borderId="226" xfId="0" applyNumberFormat="1" applyFont="1" applyFill="1" applyBorder="1" applyAlignment="1" applyProtection="1">
      <alignment horizontal="right"/>
      <protection locked="0"/>
    </xf>
    <xf numFmtId="3" fontId="6" fillId="20" borderId="91" xfId="0" applyNumberFormat="1" applyFont="1" applyFill="1" applyBorder="1" applyAlignment="1" applyProtection="1">
      <alignment wrapText="1"/>
    </xf>
    <xf numFmtId="3" fontId="3" fillId="28" borderId="0" xfId="0" applyNumberFormat="1" applyFont="1" applyFill="1" applyBorder="1" applyAlignment="1" applyProtection="1">
      <alignment horizontal="right"/>
    </xf>
    <xf numFmtId="3" fontId="3" fillId="2" borderId="219" xfId="0" applyNumberFormat="1" applyFont="1" applyFill="1" applyBorder="1" applyAlignment="1" applyProtection="1">
      <alignment horizontal="right"/>
      <protection locked="0"/>
    </xf>
    <xf numFmtId="0" fontId="4" fillId="20" borderId="185" xfId="0" applyNumberFormat="1" applyFont="1" applyFill="1" applyBorder="1" applyAlignment="1" applyProtection="1">
      <alignment horizontal="center" vertical="top" wrapText="1"/>
    </xf>
    <xf numFmtId="0" fontId="142" fillId="0" borderId="0" xfId="0" applyFont="1" applyFill="1" applyBorder="1" applyProtection="1"/>
    <xf numFmtId="0" fontId="6" fillId="20" borderId="65" xfId="0" applyFont="1" applyFill="1" applyBorder="1" applyAlignment="1" applyProtection="1">
      <alignment horizontal="left"/>
    </xf>
    <xf numFmtId="165" fontId="38" fillId="20" borderId="0" xfId="16" applyFont="1" applyFill="1" applyBorder="1" applyAlignment="1" applyProtection="1"/>
    <xf numFmtId="3" fontId="112" fillId="5" borderId="0" xfId="0" applyNumberFormat="1" applyFont="1" applyFill="1" applyBorder="1" applyProtection="1"/>
    <xf numFmtId="3" fontId="3" fillId="8" borderId="2" xfId="5" applyNumberFormat="1" applyFont="1" applyFill="1" applyBorder="1" applyAlignment="1">
      <alignment horizontal="right"/>
    </xf>
    <xf numFmtId="3" fontId="3" fillId="20" borderId="5" xfId="5" applyNumberFormat="1" applyFont="1" applyFill="1" applyBorder="1" applyAlignment="1">
      <alignment horizontal="right"/>
    </xf>
    <xf numFmtId="0" fontId="4" fillId="20" borderId="25" xfId="0" applyFont="1" applyFill="1" applyBorder="1" applyAlignment="1" applyProtection="1">
      <alignment horizontal="left"/>
    </xf>
    <xf numFmtId="0" fontId="6" fillId="20" borderId="13" xfId="0" applyNumberFormat="1" applyFont="1" applyFill="1" applyBorder="1" applyAlignment="1" applyProtection="1">
      <alignment horizontal="center"/>
    </xf>
    <xf numFmtId="1" fontId="5" fillId="20" borderId="113" xfId="0" applyNumberFormat="1" applyFont="1" applyFill="1" applyBorder="1" applyAlignment="1" applyProtection="1">
      <alignment horizontal="center"/>
    </xf>
    <xf numFmtId="49" fontId="4" fillId="20" borderId="191" xfId="0" applyNumberFormat="1" applyFont="1" applyFill="1" applyBorder="1" applyAlignment="1" applyProtection="1">
      <alignment horizontal="left"/>
    </xf>
    <xf numFmtId="49" fontId="4" fillId="20" borderId="185" xfId="0" applyNumberFormat="1" applyFont="1" applyFill="1" applyBorder="1" applyAlignment="1" applyProtection="1">
      <alignment horizontal="left"/>
    </xf>
    <xf numFmtId="49" fontId="4" fillId="20" borderId="203" xfId="0" applyNumberFormat="1" applyFont="1" applyFill="1" applyBorder="1" applyAlignment="1" applyProtection="1">
      <alignment horizontal="center"/>
    </xf>
    <xf numFmtId="0" fontId="6" fillId="20" borderId="195" xfId="0" applyFont="1" applyFill="1" applyBorder="1" applyAlignment="1" applyProtection="1">
      <alignment horizontal="left"/>
    </xf>
    <xf numFmtId="0" fontId="6" fillId="20" borderId="150" xfId="0" applyFont="1" applyFill="1" applyBorder="1" applyAlignment="1" applyProtection="1">
      <alignment horizontal="center"/>
    </xf>
    <xf numFmtId="0" fontId="6" fillId="20" borderId="13" xfId="0" applyFont="1" applyFill="1" applyBorder="1" applyAlignment="1" applyProtection="1">
      <alignment horizontal="center"/>
    </xf>
    <xf numFmtId="0" fontId="6" fillId="20" borderId="9" xfId="0" applyFont="1" applyFill="1" applyBorder="1" applyAlignment="1" applyProtection="1">
      <alignment horizontal="left" wrapText="1"/>
    </xf>
    <xf numFmtId="0" fontId="5" fillId="20" borderId="113" xfId="0" applyFont="1" applyFill="1" applyBorder="1" applyAlignment="1" applyProtection="1">
      <alignment horizontal="center"/>
    </xf>
    <xf numFmtId="0" fontId="6" fillId="20" borderId="190" xfId="0" applyFont="1" applyFill="1" applyBorder="1" applyProtection="1"/>
    <xf numFmtId="1" fontId="4" fillId="20" borderId="35" xfId="0" applyNumberFormat="1" applyFont="1" applyFill="1" applyBorder="1" applyAlignment="1" applyProtection="1">
      <alignment horizontal="center"/>
    </xf>
    <xf numFmtId="0" fontId="4" fillId="20" borderId="228" xfId="0" applyFont="1" applyFill="1" applyBorder="1" applyAlignment="1" applyProtection="1">
      <alignment horizontal="left" wrapText="1"/>
    </xf>
    <xf numFmtId="0" fontId="6" fillId="20" borderId="137" xfId="0" applyFont="1" applyFill="1" applyBorder="1" applyAlignment="1" applyProtection="1">
      <alignment horizontal="left"/>
    </xf>
    <xf numFmtId="0" fontId="4" fillId="20" borderId="41" xfId="0" applyFont="1" applyFill="1" applyBorder="1" applyAlignment="1" applyProtection="1">
      <alignment horizontal="left"/>
    </xf>
    <xf numFmtId="0" fontId="6" fillId="20" borderId="131" xfId="0" applyFont="1" applyFill="1" applyBorder="1" applyProtection="1"/>
    <xf numFmtId="3" fontId="4" fillId="20" borderId="71" xfId="0" applyNumberFormat="1" applyFont="1" applyFill="1" applyBorder="1" applyProtection="1"/>
    <xf numFmtId="3" fontId="9" fillId="20" borderId="149" xfId="0" applyNumberFormat="1" applyFont="1" applyFill="1" applyBorder="1" applyProtection="1"/>
    <xf numFmtId="3" fontId="4" fillId="20" borderId="25" xfId="0" applyNumberFormat="1" applyFont="1" applyFill="1" applyBorder="1" applyAlignment="1" applyProtection="1">
      <alignment vertical="top" wrapText="1"/>
    </xf>
    <xf numFmtId="3" fontId="6" fillId="20" borderId="71" xfId="0" applyNumberFormat="1" applyFont="1" applyFill="1" applyBorder="1" applyAlignment="1" applyProtection="1">
      <alignment vertical="top" wrapText="1"/>
    </xf>
    <xf numFmtId="0" fontId="12" fillId="20" borderId="124" xfId="0" applyFont="1" applyFill="1" applyBorder="1" applyProtection="1"/>
    <xf numFmtId="3" fontId="6" fillId="20" borderId="174" xfId="0" applyNumberFormat="1" applyFont="1" applyFill="1" applyBorder="1" applyProtection="1"/>
    <xf numFmtId="0" fontId="5" fillId="20" borderId="71" xfId="0" applyFont="1" applyFill="1" applyBorder="1" applyAlignment="1" applyProtection="1">
      <alignment horizontal="center" vertical="center"/>
    </xf>
    <xf numFmtId="0" fontId="5" fillId="20" borderId="90" xfId="0" applyFont="1" applyFill="1" applyBorder="1" applyAlignment="1" applyProtection="1">
      <alignment horizontal="center" vertical="center" wrapText="1"/>
    </xf>
    <xf numFmtId="0" fontId="6" fillId="20" borderId="151" xfId="0" applyFont="1" applyFill="1" applyBorder="1" applyAlignment="1" applyProtection="1">
      <alignment horizontal="center" vertical="top" wrapText="1"/>
    </xf>
    <xf numFmtId="0" fontId="4" fillId="20" borderId="46" xfId="0" applyFont="1" applyFill="1" applyBorder="1" applyAlignment="1" applyProtection="1">
      <alignment horizontal="left" vertical="top" wrapText="1"/>
    </xf>
    <xf numFmtId="0" fontId="112" fillId="20" borderId="0" xfId="0" applyFont="1" applyFill="1" applyBorder="1" applyProtection="1"/>
    <xf numFmtId="0" fontId="112" fillId="20" borderId="27" xfId="0" applyFont="1" applyFill="1" applyBorder="1" applyProtection="1"/>
    <xf numFmtId="0" fontId="112" fillId="20" borderId="57" xfId="0" applyFont="1" applyFill="1" applyBorder="1" applyProtection="1"/>
    <xf numFmtId="0" fontId="112" fillId="20" borderId="27" xfId="0" applyFont="1" applyFill="1" applyBorder="1" applyAlignment="1" applyProtection="1"/>
    <xf numFmtId="0" fontId="112" fillId="20" borderId="0" xfId="0" applyFont="1" applyFill="1" applyAlignment="1">
      <alignment wrapText="1"/>
    </xf>
    <xf numFmtId="3" fontId="37" fillId="0" borderId="27" xfId="0" applyNumberFormat="1" applyFont="1" applyFill="1" applyBorder="1" applyAlignment="1" applyProtection="1">
      <alignment wrapText="1"/>
    </xf>
    <xf numFmtId="1" fontId="4" fillId="0" borderId="0" xfId="0" applyNumberFormat="1" applyFont="1" applyFill="1" applyBorder="1" applyAlignment="1" applyProtection="1">
      <alignment horizontal="center" wrapText="1"/>
    </xf>
    <xf numFmtId="3" fontId="4" fillId="0" borderId="117" xfId="0" applyNumberFormat="1" applyFont="1" applyFill="1" applyBorder="1" applyAlignment="1">
      <alignment horizontal="left" vertical="top" wrapText="1"/>
    </xf>
    <xf numFmtId="3" fontId="3" fillId="9" borderId="155" xfId="5" applyNumberFormat="1" applyFont="1" applyFill="1" applyBorder="1" applyProtection="1"/>
    <xf numFmtId="3" fontId="3" fillId="2" borderId="67" xfId="5" applyNumberFormat="1" applyFont="1" applyFill="1" applyBorder="1" applyAlignment="1" applyProtection="1">
      <alignment horizontal="right"/>
      <protection locked="0"/>
    </xf>
    <xf numFmtId="3" fontId="3" fillId="32" borderId="67" xfId="5" applyNumberFormat="1" applyFont="1" applyFill="1" applyBorder="1" applyAlignment="1" applyProtection="1">
      <alignment horizontal="right"/>
    </xf>
    <xf numFmtId="3" fontId="3" fillId="2" borderId="223" xfId="0" applyNumberFormat="1" applyFont="1" applyFill="1" applyBorder="1" applyAlignment="1" applyProtection="1">
      <alignment horizontal="right"/>
      <protection locked="0"/>
    </xf>
    <xf numFmtId="0" fontId="38" fillId="0" borderId="27" xfId="0" applyFont="1" applyFill="1" applyBorder="1" applyProtection="1"/>
    <xf numFmtId="49" fontId="4" fillId="20" borderId="13" xfId="0" applyNumberFormat="1" applyFont="1" applyFill="1" applyBorder="1" applyAlignment="1" applyProtection="1">
      <alignment horizontal="center"/>
    </xf>
    <xf numFmtId="49" fontId="4" fillId="20" borderId="227" xfId="0" applyNumberFormat="1" applyFont="1" applyFill="1" applyBorder="1" applyAlignment="1" applyProtection="1">
      <alignment horizontal="left" vertical="center"/>
    </xf>
    <xf numFmtId="1" fontId="5" fillId="20" borderId="80" xfId="0" applyNumberFormat="1" applyFont="1" applyFill="1" applyBorder="1" applyAlignment="1" applyProtection="1">
      <alignment horizontal="center" vertical="center"/>
    </xf>
    <xf numFmtId="0" fontId="6" fillId="20" borderId="216" xfId="0" applyFont="1" applyFill="1" applyBorder="1" applyAlignment="1" applyProtection="1">
      <alignment horizontal="left" vertical="center"/>
    </xf>
    <xf numFmtId="3" fontId="6" fillId="20" borderId="194" xfId="0" applyNumberFormat="1" applyFont="1" applyFill="1" applyBorder="1" applyAlignment="1" applyProtection="1">
      <alignment vertical="center"/>
    </xf>
    <xf numFmtId="3" fontId="6" fillId="20" borderId="95" xfId="0" applyNumberFormat="1" applyFont="1" applyFill="1" applyBorder="1" applyAlignment="1" applyProtection="1">
      <alignment vertical="center"/>
    </xf>
    <xf numFmtId="0" fontId="113" fillId="20" borderId="0" xfId="0" applyFont="1" applyFill="1" applyBorder="1" applyProtection="1"/>
    <xf numFmtId="0" fontId="8" fillId="20" borderId="18" xfId="0" applyFont="1" applyFill="1" applyBorder="1" applyProtection="1"/>
    <xf numFmtId="3" fontId="3" fillId="33" borderId="25" xfId="0" applyNumberFormat="1" applyFont="1" applyFill="1" applyBorder="1" applyAlignment="1" applyProtection="1">
      <alignment horizontal="right"/>
    </xf>
    <xf numFmtId="0" fontId="4" fillId="10" borderId="141" xfId="0" applyFont="1" applyFill="1" applyBorder="1" applyAlignment="1" applyProtection="1">
      <alignment horizontal="center"/>
    </xf>
    <xf numFmtId="0" fontId="4" fillId="10" borderId="24" xfId="0" applyFont="1" applyFill="1" applyBorder="1" applyAlignment="1" applyProtection="1">
      <alignment horizontal="center"/>
    </xf>
    <xf numFmtId="0" fontId="6" fillId="20" borderId="80" xfId="0" applyFont="1" applyFill="1" applyBorder="1" applyAlignment="1" applyProtection="1">
      <alignment horizontal="left"/>
    </xf>
    <xf numFmtId="3" fontId="3" fillId="2" borderId="18" xfId="0" applyNumberFormat="1" applyFont="1" applyFill="1" applyBorder="1" applyAlignment="1" applyProtection="1">
      <alignment horizontal="right"/>
      <protection locked="0"/>
    </xf>
    <xf numFmtId="3" fontId="3" fillId="3" borderId="26" xfId="0" applyNumberFormat="1" applyFont="1" applyFill="1" applyBorder="1" applyProtection="1"/>
    <xf numFmtId="3" fontId="3" fillId="3" borderId="62" xfId="0" applyNumberFormat="1" applyFont="1" applyFill="1" applyBorder="1" applyProtection="1"/>
    <xf numFmtId="3" fontId="3" fillId="3" borderId="80" xfId="0" applyNumberFormat="1" applyFont="1" applyFill="1" applyBorder="1" applyProtection="1"/>
    <xf numFmtId="3" fontId="3" fillId="3" borderId="77" xfId="0" applyNumberFormat="1" applyFont="1" applyFill="1" applyBorder="1" applyProtection="1"/>
    <xf numFmtId="3" fontId="3" fillId="3" borderId="18" xfId="0" applyNumberFormat="1" applyFont="1" applyFill="1" applyBorder="1" applyProtection="1"/>
    <xf numFmtId="0" fontId="4" fillId="20" borderId="24" xfId="0" applyFont="1" applyFill="1" applyBorder="1" applyAlignment="1" applyProtection="1">
      <alignment horizontal="center"/>
    </xf>
    <xf numFmtId="0" fontId="4" fillId="20" borderId="5" xfId="0" applyFont="1" applyFill="1" applyBorder="1" applyAlignment="1" applyProtection="1">
      <alignment horizontal="left"/>
    </xf>
    <xf numFmtId="0" fontId="37" fillId="0" borderId="152" xfId="0" applyFont="1" applyFill="1" applyBorder="1" applyProtection="1"/>
    <xf numFmtId="3" fontId="3" fillId="21" borderId="196" xfId="0" applyNumberFormat="1" applyFont="1" applyFill="1" applyBorder="1" applyProtection="1"/>
    <xf numFmtId="0" fontId="113" fillId="2" borderId="57" xfId="0" applyFont="1" applyFill="1" applyBorder="1" applyProtection="1"/>
    <xf numFmtId="0" fontId="106" fillId="2" borderId="0" xfId="0" applyFont="1" applyFill="1" applyProtection="1"/>
    <xf numFmtId="0" fontId="145" fillId="0" borderId="0" xfId="0" applyFont="1" applyProtection="1"/>
    <xf numFmtId="3" fontId="3" fillId="3" borderId="2" xfId="0" applyNumberFormat="1" applyFont="1" applyFill="1" applyBorder="1" applyProtection="1"/>
    <xf numFmtId="3" fontId="3" fillId="3" borderId="103" xfId="0" applyNumberFormat="1" applyFont="1" applyFill="1" applyBorder="1" applyProtection="1"/>
    <xf numFmtId="3" fontId="6" fillId="20" borderId="196" xfId="0" applyNumberFormat="1" applyFont="1" applyFill="1" applyBorder="1" applyProtection="1"/>
    <xf numFmtId="49" fontId="4" fillId="20" borderId="228" xfId="0" applyNumberFormat="1" applyFont="1" applyFill="1" applyBorder="1" applyAlignment="1" applyProtection="1">
      <alignment horizontal="left" wrapText="1"/>
    </xf>
    <xf numFmtId="3" fontId="3" fillId="3" borderId="26" xfId="0" applyNumberFormat="1" applyFont="1" applyFill="1" applyBorder="1" applyAlignment="1"/>
    <xf numFmtId="0" fontId="6" fillId="20" borderId="137" xfId="0" applyFont="1" applyFill="1" applyBorder="1" applyAlignment="1" applyProtection="1"/>
    <xf numFmtId="167" fontId="7" fillId="20" borderId="138" xfId="0" applyNumberFormat="1" applyFont="1" applyFill="1" applyBorder="1" applyAlignment="1" applyProtection="1"/>
    <xf numFmtId="0" fontId="6" fillId="20" borderId="21" xfId="0" applyFont="1" applyFill="1" applyBorder="1" applyAlignment="1" applyProtection="1">
      <alignment horizontal="left"/>
    </xf>
    <xf numFmtId="0" fontId="6" fillId="20" borderId="52" xfId="0" applyFont="1" applyFill="1" applyBorder="1" applyAlignment="1" applyProtection="1">
      <alignment horizontal="left"/>
    </xf>
    <xf numFmtId="3" fontId="136" fillId="0" borderId="0" xfId="0" applyNumberFormat="1" applyFont="1" applyFill="1" applyBorder="1" applyAlignment="1" applyProtection="1"/>
    <xf numFmtId="0" fontId="135" fillId="0" borderId="0" xfId="0" applyFont="1" applyProtection="1"/>
    <xf numFmtId="0" fontId="0" fillId="0" borderId="0" xfId="0" applyAlignment="1"/>
    <xf numFmtId="0" fontId="10" fillId="0" borderId="0" xfId="0" applyFont="1" applyFill="1" applyAlignment="1" applyProtection="1"/>
    <xf numFmtId="49" fontId="4" fillId="20" borderId="2" xfId="0" applyNumberFormat="1" applyFont="1" applyFill="1" applyBorder="1" applyAlignment="1" applyProtection="1">
      <alignment horizontal="left" indent="1"/>
    </xf>
    <xf numFmtId="0" fontId="4" fillId="20" borderId="155" xfId="0" applyNumberFormat="1" applyFont="1" applyFill="1" applyBorder="1" applyAlignment="1" applyProtection="1">
      <alignment horizontal="center"/>
    </xf>
    <xf numFmtId="0" fontId="0" fillId="20" borderId="66" xfId="0" applyFill="1" applyBorder="1"/>
    <xf numFmtId="0" fontId="76" fillId="20" borderId="27" xfId="0" applyFont="1" applyFill="1" applyBorder="1" applyAlignment="1">
      <alignment horizontal="left" wrapText="1"/>
    </xf>
    <xf numFmtId="0" fontId="77" fillId="20" borderId="0" xfId="0" applyFont="1" applyFill="1" applyBorder="1" applyAlignment="1">
      <alignment horizontal="right" wrapText="1"/>
    </xf>
    <xf numFmtId="0" fontId="75" fillId="20" borderId="0" xfId="0" applyFont="1" applyFill="1" applyBorder="1" applyAlignment="1">
      <alignment wrapText="1"/>
    </xf>
    <xf numFmtId="0" fontId="0" fillId="20" borderId="0" xfId="0" applyFill="1" applyBorder="1"/>
    <xf numFmtId="0" fontId="73" fillId="20" borderId="27" xfId="0" applyFont="1" applyFill="1" applyBorder="1" applyAlignment="1">
      <alignment horizontal="right" wrapText="1"/>
    </xf>
    <xf numFmtId="49" fontId="77" fillId="20" borderId="0" xfId="0" applyNumberFormat="1" applyFont="1" applyFill="1" applyBorder="1" applyAlignment="1">
      <alignment horizontal="right" wrapText="1"/>
    </xf>
    <xf numFmtId="3" fontId="146" fillId="20" borderId="0" xfId="0" applyNumberFormat="1" applyFont="1" applyFill="1" applyBorder="1" applyAlignment="1" applyProtection="1">
      <alignment horizontal="right"/>
    </xf>
    <xf numFmtId="3" fontId="18" fillId="20" borderId="0" xfId="0" applyNumberFormat="1" applyFont="1" applyFill="1" applyBorder="1" applyAlignment="1" applyProtection="1">
      <alignment horizontal="right"/>
    </xf>
    <xf numFmtId="0" fontId="0" fillId="20" borderId="0" xfId="0" applyFill="1"/>
    <xf numFmtId="0" fontId="147" fillId="20" borderId="0" xfId="0" applyFont="1" applyFill="1"/>
    <xf numFmtId="0" fontId="0" fillId="20" borderId="27" xfId="0" applyFill="1" applyBorder="1"/>
    <xf numFmtId="0" fontId="0" fillId="20" borderId="107" xfId="0" applyFill="1" applyBorder="1"/>
    <xf numFmtId="0" fontId="0" fillId="20" borderId="1" xfId="0" applyFill="1" applyBorder="1"/>
    <xf numFmtId="0" fontId="0" fillId="34" borderId="0" xfId="0" applyFill="1"/>
    <xf numFmtId="0" fontId="4" fillId="35" borderId="126" xfId="0" applyFont="1" applyFill="1" applyBorder="1" applyAlignment="1" applyProtection="1">
      <alignment horizontal="center"/>
    </xf>
    <xf numFmtId="0" fontId="4" fillId="35" borderId="215" xfId="0" applyFont="1" applyFill="1" applyBorder="1" applyAlignment="1" applyProtection="1">
      <alignment horizontal="center"/>
    </xf>
    <xf numFmtId="0" fontId="4" fillId="35" borderId="21" xfId="0" applyFont="1" applyFill="1" applyBorder="1" applyAlignment="1" applyProtection="1">
      <alignment horizontal="center"/>
    </xf>
    <xf numFmtId="0" fontId="4" fillId="35" borderId="49" xfId="0" applyFont="1" applyFill="1" applyBorder="1" applyAlignment="1" applyProtection="1">
      <alignment horizontal="center"/>
    </xf>
    <xf numFmtId="0" fontId="4" fillId="35" borderId="50" xfId="0" applyFont="1" applyFill="1" applyBorder="1" applyAlignment="1" applyProtection="1">
      <alignment horizontal="center"/>
    </xf>
    <xf numFmtId="0" fontId="4" fillId="35" borderId="228" xfId="0" applyFont="1" applyFill="1" applyBorder="1" applyAlignment="1">
      <alignment horizontal="center"/>
    </xf>
    <xf numFmtId="0" fontId="4" fillId="35" borderId="21" xfId="0" applyFont="1" applyFill="1" applyBorder="1" applyAlignment="1">
      <alignment horizontal="center"/>
    </xf>
    <xf numFmtId="0" fontId="4" fillId="35" borderId="50" xfId="0" applyFont="1" applyFill="1" applyBorder="1" applyAlignment="1">
      <alignment horizontal="center"/>
    </xf>
    <xf numFmtId="0" fontId="4" fillId="35" borderId="2" xfId="0" applyFont="1" applyFill="1" applyBorder="1" applyAlignment="1" applyProtection="1">
      <alignment horizontal="left"/>
    </xf>
    <xf numFmtId="0" fontId="4" fillId="35" borderId="5" xfId="0" applyFont="1" applyFill="1" applyBorder="1" applyAlignment="1" applyProtection="1">
      <alignment horizontal="left"/>
    </xf>
    <xf numFmtId="0" fontId="6" fillId="35" borderId="190" xfId="0" applyFont="1" applyFill="1" applyBorder="1" applyAlignment="1" applyProtection="1">
      <alignment horizontal="left" vertical="center" wrapText="1"/>
    </xf>
    <xf numFmtId="0" fontId="4" fillId="35" borderId="2" xfId="0" applyFont="1" applyFill="1" applyBorder="1" applyAlignment="1" applyProtection="1">
      <alignment horizontal="left" wrapText="1"/>
    </xf>
    <xf numFmtId="0" fontId="4" fillId="35" borderId="67" xfId="0" applyFont="1" applyFill="1" applyBorder="1" applyAlignment="1">
      <alignment horizontal="left" wrapText="1"/>
    </xf>
    <xf numFmtId="0" fontId="6" fillId="35" borderId="149" xfId="0" applyFont="1" applyFill="1" applyBorder="1" applyAlignment="1">
      <alignment horizontal="left"/>
    </xf>
    <xf numFmtId="0" fontId="6" fillId="35" borderId="190" xfId="0" applyFont="1" applyFill="1" applyBorder="1" applyAlignment="1">
      <alignment horizontal="left" vertical="center" wrapText="1"/>
    </xf>
    <xf numFmtId="0" fontId="4" fillId="35" borderId="53" xfId="0" applyFont="1" applyFill="1" applyBorder="1" applyAlignment="1">
      <alignment horizontal="left"/>
    </xf>
    <xf numFmtId="0" fontId="6" fillId="35" borderId="25" xfId="0" applyFont="1" applyFill="1" applyBorder="1" applyAlignment="1">
      <alignment horizontal="left" vertical="center" wrapText="1"/>
    </xf>
    <xf numFmtId="49" fontId="4" fillId="20" borderId="178" xfId="0" applyNumberFormat="1" applyFont="1" applyFill="1" applyBorder="1" applyAlignment="1" applyProtection="1">
      <alignment horizontal="left"/>
    </xf>
    <xf numFmtId="0" fontId="0" fillId="0" borderId="229" xfId="0" applyFill="1" applyBorder="1" applyProtection="1"/>
    <xf numFmtId="49" fontId="4" fillId="20" borderId="54" xfId="0" applyNumberFormat="1" applyFont="1" applyFill="1" applyBorder="1" applyAlignment="1" applyProtection="1">
      <alignment horizontal="left"/>
    </xf>
    <xf numFmtId="0" fontId="113" fillId="0" borderId="230" xfId="0" applyFont="1" applyFill="1" applyBorder="1" applyProtection="1"/>
    <xf numFmtId="3" fontId="46" fillId="21" borderId="149" xfId="0" applyNumberFormat="1" applyFont="1" applyFill="1" applyBorder="1" applyProtection="1"/>
    <xf numFmtId="49" fontId="4" fillId="20" borderId="219" xfId="0" applyNumberFormat="1" applyFont="1" applyFill="1" applyBorder="1" applyAlignment="1" applyProtection="1">
      <alignment horizontal="left"/>
    </xf>
    <xf numFmtId="49" fontId="4" fillId="20" borderId="231" xfId="0" applyNumberFormat="1" applyFont="1" applyFill="1" applyBorder="1" applyAlignment="1" applyProtection="1">
      <alignment horizontal="left"/>
    </xf>
    <xf numFmtId="49" fontId="4" fillId="35" borderId="21" xfId="0" applyNumberFormat="1" applyFont="1" applyFill="1" applyBorder="1" applyAlignment="1" applyProtection="1">
      <alignment horizontal="center"/>
    </xf>
    <xf numFmtId="49" fontId="4" fillId="35" borderId="125" xfId="0" applyNumberFormat="1" applyFont="1" applyFill="1" applyBorder="1" applyAlignment="1" applyProtection="1">
      <alignment horizontal="center"/>
    </xf>
    <xf numFmtId="0" fontId="4" fillId="35" borderId="2" xfId="0" applyNumberFormat="1" applyFont="1" applyFill="1" applyBorder="1" applyAlignment="1" applyProtection="1">
      <alignment horizontal="center"/>
    </xf>
    <xf numFmtId="0" fontId="4" fillId="35" borderId="2" xfId="0" applyFont="1" applyFill="1" applyBorder="1" applyProtection="1"/>
    <xf numFmtId="49" fontId="4" fillId="35" borderId="67" xfId="0" applyNumberFormat="1" applyFont="1" applyFill="1" applyBorder="1" applyAlignment="1" applyProtection="1">
      <alignment horizontal="center"/>
    </xf>
    <xf numFmtId="49" fontId="4" fillId="35" borderId="9" xfId="0" applyNumberFormat="1" applyFont="1" applyFill="1" applyBorder="1" applyAlignment="1" applyProtection="1">
      <alignment horizontal="center"/>
    </xf>
    <xf numFmtId="49" fontId="4" fillId="35" borderId="2" xfId="0" applyNumberFormat="1" applyFont="1" applyFill="1" applyBorder="1" applyAlignment="1" applyProtection="1">
      <alignment horizontal="center"/>
    </xf>
    <xf numFmtId="0" fontId="4" fillId="35" borderId="5" xfId="0" applyFont="1" applyFill="1" applyBorder="1" applyProtection="1"/>
    <xf numFmtId="0" fontId="4" fillId="35" borderId="13" xfId="0" applyFont="1" applyFill="1" applyBorder="1" applyProtection="1"/>
    <xf numFmtId="0" fontId="6" fillId="35" borderId="5" xfId="0" applyFont="1" applyFill="1" applyBorder="1" applyProtection="1"/>
    <xf numFmtId="0" fontId="4" fillId="35" borderId="67" xfId="0" applyFont="1" applyFill="1" applyBorder="1" applyProtection="1"/>
    <xf numFmtId="0" fontId="4" fillId="35" borderId="9" xfId="0" applyFont="1" applyFill="1" applyBorder="1" applyProtection="1"/>
    <xf numFmtId="0" fontId="4" fillId="35" borderId="2" xfId="0" applyFont="1" applyFill="1" applyBorder="1" applyAlignment="1" applyProtection="1">
      <alignment wrapText="1"/>
    </xf>
    <xf numFmtId="49" fontId="4" fillId="35" borderId="128" xfId="0" applyNumberFormat="1" applyFont="1" applyFill="1" applyBorder="1" applyAlignment="1" applyProtection="1">
      <alignment horizontal="center"/>
    </xf>
    <xf numFmtId="0" fontId="4" fillId="35" borderId="128" xfId="0" applyFont="1" applyFill="1" applyBorder="1" applyProtection="1"/>
    <xf numFmtId="49" fontId="4" fillId="35" borderId="2" xfId="0" applyNumberFormat="1" applyFont="1" applyFill="1" applyBorder="1" applyAlignment="1" applyProtection="1">
      <alignment horizontal="left"/>
    </xf>
    <xf numFmtId="49" fontId="4" fillId="35" borderId="203" xfId="0" applyNumberFormat="1" applyFont="1" applyFill="1" applyBorder="1" applyAlignment="1" applyProtection="1">
      <alignment horizontal="left"/>
    </xf>
    <xf numFmtId="173" fontId="3" fillId="2" borderId="110" xfId="0" applyNumberFormat="1" applyFont="1" applyFill="1" applyBorder="1" applyAlignment="1" applyProtection="1">
      <alignment horizontal="right"/>
      <protection locked="0"/>
    </xf>
    <xf numFmtId="9" fontId="4" fillId="0" borderId="0" xfId="0" applyNumberFormat="1" applyFont="1" applyFill="1" applyBorder="1" applyAlignment="1" applyProtection="1">
      <alignment horizontal="right"/>
    </xf>
    <xf numFmtId="0" fontId="6" fillId="20" borderId="232" xfId="0" applyFont="1" applyFill="1" applyBorder="1" applyAlignment="1" applyProtection="1">
      <alignment horizontal="center" vertical="top" wrapText="1"/>
    </xf>
    <xf numFmtId="0" fontId="6" fillId="20" borderId="233" xfId="0" applyFont="1" applyFill="1" applyBorder="1" applyAlignment="1" applyProtection="1">
      <alignment horizontal="center"/>
    </xf>
    <xf numFmtId="9" fontId="4" fillId="20" borderId="234" xfId="0" applyNumberFormat="1" applyFont="1" applyFill="1" applyBorder="1" applyAlignment="1" applyProtection="1">
      <alignment horizontal="right"/>
    </xf>
    <xf numFmtId="9" fontId="4" fillId="20" borderId="235" xfId="0" applyNumberFormat="1" applyFont="1" applyFill="1" applyBorder="1" applyAlignment="1" applyProtection="1">
      <alignment horizontal="right"/>
    </xf>
    <xf numFmtId="9" fontId="4" fillId="20" borderId="236" xfId="0" applyNumberFormat="1" applyFont="1" applyFill="1" applyBorder="1" applyAlignment="1" applyProtection="1">
      <alignment horizontal="right"/>
    </xf>
    <xf numFmtId="9" fontId="4" fillId="20" borderId="237" xfId="0" applyNumberFormat="1" applyFont="1" applyFill="1" applyBorder="1" applyAlignment="1" applyProtection="1">
      <alignment horizontal="right"/>
    </xf>
    <xf numFmtId="9" fontId="4" fillId="20" borderId="238" xfId="0" applyNumberFormat="1" applyFont="1" applyFill="1" applyBorder="1" applyAlignment="1" applyProtection="1">
      <alignment horizontal="right"/>
    </xf>
    <xf numFmtId="9" fontId="4" fillId="20" borderId="239" xfId="0" applyNumberFormat="1" applyFont="1" applyFill="1" applyBorder="1" applyAlignment="1" applyProtection="1">
      <alignment horizontal="right"/>
    </xf>
    <xf numFmtId="9" fontId="4" fillId="20" borderId="240" xfId="0" applyNumberFormat="1" applyFont="1" applyFill="1" applyBorder="1" applyAlignment="1" applyProtection="1">
      <alignment horizontal="right"/>
    </xf>
    <xf numFmtId="0" fontId="6" fillId="20" borderId="91" xfId="0" applyFont="1" applyFill="1" applyBorder="1" applyAlignment="1" applyProtection="1">
      <alignment horizontal="center"/>
    </xf>
    <xf numFmtId="0" fontId="6" fillId="20" borderId="55" xfId="0" applyFont="1" applyFill="1" applyBorder="1" applyAlignment="1" applyProtection="1">
      <alignment horizontal="center"/>
    </xf>
    <xf numFmtId="0" fontId="6" fillId="20" borderId="142" xfId="0" applyFont="1" applyFill="1" applyBorder="1" applyAlignment="1" applyProtection="1">
      <alignment horizontal="right"/>
    </xf>
    <xf numFmtId="3" fontId="3" fillId="20" borderId="241" xfId="0" applyNumberFormat="1" applyFont="1" applyFill="1" applyBorder="1" applyAlignment="1" applyProtection="1">
      <alignment horizontal="right"/>
    </xf>
    <xf numFmtId="3" fontId="3" fillId="20" borderId="91" xfId="0" applyNumberFormat="1" applyFont="1" applyFill="1" applyBorder="1" applyAlignment="1" applyProtection="1">
      <alignment horizontal="right"/>
    </xf>
    <xf numFmtId="3" fontId="3" fillId="20" borderId="55" xfId="0" applyNumberFormat="1" applyFont="1" applyFill="1" applyBorder="1" applyAlignment="1" applyProtection="1">
      <alignment horizontal="right"/>
    </xf>
    <xf numFmtId="3" fontId="3" fillId="20" borderId="53" xfId="0" applyNumberFormat="1" applyFont="1" applyFill="1" applyBorder="1" applyAlignment="1" applyProtection="1">
      <alignment horizontal="right"/>
    </xf>
    <xf numFmtId="3" fontId="3" fillId="20" borderId="103" xfId="0" applyNumberFormat="1" applyFont="1" applyFill="1" applyBorder="1" applyAlignment="1" applyProtection="1">
      <alignment horizontal="right"/>
    </xf>
    <xf numFmtId="3" fontId="3" fillId="20" borderId="12" xfId="0" applyNumberFormat="1" applyFont="1" applyFill="1" applyBorder="1" applyAlignment="1" applyProtection="1">
      <alignment horizontal="right"/>
    </xf>
    <xf numFmtId="0" fontId="6" fillId="20" borderId="234" xfId="0" applyFont="1" applyFill="1" applyBorder="1" applyAlignment="1" applyProtection="1">
      <alignment horizontal="center"/>
    </xf>
    <xf numFmtId="0" fontId="6" fillId="20" borderId="235" xfId="0" applyFont="1" applyFill="1" applyBorder="1" applyAlignment="1" applyProtection="1">
      <alignment horizontal="center"/>
    </xf>
    <xf numFmtId="0" fontId="6" fillId="20" borderId="242" xfId="0" applyFont="1" applyFill="1" applyBorder="1" applyAlignment="1" applyProtection="1">
      <alignment horizontal="center"/>
    </xf>
    <xf numFmtId="9" fontId="4" fillId="20" borderId="243" xfId="0" applyNumberFormat="1" applyFont="1" applyFill="1" applyBorder="1" applyAlignment="1" applyProtection="1">
      <alignment horizontal="right"/>
    </xf>
    <xf numFmtId="0" fontId="9" fillId="35" borderId="22" xfId="0" applyFont="1" applyFill="1" applyBorder="1" applyAlignment="1" applyProtection="1">
      <alignment horizontal="center"/>
    </xf>
    <xf numFmtId="3" fontId="4" fillId="36" borderId="0" xfId="0" applyNumberFormat="1" applyFont="1" applyFill="1" applyBorder="1" applyProtection="1"/>
    <xf numFmtId="1" fontId="4" fillId="35" borderId="2" xfId="0" applyNumberFormat="1" applyFont="1" applyFill="1" applyBorder="1" applyAlignment="1" applyProtection="1">
      <alignment horizontal="center" vertical="center" wrapText="1"/>
    </xf>
    <xf numFmtId="0" fontId="9" fillId="35" borderId="5" xfId="0" applyFont="1" applyFill="1" applyBorder="1" applyAlignment="1" applyProtection="1">
      <alignment horizontal="center"/>
    </xf>
    <xf numFmtId="0" fontId="9" fillId="35" borderId="9" xfId="0" applyFont="1" applyFill="1" applyBorder="1" applyAlignment="1" applyProtection="1">
      <alignment horizontal="center" wrapText="1"/>
    </xf>
    <xf numFmtId="1" fontId="4" fillId="35" borderId="54" xfId="0" applyNumberFormat="1" applyFont="1" applyFill="1" applyBorder="1" applyAlignment="1">
      <alignment horizontal="center" wrapText="1"/>
    </xf>
    <xf numFmtId="1" fontId="9" fillId="35" borderId="2" xfId="0" applyNumberFormat="1" applyFont="1" applyFill="1" applyBorder="1" applyAlignment="1" applyProtection="1">
      <alignment horizontal="center"/>
    </xf>
    <xf numFmtId="0" fontId="4" fillId="35" borderId="79" xfId="0" applyFont="1" applyFill="1" applyBorder="1" applyAlignment="1" applyProtection="1">
      <alignment horizontal="left"/>
    </xf>
    <xf numFmtId="0" fontId="4" fillId="35" borderId="79" xfId="0" applyFont="1" applyFill="1" applyBorder="1" applyAlignment="1" applyProtection="1">
      <alignment horizontal="left" wrapText="1"/>
    </xf>
    <xf numFmtId="0" fontId="6" fillId="35" borderId="149" xfId="0" applyFont="1" applyFill="1" applyBorder="1" applyAlignment="1" applyProtection="1">
      <alignment horizontal="left"/>
    </xf>
    <xf numFmtId="0" fontId="4" fillId="35" borderId="2" xfId="0" applyFont="1" applyFill="1" applyBorder="1"/>
    <xf numFmtId="49" fontId="4" fillId="35" borderId="155" xfId="0" applyNumberFormat="1" applyFont="1" applyFill="1" applyBorder="1" applyAlignment="1" applyProtection="1">
      <alignment horizontal="center"/>
    </xf>
    <xf numFmtId="0" fontId="0" fillId="36" borderId="197" xfId="0" applyFill="1" applyBorder="1" applyProtection="1"/>
    <xf numFmtId="1" fontId="4" fillId="36" borderId="0" xfId="0" applyNumberFormat="1" applyFont="1" applyFill="1" applyBorder="1" applyAlignment="1" applyProtection="1">
      <alignment horizontal="center"/>
    </xf>
    <xf numFmtId="1" fontId="4" fillId="35" borderId="67" xfId="0" applyNumberFormat="1" applyFont="1" applyFill="1" applyBorder="1" applyAlignment="1" applyProtection="1">
      <alignment horizontal="center"/>
    </xf>
    <xf numFmtId="0" fontId="0" fillId="36" borderId="0" xfId="0" applyFill="1" applyProtection="1"/>
    <xf numFmtId="1" fontId="9" fillId="35" borderId="35" xfId="0" applyNumberFormat="1" applyFont="1" applyFill="1" applyBorder="1" applyAlignment="1" applyProtection="1">
      <alignment horizontal="center"/>
    </xf>
    <xf numFmtId="1" fontId="4" fillId="36" borderId="0" xfId="0" applyNumberFormat="1" applyFont="1" applyFill="1" applyBorder="1" applyAlignment="1" applyProtection="1">
      <alignment horizontal="left"/>
    </xf>
    <xf numFmtId="0" fontId="4" fillId="35" borderId="123" xfId="0" applyFont="1" applyFill="1" applyBorder="1" applyAlignment="1" applyProtection="1">
      <alignment horizontal="left"/>
    </xf>
    <xf numFmtId="0" fontId="10" fillId="36" borderId="197" xfId="0" applyFont="1" applyFill="1" applyBorder="1" applyProtection="1"/>
    <xf numFmtId="49" fontId="4" fillId="35" borderId="9" xfId="0" applyNumberFormat="1" applyFont="1" applyFill="1" applyBorder="1" applyAlignment="1" applyProtection="1">
      <alignment horizontal="left"/>
    </xf>
    <xf numFmtId="1" fontId="4" fillId="35" borderId="35" xfId="0" applyNumberFormat="1" applyFont="1" applyFill="1" applyBorder="1" applyAlignment="1" applyProtection="1">
      <alignment horizontal="left"/>
    </xf>
    <xf numFmtId="1" fontId="4" fillId="35" borderId="2" xfId="0" applyNumberFormat="1" applyFont="1" applyFill="1" applyBorder="1" applyAlignment="1" applyProtection="1">
      <alignment horizontal="center"/>
    </xf>
    <xf numFmtId="49" fontId="19" fillId="35" borderId="8" xfId="0" applyNumberFormat="1" applyFont="1" applyFill="1" applyBorder="1" applyAlignment="1" applyProtection="1">
      <alignment horizontal="left"/>
    </xf>
    <xf numFmtId="0" fontId="101" fillId="35" borderId="5" xfId="0" applyFont="1" applyFill="1" applyBorder="1" applyProtection="1"/>
    <xf numFmtId="0" fontId="101" fillId="35" borderId="25" xfId="0" applyFont="1" applyFill="1" applyBorder="1" applyProtection="1"/>
    <xf numFmtId="0" fontId="6" fillId="35" borderId="9" xfId="5" applyFont="1" applyFill="1" applyBorder="1" applyAlignment="1" applyProtection="1">
      <alignment vertical="top" wrapText="1"/>
    </xf>
    <xf numFmtId="0" fontId="4" fillId="35" borderId="2" xfId="5" applyFont="1" applyFill="1" applyBorder="1" applyProtection="1"/>
    <xf numFmtId="0" fontId="4" fillId="20" borderId="234" xfId="0" applyFont="1" applyFill="1" applyBorder="1" applyAlignment="1" applyProtection="1">
      <alignment horizontal="left" vertical="top" wrapText="1"/>
    </xf>
    <xf numFmtId="0" fontId="36" fillId="20" borderId="235" xfId="0" applyFont="1" applyFill="1" applyBorder="1" applyAlignment="1" applyProtection="1">
      <alignment horizontal="left" vertical="top" wrapText="1"/>
    </xf>
    <xf numFmtId="0" fontId="36" fillId="20" borderId="240" xfId="0" applyFont="1" applyFill="1" applyBorder="1" applyAlignment="1" applyProtection="1">
      <alignment horizontal="left" vertical="top" wrapText="1"/>
    </xf>
    <xf numFmtId="0" fontId="5" fillId="20" borderId="235" xfId="0" applyFont="1" applyFill="1" applyBorder="1" applyProtection="1"/>
    <xf numFmtId="0" fontId="36" fillId="20" borderId="229" xfId="0" applyFont="1" applyFill="1" applyBorder="1" applyProtection="1"/>
    <xf numFmtId="3" fontId="91" fillId="20" borderId="238" xfId="0" applyNumberFormat="1" applyFont="1" applyFill="1" applyBorder="1" applyProtection="1"/>
    <xf numFmtId="0" fontId="3" fillId="20" borderId="238" xfId="0" applyFont="1" applyFill="1" applyBorder="1" applyAlignment="1" applyProtection="1">
      <alignment vertical="top"/>
    </xf>
    <xf numFmtId="9" fontId="46" fillId="20" borderId="240" xfId="0" applyNumberFormat="1" applyFont="1" applyFill="1" applyBorder="1" applyProtection="1"/>
    <xf numFmtId="3" fontId="91" fillId="20" borderId="245" xfId="0" applyNumberFormat="1" applyFont="1" applyFill="1" applyBorder="1" applyProtection="1"/>
    <xf numFmtId="0" fontId="3" fillId="20" borderId="246" xfId="0" applyFont="1" applyFill="1" applyBorder="1" applyAlignment="1" applyProtection="1">
      <alignment vertical="top"/>
    </xf>
    <xf numFmtId="3" fontId="91" fillId="20" borderId="229" xfId="0" applyNumberFormat="1" applyFont="1" applyFill="1" applyBorder="1" applyProtection="1"/>
    <xf numFmtId="3" fontId="19" fillId="20" borderId="229" xfId="0" applyNumberFormat="1" applyFont="1" applyFill="1" applyBorder="1" applyProtection="1"/>
    <xf numFmtId="9" fontId="46" fillId="20" borderId="238" xfId="0" applyNumberFormat="1" applyFont="1" applyFill="1" applyBorder="1" applyProtection="1"/>
    <xf numFmtId="9" fontId="46" fillId="20" borderId="236" xfId="0" applyNumberFormat="1" applyFont="1" applyFill="1" applyBorder="1" applyProtection="1"/>
    <xf numFmtId="3" fontId="11" fillId="20" borderId="238" xfId="0" applyNumberFormat="1" applyFont="1" applyFill="1" applyBorder="1" applyAlignment="1" applyProtection="1">
      <alignment vertical="top"/>
      <protection locked="0"/>
    </xf>
    <xf numFmtId="3" fontId="91" fillId="20" borderId="247" xfId="0" applyNumberFormat="1" applyFont="1" applyFill="1" applyBorder="1" applyProtection="1"/>
    <xf numFmtId="3" fontId="4" fillId="20" borderId="248" xfId="0" applyNumberFormat="1" applyFont="1" applyFill="1" applyBorder="1" applyProtection="1"/>
    <xf numFmtId="9" fontId="46" fillId="20" borderId="239" xfId="0" applyNumberFormat="1" applyFont="1" applyFill="1" applyBorder="1" applyProtection="1"/>
    <xf numFmtId="3" fontId="91" fillId="20" borderId="249" xfId="0" applyNumberFormat="1" applyFont="1" applyFill="1" applyBorder="1" applyProtection="1"/>
    <xf numFmtId="0" fontId="10" fillId="20" borderId="238" xfId="0" applyFont="1" applyFill="1" applyBorder="1" applyAlignment="1" applyProtection="1">
      <alignment vertical="top"/>
    </xf>
    <xf numFmtId="9" fontId="46" fillId="20" borderId="236" xfId="0" quotePrefix="1" applyNumberFormat="1" applyFont="1" applyFill="1" applyBorder="1" applyProtection="1"/>
    <xf numFmtId="3" fontId="91" fillId="20" borderId="250" xfId="0" applyNumberFormat="1" applyFont="1" applyFill="1" applyBorder="1" applyProtection="1"/>
    <xf numFmtId="0" fontId="3" fillId="20" borderId="238" xfId="0" applyFont="1" applyFill="1" applyBorder="1" applyAlignment="1" applyProtection="1">
      <alignment vertical="top"/>
      <protection locked="0"/>
    </xf>
    <xf numFmtId="0" fontId="3" fillId="20" borderId="239" xfId="0" applyFont="1" applyFill="1" applyBorder="1" applyAlignment="1" applyProtection="1">
      <alignment vertical="top"/>
      <protection locked="0"/>
    </xf>
    <xf numFmtId="9" fontId="120" fillId="20" borderId="238" xfId="0" applyNumberFormat="1" applyFont="1" applyFill="1" applyBorder="1" applyAlignment="1" applyProtection="1"/>
    <xf numFmtId="9" fontId="46" fillId="20" borderId="237" xfId="0" applyNumberFormat="1" applyFont="1" applyFill="1" applyBorder="1" applyProtection="1"/>
    <xf numFmtId="3" fontId="104" fillId="20" borderId="251" xfId="0" applyNumberFormat="1" applyFont="1" applyFill="1" applyBorder="1" applyProtection="1"/>
    <xf numFmtId="3" fontId="91" fillId="20" borderId="251" xfId="0" applyNumberFormat="1" applyFont="1" applyFill="1" applyBorder="1" applyProtection="1"/>
    <xf numFmtId="0" fontId="2" fillId="20" borderId="252" xfId="0" applyFont="1" applyFill="1" applyBorder="1" applyProtection="1"/>
    <xf numFmtId="3" fontId="3" fillId="21" borderId="237" xfId="0" applyNumberFormat="1" applyFont="1" applyFill="1" applyBorder="1" applyAlignment="1" applyProtection="1">
      <alignment horizontal="right"/>
    </xf>
    <xf numFmtId="3" fontId="91" fillId="20" borderId="253" xfId="0" applyNumberFormat="1" applyFont="1" applyFill="1" applyBorder="1" applyProtection="1"/>
    <xf numFmtId="0" fontId="8" fillId="20" borderId="27" xfId="0" applyFont="1" applyFill="1" applyBorder="1" applyAlignment="1">
      <alignment vertical="top" wrapText="1"/>
    </xf>
    <xf numFmtId="0" fontId="0" fillId="20" borderId="27" xfId="0" applyFill="1" applyBorder="1" applyAlignment="1">
      <alignment vertical="top" wrapText="1"/>
    </xf>
    <xf numFmtId="3" fontId="9" fillId="20" borderId="27" xfId="0" applyNumberFormat="1" applyFont="1" applyFill="1" applyBorder="1" applyAlignment="1" applyProtection="1">
      <alignment vertical="top" wrapText="1"/>
    </xf>
    <xf numFmtId="3" fontId="9" fillId="20" borderId="27" xfId="0" applyNumberFormat="1" applyFont="1" applyFill="1" applyBorder="1" applyAlignment="1" applyProtection="1">
      <alignment horizontal="left" wrapText="1"/>
    </xf>
    <xf numFmtId="3" fontId="36" fillId="20" borderId="221" xfId="0" applyNumberFormat="1" applyFont="1" applyFill="1" applyBorder="1" applyAlignment="1" applyProtection="1">
      <alignment wrapText="1"/>
    </xf>
    <xf numFmtId="3" fontId="46" fillId="20" borderId="0" xfId="0" applyNumberFormat="1" applyFont="1" applyFill="1" applyBorder="1" applyProtection="1"/>
    <xf numFmtId="3" fontId="46" fillId="20" borderId="27" xfId="0" applyNumberFormat="1" applyFont="1" applyFill="1" applyBorder="1" applyProtection="1"/>
    <xf numFmtId="3" fontId="37" fillId="20" borderId="173" xfId="5" quotePrefix="1" applyNumberFormat="1" applyFont="1" applyFill="1" applyBorder="1" applyAlignment="1" applyProtection="1">
      <alignment horizontal="left"/>
    </xf>
    <xf numFmtId="3" fontId="46" fillId="20" borderId="27" xfId="9" applyNumberFormat="1" applyFont="1" applyFill="1" applyBorder="1" applyAlignment="1" applyProtection="1">
      <alignment horizontal="center"/>
    </xf>
    <xf numFmtId="3" fontId="46" fillId="20" borderId="173" xfId="12" applyNumberFormat="1" applyFont="1" applyFill="1" applyBorder="1" applyAlignment="1" applyProtection="1">
      <alignment horizontal="center"/>
    </xf>
    <xf numFmtId="3" fontId="46" fillId="20" borderId="173" xfId="9" applyNumberFormat="1" applyFont="1" applyFill="1" applyBorder="1" applyAlignment="1" applyProtection="1">
      <alignment horizontal="center"/>
    </xf>
    <xf numFmtId="3" fontId="78" fillId="20" borderId="27" xfId="9" applyNumberFormat="1" applyFont="1" applyFill="1" applyBorder="1" applyAlignment="1" applyProtection="1">
      <alignment horizontal="center"/>
    </xf>
    <xf numFmtId="3" fontId="46" fillId="20" borderId="180" xfId="12" applyNumberFormat="1" applyFont="1" applyFill="1" applyBorder="1" applyAlignment="1" applyProtection="1">
      <alignment horizontal="center"/>
    </xf>
    <xf numFmtId="3" fontId="102" fillId="20" borderId="180" xfId="12" applyNumberFormat="1" applyFont="1" applyFill="1" applyBorder="1" applyAlignment="1" applyProtection="1">
      <alignment horizontal="center"/>
    </xf>
    <xf numFmtId="3" fontId="102" fillId="20" borderId="173" xfId="9" applyNumberFormat="1" applyFont="1" applyFill="1" applyBorder="1" applyAlignment="1" applyProtection="1">
      <alignment horizontal="center"/>
    </xf>
    <xf numFmtId="3" fontId="102" fillId="20" borderId="27" xfId="9" applyNumberFormat="1" applyFont="1" applyFill="1" applyBorder="1" applyAlignment="1" applyProtection="1">
      <alignment horizontal="center"/>
    </xf>
    <xf numFmtId="3" fontId="46" fillId="20" borderId="254" xfId="9" applyNumberFormat="1" applyFont="1" applyFill="1" applyBorder="1" applyAlignment="1" applyProtection="1">
      <alignment horizontal="center"/>
    </xf>
    <xf numFmtId="3" fontId="103" fillId="20" borderId="27" xfId="9" applyNumberFormat="1" applyFont="1" applyFill="1" applyBorder="1" applyAlignment="1" applyProtection="1">
      <alignment horizontal="center"/>
    </xf>
    <xf numFmtId="3" fontId="46" fillId="20" borderId="173" xfId="0" applyNumberFormat="1" applyFont="1" applyFill="1" applyBorder="1" applyProtection="1"/>
    <xf numFmtId="3" fontId="6" fillId="20" borderId="98" xfId="0" applyNumberFormat="1" applyFont="1" applyFill="1" applyBorder="1" applyAlignment="1" applyProtection="1">
      <alignment horizontal="left" vertical="center" wrapText="1"/>
    </xf>
    <xf numFmtId="3" fontId="3" fillId="20" borderId="88" xfId="0" applyNumberFormat="1" applyFont="1" applyFill="1" applyBorder="1" applyAlignment="1" applyProtection="1">
      <alignment horizontal="right"/>
    </xf>
    <xf numFmtId="3" fontId="3" fillId="20" borderId="172" xfId="0" applyNumberFormat="1" applyFont="1" applyFill="1" applyBorder="1" applyAlignment="1" applyProtection="1">
      <alignment horizontal="right"/>
    </xf>
    <xf numFmtId="3" fontId="3" fillId="20" borderId="159" xfId="0" applyNumberFormat="1" applyFont="1" applyFill="1" applyBorder="1" applyAlignment="1" applyProtection="1">
      <alignment horizontal="right"/>
    </xf>
    <xf numFmtId="3" fontId="3" fillId="20" borderId="92" xfId="0" applyNumberFormat="1" applyFont="1" applyFill="1" applyBorder="1" applyAlignment="1" applyProtection="1">
      <alignment horizontal="right"/>
    </xf>
    <xf numFmtId="3" fontId="3" fillId="20" borderId="64" xfId="0" applyNumberFormat="1" applyFont="1" applyFill="1" applyBorder="1" applyAlignment="1" applyProtection="1">
      <alignment horizontal="right"/>
    </xf>
    <xf numFmtId="3" fontId="3" fillId="20" borderId="160" xfId="0" applyNumberFormat="1" applyFont="1" applyFill="1" applyBorder="1" applyAlignment="1" applyProtection="1">
      <alignment horizontal="right"/>
    </xf>
    <xf numFmtId="3" fontId="3" fillId="20" borderId="217" xfId="0" applyNumberFormat="1" applyFont="1" applyFill="1" applyBorder="1" applyAlignment="1" applyProtection="1">
      <alignment horizontal="right"/>
    </xf>
    <xf numFmtId="3" fontId="3" fillId="20" borderId="172" xfId="0" applyNumberFormat="1" applyFont="1" applyFill="1" applyBorder="1" applyProtection="1"/>
    <xf numFmtId="0" fontId="0" fillId="20" borderId="93" xfId="0" applyFill="1" applyBorder="1" applyProtection="1"/>
    <xf numFmtId="3" fontId="6" fillId="20" borderId="255" xfId="0" applyNumberFormat="1" applyFont="1" applyFill="1" applyBorder="1" applyAlignment="1" applyProtection="1">
      <alignment horizontal="left" vertical="center" wrapText="1"/>
    </xf>
    <xf numFmtId="0" fontId="0" fillId="20" borderId="257" xfId="0" applyFill="1" applyBorder="1" applyProtection="1"/>
    <xf numFmtId="3" fontId="3" fillId="20" borderId="258" xfId="0" applyNumberFormat="1" applyFont="1" applyFill="1" applyBorder="1" applyAlignment="1" applyProtection="1">
      <alignment horizontal="right"/>
    </xf>
    <xf numFmtId="3" fontId="3" fillId="20" borderId="259" xfId="0" applyNumberFormat="1" applyFont="1" applyFill="1" applyBorder="1" applyAlignment="1" applyProtection="1">
      <alignment horizontal="right"/>
    </xf>
    <xf numFmtId="3" fontId="3" fillId="20" borderId="260" xfId="0" applyNumberFormat="1" applyFont="1" applyFill="1" applyBorder="1" applyAlignment="1" applyProtection="1">
      <alignment horizontal="right"/>
    </xf>
    <xf numFmtId="3" fontId="3" fillId="20" borderId="261" xfId="0" applyNumberFormat="1" applyFont="1" applyFill="1" applyBorder="1" applyAlignment="1" applyProtection="1">
      <alignment horizontal="right"/>
    </xf>
    <xf numFmtId="3" fontId="3" fillId="20" borderId="257" xfId="0" applyNumberFormat="1" applyFont="1" applyFill="1" applyBorder="1" applyAlignment="1" applyProtection="1">
      <alignment horizontal="right"/>
    </xf>
    <xf numFmtId="0" fontId="10" fillId="20" borderId="261" xfId="0" applyFont="1" applyFill="1" applyBorder="1" applyProtection="1"/>
    <xf numFmtId="3" fontId="3" fillId="20" borderId="262" xfId="0" applyNumberFormat="1" applyFont="1" applyFill="1" applyBorder="1" applyAlignment="1" applyProtection="1">
      <alignment horizontal="right"/>
    </xf>
    <xf numFmtId="3" fontId="3" fillId="20" borderId="263" xfId="0" applyNumberFormat="1" applyFont="1" applyFill="1" applyBorder="1" applyAlignment="1" applyProtection="1">
      <alignment horizontal="right"/>
    </xf>
    <xf numFmtId="3" fontId="3" fillId="20" borderId="264" xfId="0" applyNumberFormat="1" applyFont="1" applyFill="1" applyBorder="1" applyAlignment="1" applyProtection="1">
      <alignment horizontal="right"/>
    </xf>
    <xf numFmtId="3" fontId="3" fillId="20" borderId="259" xfId="0" applyNumberFormat="1" applyFont="1" applyFill="1" applyBorder="1" applyProtection="1"/>
    <xf numFmtId="0" fontId="0" fillId="20" borderId="265" xfId="0" applyFill="1" applyBorder="1" applyProtection="1"/>
    <xf numFmtId="0" fontId="4" fillId="35" borderId="22" xfId="0" applyNumberFormat="1" applyFont="1" applyFill="1" applyBorder="1" applyAlignment="1" applyProtection="1">
      <alignment horizontal="center"/>
    </xf>
    <xf numFmtId="0" fontId="9" fillId="35" borderId="6" xfId="0" applyFont="1" applyFill="1" applyBorder="1" applyProtection="1"/>
    <xf numFmtId="49" fontId="4" fillId="35" borderId="88" xfId="0" applyNumberFormat="1" applyFont="1" applyFill="1" applyBorder="1" applyAlignment="1" applyProtection="1">
      <alignment horizontal="left"/>
    </xf>
    <xf numFmtId="0" fontId="17" fillId="35" borderId="162" xfId="0" applyFont="1" applyFill="1" applyBorder="1" applyProtection="1"/>
    <xf numFmtId="0" fontId="4" fillId="35" borderId="87" xfId="0" applyFont="1" applyFill="1" applyBorder="1" applyAlignment="1" applyProtection="1">
      <alignment horizontal="left" vertical="top" wrapText="1"/>
    </xf>
    <xf numFmtId="3" fontId="14" fillId="36" borderId="5" xfId="0" applyNumberFormat="1" applyFont="1" applyFill="1" applyBorder="1" applyAlignment="1" applyProtection="1">
      <alignment horizontal="right"/>
      <protection locked="0"/>
    </xf>
    <xf numFmtId="3" fontId="4" fillId="35" borderId="123" xfId="0" applyNumberFormat="1" applyFont="1" applyFill="1" applyBorder="1" applyAlignment="1" applyProtection="1">
      <alignment horizontal="left" vertical="top" wrapText="1"/>
    </xf>
    <xf numFmtId="0" fontId="4" fillId="35" borderId="149" xfId="0" applyFont="1" applyFill="1" applyBorder="1" applyAlignment="1" applyProtection="1">
      <alignment horizontal="left" vertical="top" wrapText="1"/>
    </xf>
    <xf numFmtId="3" fontId="4" fillId="35" borderId="25" xfId="0" applyNumberFormat="1" applyFont="1" applyFill="1" applyBorder="1" applyAlignment="1" applyProtection="1">
      <alignment horizontal="left" vertical="top" wrapText="1"/>
    </xf>
    <xf numFmtId="3" fontId="4" fillId="35" borderId="59" xfId="0" applyNumberFormat="1" applyFont="1" applyFill="1" applyBorder="1" applyAlignment="1" applyProtection="1">
      <alignment horizontal="left" vertical="top" wrapText="1"/>
    </xf>
    <xf numFmtId="3" fontId="4" fillId="35" borderId="26" xfId="0" applyNumberFormat="1" applyFont="1" applyFill="1" applyBorder="1" applyAlignment="1" applyProtection="1">
      <alignment horizontal="left" vertical="top" wrapText="1"/>
    </xf>
    <xf numFmtId="3" fontId="4" fillId="35" borderId="29" xfId="0" applyNumberFormat="1" applyFont="1" applyFill="1" applyBorder="1" applyAlignment="1" applyProtection="1">
      <alignment horizontal="center"/>
    </xf>
    <xf numFmtId="3" fontId="4" fillId="35" borderId="24" xfId="0" applyNumberFormat="1" applyFont="1" applyFill="1" applyBorder="1" applyAlignment="1" applyProtection="1">
      <alignment vertical="top" wrapText="1"/>
    </xf>
    <xf numFmtId="3" fontId="4" fillId="35" borderId="73" xfId="0" applyNumberFormat="1" applyFont="1" applyFill="1" applyBorder="1" applyAlignment="1" applyProtection="1"/>
    <xf numFmtId="3" fontId="4" fillId="35" borderId="54" xfId="0" applyNumberFormat="1" applyFont="1" applyFill="1" applyBorder="1" applyAlignment="1" applyProtection="1"/>
    <xf numFmtId="3" fontId="4" fillId="35" borderId="12" xfId="0" applyNumberFormat="1" applyFont="1" applyFill="1" applyBorder="1" applyAlignment="1" applyProtection="1"/>
    <xf numFmtId="3" fontId="14" fillId="36" borderId="3" xfId="0" applyNumberFormat="1" applyFont="1" applyFill="1" applyBorder="1" applyAlignment="1" applyProtection="1">
      <alignment horizontal="right"/>
      <protection locked="0"/>
    </xf>
    <xf numFmtId="3" fontId="4" fillId="35" borderId="88" xfId="0" applyNumberFormat="1" applyFont="1" applyFill="1" applyBorder="1" applyAlignment="1" applyProtection="1"/>
    <xf numFmtId="3" fontId="14" fillId="36" borderId="3" xfId="0" applyNumberFormat="1" applyFont="1" applyFill="1" applyBorder="1" applyAlignment="1" applyProtection="1">
      <alignment horizontal="right"/>
    </xf>
    <xf numFmtId="3" fontId="14" fillId="36" borderId="29" xfId="0"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xf>
    <xf numFmtId="0" fontId="82" fillId="2" borderId="0" xfId="10" applyFont="1" applyFill="1" applyBorder="1" applyProtection="1"/>
    <xf numFmtId="3" fontId="37" fillId="0" borderId="43" xfId="0" applyNumberFormat="1" applyFont="1" applyFill="1" applyBorder="1" applyProtection="1"/>
    <xf numFmtId="3" fontId="3" fillId="9" borderId="4" xfId="0" applyNumberFormat="1" applyFont="1" applyFill="1" applyBorder="1" applyAlignment="1" applyProtection="1">
      <alignment horizontal="right"/>
    </xf>
    <xf numFmtId="3" fontId="3" fillId="9" borderId="2" xfId="0" applyNumberFormat="1" applyFont="1" applyFill="1" applyBorder="1" applyAlignment="1" applyProtection="1">
      <alignment horizontal="right"/>
    </xf>
    <xf numFmtId="3" fontId="3" fillId="9" borderId="18" xfId="0" applyNumberFormat="1" applyFont="1" applyFill="1" applyBorder="1" applyAlignment="1" applyProtection="1">
      <alignment horizontal="right"/>
    </xf>
    <xf numFmtId="3" fontId="3" fillId="9" borderId="155" xfId="0" applyNumberFormat="1" applyFont="1" applyFill="1" applyBorder="1" applyAlignment="1" applyProtection="1">
      <alignment horizontal="right"/>
    </xf>
    <xf numFmtId="3" fontId="3" fillId="2" borderId="67" xfId="0" applyNumberFormat="1" applyFont="1" applyFill="1" applyBorder="1" applyAlignment="1" applyProtection="1">
      <alignment horizontal="right"/>
      <protection locked="0"/>
    </xf>
    <xf numFmtId="3" fontId="3" fillId="2" borderId="165" xfId="0" applyNumberFormat="1" applyFont="1" applyFill="1" applyBorder="1" applyAlignment="1" applyProtection="1">
      <alignment horizontal="right"/>
      <protection locked="0"/>
    </xf>
    <xf numFmtId="3" fontId="3" fillId="2" borderId="55" xfId="0" applyNumberFormat="1" applyFont="1" applyFill="1" applyBorder="1" applyAlignment="1" applyProtection="1">
      <alignment horizontal="right"/>
      <protection locked="0"/>
    </xf>
    <xf numFmtId="3" fontId="3" fillId="3" borderId="59" xfId="0" applyNumberFormat="1" applyFont="1" applyFill="1" applyBorder="1" applyAlignment="1" applyProtection="1">
      <alignment horizontal="right"/>
    </xf>
    <xf numFmtId="3" fontId="3" fillId="9" borderId="125" xfId="0" applyNumberFormat="1" applyFont="1" applyFill="1" applyBorder="1" applyAlignment="1" applyProtection="1">
      <alignment horizontal="right"/>
    </xf>
    <xf numFmtId="3" fontId="3" fillId="2" borderId="125" xfId="0" applyNumberFormat="1" applyFont="1" applyFill="1" applyBorder="1" applyAlignment="1" applyProtection="1">
      <alignment horizontal="right"/>
      <protection locked="0"/>
    </xf>
    <xf numFmtId="49" fontId="4" fillId="20" borderId="266" xfId="0" applyNumberFormat="1" applyFont="1" applyFill="1" applyBorder="1" applyAlignment="1" applyProtection="1">
      <alignment horizontal="center"/>
    </xf>
    <xf numFmtId="0" fontId="4" fillId="20" borderId="267" xfId="0" applyFont="1" applyFill="1" applyBorder="1" applyProtection="1"/>
    <xf numFmtId="3" fontId="3" fillId="3" borderId="268" xfId="0" applyNumberFormat="1" applyFont="1" applyFill="1" applyBorder="1" applyAlignment="1" applyProtection="1">
      <alignment horizontal="right"/>
    </xf>
    <xf numFmtId="3" fontId="3" fillId="3" borderId="269" xfId="0" applyNumberFormat="1" applyFont="1" applyFill="1" applyBorder="1" applyAlignment="1" applyProtection="1">
      <alignment horizontal="right"/>
    </xf>
    <xf numFmtId="3" fontId="124" fillId="21" borderId="269" xfId="0" applyNumberFormat="1" applyFont="1" applyFill="1" applyBorder="1" applyAlignment="1" applyProtection="1">
      <alignment horizontal="right"/>
    </xf>
    <xf numFmtId="3" fontId="3" fillId="3" borderId="270" xfId="0" applyNumberFormat="1" applyFont="1" applyFill="1" applyBorder="1" applyAlignment="1" applyProtection="1">
      <alignment horizontal="right"/>
    </xf>
    <xf numFmtId="3" fontId="3" fillId="3" borderId="266" xfId="0" applyNumberFormat="1" applyFont="1" applyFill="1" applyBorder="1" applyAlignment="1" applyProtection="1">
      <alignment horizontal="right"/>
    </xf>
    <xf numFmtId="3" fontId="3" fillId="3" borderId="271" xfId="0" applyNumberFormat="1" applyFont="1" applyFill="1" applyBorder="1" applyAlignment="1" applyProtection="1">
      <alignment horizontal="right"/>
    </xf>
    <xf numFmtId="0" fontId="4" fillId="20" borderId="272" xfId="0" applyFont="1" applyFill="1" applyBorder="1" applyAlignment="1" applyProtection="1">
      <alignment horizontal="left" vertical="center"/>
    </xf>
    <xf numFmtId="0" fontId="4" fillId="20" borderId="273" xfId="0" applyFont="1" applyFill="1" applyBorder="1" applyAlignment="1" applyProtection="1">
      <alignment horizontal="left" vertical="center"/>
    </xf>
    <xf numFmtId="3" fontId="3" fillId="37" borderId="7" xfId="0" applyNumberFormat="1" applyFont="1" applyFill="1" applyBorder="1" applyAlignment="1" applyProtection="1">
      <alignment horizontal="right"/>
    </xf>
    <xf numFmtId="3" fontId="3" fillId="37" borderId="22" xfId="0" applyNumberFormat="1" applyFont="1" applyFill="1" applyBorder="1" applyAlignment="1" applyProtection="1">
      <alignment horizontal="right"/>
    </xf>
    <xf numFmtId="0" fontId="4" fillId="35" borderId="5" xfId="0" applyFont="1" applyFill="1" applyBorder="1" applyAlignment="1">
      <alignment horizontal="center"/>
    </xf>
    <xf numFmtId="0" fontId="4" fillId="35" borderId="68" xfId="0" applyFont="1" applyFill="1" applyBorder="1" applyAlignment="1" applyProtection="1">
      <alignment horizontal="left" vertical="top" wrapText="1"/>
    </xf>
    <xf numFmtId="0" fontId="4" fillId="35" borderId="5" xfId="0" applyFont="1" applyFill="1" applyBorder="1"/>
    <xf numFmtId="0" fontId="8" fillId="20" borderId="0" xfId="0" applyFont="1" applyFill="1" applyBorder="1" applyAlignment="1">
      <alignment wrapText="1"/>
    </xf>
    <xf numFmtId="0" fontId="127" fillId="20" borderId="0" xfId="0" applyFont="1" applyFill="1" applyBorder="1" applyAlignment="1">
      <alignment wrapText="1"/>
    </xf>
    <xf numFmtId="3" fontId="46" fillId="21" borderId="274" xfId="0" applyNumberFormat="1" applyFont="1" applyFill="1" applyBorder="1" applyProtection="1"/>
    <xf numFmtId="3" fontId="46" fillId="20" borderId="274" xfId="0" applyNumberFormat="1" applyFont="1" applyFill="1" applyBorder="1" applyProtection="1"/>
    <xf numFmtId="1" fontId="46" fillId="20" borderId="275" xfId="0" applyNumberFormat="1" applyFont="1" applyFill="1" applyBorder="1" applyProtection="1"/>
    <xf numFmtId="0" fontId="4" fillId="20" borderId="219" xfId="0" applyFont="1" applyFill="1" applyBorder="1" applyProtection="1"/>
    <xf numFmtId="0" fontId="0" fillId="20" borderId="0" xfId="0" applyFill="1" applyBorder="1" applyAlignment="1"/>
    <xf numFmtId="0" fontId="129" fillId="20" borderId="0" xfId="0" applyFont="1" applyFill="1" applyBorder="1" applyAlignment="1">
      <alignment vertical="top" wrapText="1"/>
    </xf>
    <xf numFmtId="0" fontId="129" fillId="20" borderId="0" xfId="0" applyFont="1" applyFill="1" applyBorder="1" applyAlignment="1">
      <alignment wrapText="1"/>
    </xf>
    <xf numFmtId="0" fontId="128" fillId="20" borderId="0" xfId="0" applyFont="1" applyFill="1" applyBorder="1" applyAlignment="1">
      <alignment wrapText="1"/>
    </xf>
    <xf numFmtId="0" fontId="0" fillId="20" borderId="0" xfId="0" applyFill="1" applyBorder="1" applyAlignment="1">
      <alignment wrapText="1"/>
    </xf>
    <xf numFmtId="0" fontId="0" fillId="20" borderId="0" xfId="0" applyFill="1" applyBorder="1" applyAlignment="1">
      <alignment horizontal="left" vertical="top" wrapText="1"/>
    </xf>
    <xf numFmtId="3" fontId="46" fillId="21" borderId="276" xfId="0" applyNumberFormat="1" applyFont="1" applyFill="1" applyBorder="1" applyProtection="1"/>
    <xf numFmtId="0" fontId="4" fillId="20" borderId="278" xfId="0" applyFont="1" applyFill="1" applyBorder="1" applyAlignment="1" applyProtection="1">
      <alignment horizontal="center"/>
    </xf>
    <xf numFmtId="3" fontId="46" fillId="21" borderId="280" xfId="0" applyNumberFormat="1" applyFont="1" applyFill="1" applyBorder="1" applyProtection="1"/>
    <xf numFmtId="3" fontId="46" fillId="21" borderId="281" xfId="0" applyNumberFormat="1" applyFont="1" applyFill="1" applyBorder="1" applyProtection="1"/>
    <xf numFmtId="3" fontId="46" fillId="21" borderId="278" xfId="0" applyNumberFormat="1" applyFont="1" applyFill="1" applyBorder="1" applyProtection="1"/>
    <xf numFmtId="3" fontId="46" fillId="21" borderId="282" xfId="0" applyNumberFormat="1" applyFont="1" applyFill="1" applyBorder="1" applyProtection="1"/>
    <xf numFmtId="3" fontId="46" fillId="21" borderId="283" xfId="0" applyNumberFormat="1" applyFont="1" applyFill="1" applyBorder="1" applyProtection="1"/>
    <xf numFmtId="3" fontId="46" fillId="21" borderId="284" xfId="0" applyNumberFormat="1" applyFont="1" applyFill="1" applyBorder="1" applyProtection="1"/>
    <xf numFmtId="3" fontId="46" fillId="21" borderId="285" xfId="0" applyNumberFormat="1" applyFont="1" applyFill="1" applyBorder="1" applyProtection="1"/>
    <xf numFmtId="3" fontId="46" fillId="21" borderId="286" xfId="0" applyNumberFormat="1" applyFont="1" applyFill="1" applyBorder="1" applyProtection="1"/>
    <xf numFmtId="3" fontId="46" fillId="21" borderId="277" xfId="0" applyNumberFormat="1" applyFont="1" applyFill="1" applyBorder="1" applyProtection="1"/>
    <xf numFmtId="3" fontId="46" fillId="20" borderId="285" xfId="0" applyNumberFormat="1" applyFont="1" applyFill="1" applyBorder="1" applyProtection="1"/>
    <xf numFmtId="3" fontId="46" fillId="20" borderId="286" xfId="0" applyNumberFormat="1" applyFont="1" applyFill="1" applyBorder="1" applyProtection="1"/>
    <xf numFmtId="1" fontId="46" fillId="20" borderId="287" xfId="0" applyNumberFormat="1" applyFont="1" applyFill="1" applyBorder="1" applyProtection="1"/>
    <xf numFmtId="3" fontId="4" fillId="20" borderId="288" xfId="0" applyNumberFormat="1" applyFont="1" applyFill="1" applyBorder="1" applyProtection="1"/>
    <xf numFmtId="1" fontId="4" fillId="20" borderId="289" xfId="0" applyNumberFormat="1" applyFont="1" applyFill="1" applyBorder="1" applyProtection="1"/>
    <xf numFmtId="3" fontId="4" fillId="20" borderId="290" xfId="0" applyNumberFormat="1" applyFont="1" applyFill="1" applyBorder="1" applyProtection="1"/>
    <xf numFmtId="3" fontId="4" fillId="20" borderId="291" xfId="0" applyNumberFormat="1" applyFont="1" applyFill="1" applyBorder="1" applyProtection="1"/>
    <xf numFmtId="3" fontId="37" fillId="20" borderId="288" xfId="0" applyNumberFormat="1" applyFont="1" applyFill="1" applyBorder="1" applyProtection="1"/>
    <xf numFmtId="49" fontId="4" fillId="35" borderId="23" xfId="0" applyNumberFormat="1" applyFont="1" applyFill="1" applyBorder="1" applyAlignment="1">
      <alignment horizontal="left"/>
    </xf>
    <xf numFmtId="49" fontId="4" fillId="35" borderId="22" xfId="0" applyNumberFormat="1" applyFont="1" applyFill="1" applyBorder="1" applyAlignment="1">
      <alignment horizontal="left"/>
    </xf>
    <xf numFmtId="49" fontId="4" fillId="35" borderId="125" xfId="0" applyNumberFormat="1" applyFont="1" applyFill="1" applyBorder="1" applyAlignment="1">
      <alignment horizontal="left"/>
    </xf>
    <xf numFmtId="0" fontId="6" fillId="35" borderId="182" xfId="0" applyFont="1" applyFill="1" applyBorder="1"/>
    <xf numFmtId="49" fontId="4" fillId="35" borderId="12" xfId="0" applyNumberFormat="1" applyFont="1" applyFill="1" applyBorder="1"/>
    <xf numFmtId="49" fontId="4" fillId="35" borderId="53" xfId="0" applyNumberFormat="1" applyFont="1" applyFill="1" applyBorder="1"/>
    <xf numFmtId="49" fontId="4" fillId="35" borderId="53" xfId="0" applyNumberFormat="1" applyFont="1" applyFill="1" applyBorder="1" applyAlignment="1">
      <alignment wrapText="1"/>
    </xf>
    <xf numFmtId="49" fontId="4" fillId="35" borderId="165" xfId="0" applyNumberFormat="1" applyFont="1" applyFill="1" applyBorder="1"/>
    <xf numFmtId="0" fontId="6" fillId="35" borderId="182" xfId="0" applyFont="1" applyFill="1" applyBorder="1" applyProtection="1"/>
    <xf numFmtId="49" fontId="144" fillId="35" borderId="12" xfId="0" applyNumberFormat="1" applyFont="1" applyFill="1" applyBorder="1" applyProtection="1"/>
    <xf numFmtId="0" fontId="4" fillId="20" borderId="165" xfId="0" applyFont="1" applyFill="1" applyBorder="1" applyAlignment="1" applyProtection="1">
      <alignment horizontal="left" vertical="top" wrapText="1"/>
    </xf>
    <xf numFmtId="0" fontId="4" fillId="20" borderId="0" xfId="5" applyFont="1" applyFill="1" applyBorder="1" applyAlignment="1" applyProtection="1"/>
    <xf numFmtId="3" fontId="3" fillId="9" borderId="219" xfId="5" applyNumberFormat="1" applyFont="1" applyFill="1" applyBorder="1" applyProtection="1"/>
    <xf numFmtId="3" fontId="3" fillId="2" borderId="12" xfId="5" applyNumberFormat="1" applyFont="1" applyFill="1" applyBorder="1" applyAlignment="1" applyProtection="1">
      <alignment horizontal="right"/>
      <protection locked="0"/>
    </xf>
    <xf numFmtId="3" fontId="3" fillId="2" borderId="165" xfId="5" applyNumberFormat="1" applyFont="1" applyFill="1" applyBorder="1" applyAlignment="1" applyProtection="1">
      <alignment horizontal="right"/>
      <protection locked="0"/>
    </xf>
    <xf numFmtId="3" fontId="3" fillId="2" borderId="213" xfId="5" applyNumberFormat="1" applyFont="1" applyFill="1" applyBorder="1" applyAlignment="1" applyProtection="1">
      <alignment horizontal="right"/>
      <protection locked="0"/>
    </xf>
    <xf numFmtId="3" fontId="3" fillId="2" borderId="103" xfId="5" applyNumberFormat="1" applyFont="1" applyFill="1" applyBorder="1" applyAlignment="1" applyProtection="1">
      <alignment horizontal="right"/>
      <protection locked="0"/>
    </xf>
    <xf numFmtId="0" fontId="4" fillId="20" borderId="234" xfId="5" applyFont="1" applyFill="1" applyBorder="1" applyProtection="1"/>
    <xf numFmtId="0" fontId="4" fillId="20" borderId="235" xfId="5" applyFont="1" applyFill="1" applyBorder="1" applyProtection="1"/>
    <xf numFmtId="0" fontId="4" fillId="20" borderId="239" xfId="0" applyFont="1" applyFill="1" applyBorder="1" applyAlignment="1" applyProtection="1">
      <alignment horizontal="left" vertical="top" wrapText="1"/>
    </xf>
    <xf numFmtId="3" fontId="3" fillId="9" borderId="292" xfId="5" applyNumberFormat="1" applyFont="1" applyFill="1" applyBorder="1" applyProtection="1"/>
    <xf numFmtId="3" fontId="3" fillId="2" borderId="236" xfId="5" applyNumberFormat="1" applyFont="1" applyFill="1" applyBorder="1" applyAlignment="1" applyProtection="1">
      <alignment horizontal="right"/>
      <protection locked="0"/>
    </xf>
    <xf numFmtId="3" fontId="3" fillId="2" borderId="238" xfId="5" applyNumberFormat="1" applyFont="1" applyFill="1" applyBorder="1" applyAlignment="1" applyProtection="1">
      <alignment horizontal="right"/>
      <protection locked="0"/>
    </xf>
    <xf numFmtId="3" fontId="3" fillId="2" borderId="239" xfId="5" applyNumberFormat="1" applyFont="1" applyFill="1" applyBorder="1" applyAlignment="1" applyProtection="1">
      <alignment horizontal="right"/>
      <protection locked="0"/>
    </xf>
    <xf numFmtId="3" fontId="3" fillId="2" borderId="246" xfId="5" applyNumberFormat="1" applyFont="1" applyFill="1" applyBorder="1" applyAlignment="1" applyProtection="1">
      <alignment horizontal="right"/>
      <protection locked="0"/>
    </xf>
    <xf numFmtId="3" fontId="3" fillId="9" borderId="293" xfId="5" applyNumberFormat="1" applyFont="1" applyFill="1" applyBorder="1" applyProtection="1"/>
    <xf numFmtId="3" fontId="3" fillId="2" borderId="237" xfId="5" applyNumberFormat="1" applyFont="1" applyFill="1" applyBorder="1" applyAlignment="1" applyProtection="1">
      <alignment horizontal="right"/>
      <protection locked="0"/>
    </xf>
    <xf numFmtId="0" fontId="4" fillId="20" borderId="233" xfId="5" applyFont="1" applyFill="1" applyBorder="1" applyAlignment="1" applyProtection="1">
      <alignment horizontal="center" vertical="top"/>
    </xf>
    <xf numFmtId="0" fontId="4" fillId="20" borderId="233" xfId="5" applyFont="1" applyFill="1" applyBorder="1" applyProtection="1"/>
    <xf numFmtId="1" fontId="4" fillId="20" borderId="233" xfId="5" applyNumberFormat="1" applyFont="1" applyFill="1" applyBorder="1" applyAlignment="1" applyProtection="1">
      <alignment horizontal="left"/>
    </xf>
    <xf numFmtId="169" fontId="42" fillId="20" borderId="294" xfId="5" applyNumberFormat="1" applyFont="1" applyFill="1" applyBorder="1" applyProtection="1"/>
    <xf numFmtId="3" fontId="46" fillId="20" borderId="293" xfId="5" applyNumberFormat="1" applyFont="1" applyFill="1" applyBorder="1" applyProtection="1"/>
    <xf numFmtId="9" fontId="46" fillId="20" borderId="238" xfId="5" quotePrefix="1" applyNumberFormat="1" applyFont="1" applyFill="1" applyBorder="1" applyAlignment="1" applyProtection="1">
      <alignment horizontal="right"/>
    </xf>
    <xf numFmtId="3" fontId="43" fillId="20" borderId="252" xfId="5" applyNumberFormat="1" applyFont="1" applyFill="1" applyBorder="1" applyAlignment="1" applyProtection="1">
      <alignment horizontal="right"/>
    </xf>
    <xf numFmtId="3" fontId="43" fillId="20" borderId="229" xfId="5" applyNumberFormat="1" applyFont="1" applyFill="1" applyBorder="1" applyAlignment="1" applyProtection="1">
      <alignment horizontal="right"/>
    </xf>
    <xf numFmtId="3" fontId="43" fillId="20" borderId="253" xfId="5" applyNumberFormat="1" applyFont="1" applyFill="1" applyBorder="1" applyAlignment="1" applyProtection="1">
      <alignment horizontal="right"/>
    </xf>
    <xf numFmtId="9" fontId="46" fillId="20" borderId="249" xfId="5" applyNumberFormat="1" applyFont="1" applyFill="1" applyBorder="1" applyProtection="1"/>
    <xf numFmtId="0" fontId="0" fillId="34" borderId="295" xfId="0" applyFill="1" applyBorder="1"/>
    <xf numFmtId="0" fontId="4" fillId="20" borderId="296" xfId="5" applyFont="1" applyFill="1" applyBorder="1" applyProtection="1"/>
    <xf numFmtId="3" fontId="4" fillId="20" borderId="297" xfId="5" applyNumberFormat="1" applyFont="1" applyFill="1" applyBorder="1" applyProtection="1"/>
    <xf numFmtId="0" fontId="4" fillId="20" borderId="297" xfId="5" applyFont="1" applyFill="1" applyBorder="1" applyProtection="1"/>
    <xf numFmtId="0" fontId="8" fillId="20" borderId="297" xfId="5" applyFont="1" applyFill="1" applyBorder="1" applyAlignment="1" applyProtection="1">
      <alignment horizontal="left"/>
    </xf>
    <xf numFmtId="3" fontId="42" fillId="20" borderId="297" xfId="5" applyNumberFormat="1" applyFont="1" applyFill="1" applyBorder="1" applyProtection="1"/>
    <xf numFmtId="169" fontId="42" fillId="20" borderId="298" xfId="5" applyNumberFormat="1" applyFont="1" applyFill="1" applyBorder="1" applyProtection="1"/>
    <xf numFmtId="3" fontId="4" fillId="20" borderId="299" xfId="5" applyNumberFormat="1" applyFont="1" applyFill="1" applyBorder="1" applyProtection="1"/>
    <xf numFmtId="3" fontId="42" fillId="20" borderId="297" xfId="5" applyNumberFormat="1" applyFont="1" applyFill="1" applyBorder="1" applyAlignment="1" applyProtection="1">
      <alignment horizontal="right"/>
    </xf>
    <xf numFmtId="0" fontId="130" fillId="20" borderId="297" xfId="0" applyFont="1" applyFill="1" applyBorder="1" applyAlignment="1">
      <alignment vertical="top" wrapText="1"/>
    </xf>
    <xf numFmtId="0" fontId="4" fillId="20" borderId="297" xfId="0" applyFont="1" applyFill="1" applyBorder="1" applyAlignment="1">
      <alignment vertical="top" wrapText="1"/>
    </xf>
    <xf numFmtId="3" fontId="42" fillId="20" borderId="295" xfId="5" applyNumberFormat="1" applyFont="1" applyFill="1" applyBorder="1" applyAlignment="1" applyProtection="1">
      <alignment horizontal="right"/>
    </xf>
    <xf numFmtId="3" fontId="4" fillId="20" borderId="296" xfId="5" applyNumberFormat="1" applyFont="1" applyFill="1" applyBorder="1" applyProtection="1"/>
    <xf numFmtId="3" fontId="118" fillId="20" borderId="297" xfId="5" applyNumberFormat="1" applyFont="1" applyFill="1" applyBorder="1" applyAlignment="1" applyProtection="1">
      <alignment horizontal="left" vertical="top"/>
    </xf>
    <xf numFmtId="0" fontId="119" fillId="20" borderId="297" xfId="0" applyFont="1" applyFill="1" applyBorder="1" applyAlignment="1"/>
    <xf numFmtId="3" fontId="4" fillId="20" borderId="296" xfId="5" applyNumberFormat="1" applyFont="1" applyFill="1" applyBorder="1" applyAlignment="1" applyProtection="1">
      <alignment horizontal="right"/>
    </xf>
    <xf numFmtId="3" fontId="4" fillId="20" borderId="297" xfId="5" applyNumberFormat="1" applyFont="1" applyFill="1" applyBorder="1" applyAlignment="1" applyProtection="1">
      <alignment horizontal="right"/>
    </xf>
    <xf numFmtId="0" fontId="131" fillId="20" borderId="297" xfId="0" applyFont="1" applyFill="1" applyBorder="1" applyAlignment="1">
      <alignment horizontal="left" vertical="top"/>
    </xf>
    <xf numFmtId="0" fontId="131" fillId="20" borderId="295" xfId="0" applyFont="1" applyFill="1" applyBorder="1" applyAlignment="1">
      <alignment horizontal="left" vertical="top"/>
    </xf>
    <xf numFmtId="3" fontId="4" fillId="20" borderId="300" xfId="5" applyNumberFormat="1" applyFont="1" applyFill="1" applyBorder="1" applyAlignment="1" applyProtection="1">
      <alignment wrapText="1"/>
    </xf>
    <xf numFmtId="3" fontId="4" fillId="20" borderId="229" xfId="5" applyNumberFormat="1" applyFont="1" applyFill="1" applyBorder="1" applyProtection="1"/>
    <xf numFmtId="0" fontId="4" fillId="20" borderId="229" xfId="5" applyFont="1" applyFill="1" applyBorder="1" applyAlignment="1" applyProtection="1">
      <alignment wrapText="1"/>
    </xf>
    <xf numFmtId="0" fontId="8" fillId="20" borderId="229" xfId="5" applyFont="1" applyFill="1" applyBorder="1" applyAlignment="1" applyProtection="1">
      <alignment horizontal="left" wrapText="1"/>
    </xf>
    <xf numFmtId="3" fontId="42" fillId="20" borderId="229" xfId="5" applyNumberFormat="1" applyFont="1" applyFill="1" applyBorder="1" applyProtection="1"/>
    <xf numFmtId="3" fontId="4" fillId="20" borderId="229" xfId="5" applyNumberFormat="1" applyFont="1" applyFill="1" applyBorder="1" applyAlignment="1" applyProtection="1">
      <alignment horizontal="left"/>
    </xf>
    <xf numFmtId="0" fontId="0" fillId="20" borderId="229" xfId="0" applyFill="1" applyBorder="1" applyAlignment="1"/>
    <xf numFmtId="0" fontId="130" fillId="20" borderId="229" xfId="0" applyFont="1" applyFill="1" applyBorder="1" applyAlignment="1">
      <alignment vertical="top" wrapText="1"/>
    </xf>
    <xf numFmtId="0" fontId="0" fillId="20" borderId="229" xfId="0" applyFill="1" applyBorder="1" applyAlignment="1">
      <alignment vertical="top" wrapText="1"/>
    </xf>
    <xf numFmtId="3" fontId="42" fillId="20" borderId="253" xfId="5" applyNumberFormat="1" applyFont="1" applyFill="1" applyBorder="1" applyAlignment="1" applyProtection="1">
      <alignment horizontal="left"/>
    </xf>
    <xf numFmtId="169" fontId="4" fillId="20" borderId="300" xfId="5" applyNumberFormat="1" applyFont="1" applyFill="1" applyBorder="1" applyAlignment="1" applyProtection="1">
      <alignment horizontal="left"/>
    </xf>
    <xf numFmtId="169" fontId="42" fillId="20" borderId="229" xfId="5" applyNumberFormat="1" applyFont="1" applyFill="1" applyBorder="1" applyAlignment="1" applyProtection="1">
      <alignment horizontal="left"/>
    </xf>
    <xf numFmtId="3" fontId="4" fillId="20" borderId="245" xfId="5" applyNumberFormat="1" applyFont="1" applyFill="1" applyBorder="1" applyAlignment="1" applyProtection="1">
      <alignment horizontal="left"/>
    </xf>
    <xf numFmtId="3" fontId="4" fillId="20" borderId="251" xfId="5" applyNumberFormat="1" applyFont="1" applyFill="1" applyBorder="1" applyAlignment="1" applyProtection="1">
      <alignment horizontal="left"/>
    </xf>
    <xf numFmtId="3" fontId="3" fillId="37" borderId="5" xfId="5" applyNumberFormat="1" applyFont="1" applyFill="1" applyBorder="1" applyAlignment="1" applyProtection="1"/>
    <xf numFmtId="0" fontId="4" fillId="35" borderId="2" xfId="5" applyFont="1" applyFill="1" applyBorder="1" applyAlignment="1">
      <alignment horizontal="left"/>
    </xf>
    <xf numFmtId="1" fontId="4" fillId="35" borderId="49" xfId="5" applyNumberFormat="1" applyFont="1" applyFill="1" applyBorder="1" applyAlignment="1" applyProtection="1">
      <alignment horizontal="left"/>
    </xf>
    <xf numFmtId="1" fontId="4" fillId="35" borderId="137" xfId="5" applyNumberFormat="1" applyFont="1" applyFill="1" applyBorder="1" applyAlignment="1" applyProtection="1">
      <alignment horizontal="left"/>
    </xf>
    <xf numFmtId="0" fontId="4" fillId="35" borderId="2" xfId="5" applyFont="1" applyFill="1" applyBorder="1"/>
    <xf numFmtId="0" fontId="4" fillId="35" borderId="6" xfId="5" applyFont="1" applyFill="1" applyBorder="1" applyProtection="1"/>
    <xf numFmtId="0" fontId="4" fillId="35" borderId="185" xfId="5" applyFont="1" applyFill="1" applyBorder="1" applyProtection="1"/>
    <xf numFmtId="0" fontId="25" fillId="35" borderId="67" xfId="5" applyFont="1" applyFill="1" applyBorder="1" applyProtection="1"/>
    <xf numFmtId="1" fontId="6" fillId="20" borderId="297" xfId="0" applyNumberFormat="1" applyFont="1" applyFill="1" applyBorder="1" applyAlignment="1" applyProtection="1">
      <alignment horizontal="left"/>
    </xf>
    <xf numFmtId="1" fontId="4" fillId="20" borderId="301" xfId="0" applyNumberFormat="1" applyFont="1" applyFill="1" applyBorder="1" applyAlignment="1" applyProtection="1">
      <alignment horizontal="left"/>
    </xf>
    <xf numFmtId="1" fontId="6" fillId="20" borderId="301" xfId="0" applyNumberFormat="1" applyFont="1" applyFill="1" applyBorder="1" applyAlignment="1" applyProtection="1">
      <alignment horizontal="left"/>
    </xf>
    <xf numFmtId="0" fontId="0" fillId="20" borderId="297" xfId="0" applyFill="1" applyBorder="1"/>
    <xf numFmtId="1" fontId="6" fillId="20" borderId="302" xfId="0" applyNumberFormat="1" applyFont="1" applyFill="1" applyBorder="1" applyAlignment="1" applyProtection="1">
      <alignment horizontal="left"/>
    </xf>
    <xf numFmtId="0" fontId="0" fillId="34" borderId="297" xfId="0" applyFill="1" applyBorder="1"/>
    <xf numFmtId="0" fontId="0" fillId="20" borderId="303" xfId="0" applyFill="1" applyBorder="1"/>
    <xf numFmtId="0" fontId="0" fillId="20" borderId="230" xfId="0" applyFill="1" applyBorder="1"/>
    <xf numFmtId="1" fontId="4" fillId="20" borderId="304" xfId="0" applyNumberFormat="1" applyFont="1" applyFill="1" applyBorder="1" applyAlignment="1" applyProtection="1">
      <alignment horizontal="left"/>
    </xf>
    <xf numFmtId="0" fontId="0" fillId="20" borderId="305" xfId="0" applyFill="1" applyBorder="1"/>
    <xf numFmtId="1" fontId="6" fillId="20" borderId="306" xfId="0" applyNumberFormat="1" applyFont="1" applyFill="1" applyBorder="1" applyAlignment="1" applyProtection="1">
      <alignment horizontal="left"/>
    </xf>
    <xf numFmtId="0" fontId="6" fillId="20" borderId="307" xfId="0" applyFont="1" applyFill="1" applyBorder="1" applyAlignment="1" applyProtection="1"/>
    <xf numFmtId="3" fontId="3" fillId="8" borderId="269" xfId="0" applyNumberFormat="1" applyFont="1" applyFill="1" applyBorder="1" applyAlignment="1" applyProtection="1">
      <alignment horizontal="right"/>
    </xf>
    <xf numFmtId="3" fontId="43" fillId="20" borderId="307" xfId="0" applyNumberFormat="1" applyFont="1" applyFill="1" applyBorder="1" applyAlignment="1" applyProtection="1">
      <alignment horizontal="right"/>
    </xf>
    <xf numFmtId="3" fontId="46" fillId="20" borderId="307" xfId="0" applyNumberFormat="1" applyFont="1" applyFill="1" applyBorder="1" applyAlignment="1" applyProtection="1">
      <alignment horizontal="right"/>
    </xf>
    <xf numFmtId="0" fontId="0" fillId="34" borderId="230" xfId="0" applyFill="1" applyBorder="1"/>
    <xf numFmtId="0" fontId="4" fillId="20" borderId="233" xfId="5" applyFont="1" applyFill="1" applyBorder="1" applyAlignment="1" applyProtection="1">
      <alignment horizontal="center"/>
    </xf>
    <xf numFmtId="0" fontId="4" fillId="20" borderId="233" xfId="5" applyFont="1" applyFill="1" applyBorder="1" applyAlignment="1" applyProtection="1"/>
    <xf numFmtId="0" fontId="4" fillId="20" borderId="233" xfId="0" applyFont="1" applyFill="1" applyBorder="1" applyAlignment="1" applyProtection="1"/>
    <xf numFmtId="0" fontId="10" fillId="20" borderId="308" xfId="0" applyFont="1" applyFill="1" applyBorder="1" applyAlignment="1" applyProtection="1">
      <alignment horizontal="left"/>
    </xf>
    <xf numFmtId="9" fontId="46" fillId="20" borderId="292" xfId="0" quotePrefix="1" applyNumberFormat="1" applyFont="1" applyFill="1" applyBorder="1" applyAlignment="1" applyProtection="1">
      <alignment horizontal="right"/>
    </xf>
    <xf numFmtId="9" fontId="46" fillId="20" borderId="238" xfId="0" quotePrefix="1" applyNumberFormat="1" applyFont="1" applyFill="1" applyBorder="1" applyAlignment="1" applyProtection="1">
      <alignment horizontal="right"/>
    </xf>
    <xf numFmtId="3" fontId="46" fillId="20" borderId="252" xfId="0" applyNumberFormat="1" applyFont="1" applyFill="1" applyBorder="1" applyAlignment="1" applyProtection="1">
      <alignment horizontal="right"/>
    </xf>
    <xf numFmtId="0" fontId="0" fillId="20" borderId="309" xfId="0" applyFill="1" applyBorder="1"/>
    <xf numFmtId="9" fontId="46" fillId="20" borderId="236" xfId="0" quotePrefix="1" applyNumberFormat="1" applyFont="1" applyFill="1" applyBorder="1" applyAlignment="1" applyProtection="1">
      <alignment horizontal="right"/>
    </xf>
    <xf numFmtId="9" fontId="46" fillId="20" borderId="237" xfId="0" quotePrefix="1" applyNumberFormat="1" applyFont="1" applyFill="1" applyBorder="1" applyAlignment="1" applyProtection="1">
      <alignment horizontal="right"/>
    </xf>
    <xf numFmtId="9" fontId="46" fillId="20" borderId="249" xfId="0" quotePrefix="1" applyNumberFormat="1" applyFont="1" applyFill="1" applyBorder="1" applyAlignment="1" applyProtection="1">
      <alignment horizontal="right"/>
    </xf>
    <xf numFmtId="9" fontId="46" fillId="20" borderId="310" xfId="0" quotePrefix="1" applyNumberFormat="1" applyFont="1" applyFill="1" applyBorder="1" applyAlignment="1" applyProtection="1">
      <alignment horizontal="right"/>
    </xf>
    <xf numFmtId="0" fontId="0" fillId="34" borderId="0" xfId="0" applyFill="1" applyBorder="1"/>
    <xf numFmtId="3" fontId="4" fillId="20" borderId="296" xfId="0" applyNumberFormat="1" applyFont="1" applyFill="1" applyBorder="1" applyAlignment="1" applyProtection="1">
      <alignment wrapText="1"/>
    </xf>
    <xf numFmtId="3" fontId="4" fillId="20" borderId="297" xfId="0" applyNumberFormat="1" applyFont="1" applyFill="1" applyBorder="1" applyAlignment="1" applyProtection="1"/>
    <xf numFmtId="3" fontId="4" fillId="20" borderId="297" xfId="0" applyNumberFormat="1" applyFont="1" applyFill="1" applyBorder="1" applyAlignment="1" applyProtection="1">
      <alignment vertical="center" wrapText="1"/>
    </xf>
    <xf numFmtId="0" fontId="3" fillId="20" borderId="297" xfId="0" applyFont="1" applyFill="1" applyBorder="1" applyAlignment="1" applyProtection="1">
      <alignment wrapText="1"/>
    </xf>
    <xf numFmtId="0" fontId="10" fillId="20" borderId="298" xfId="0" applyFont="1" applyFill="1" applyBorder="1" applyAlignment="1" applyProtection="1">
      <alignment horizontal="left" wrapText="1"/>
    </xf>
    <xf numFmtId="3" fontId="4" fillId="20" borderId="299" xfId="0" applyNumberFormat="1" applyFont="1" applyFill="1" applyBorder="1" applyAlignment="1" applyProtection="1">
      <alignment horizontal="right"/>
    </xf>
    <xf numFmtId="3" fontId="42" fillId="20" borderId="305" xfId="0" applyNumberFormat="1" applyFont="1" applyFill="1" applyBorder="1" applyAlignment="1" applyProtection="1">
      <alignment horizontal="right"/>
    </xf>
    <xf numFmtId="3" fontId="4" fillId="20" borderId="297" xfId="0" applyNumberFormat="1" applyFont="1" applyFill="1" applyBorder="1" applyAlignment="1" applyProtection="1">
      <alignment horizontal="right"/>
    </xf>
    <xf numFmtId="3" fontId="42" fillId="20" borderId="311" xfId="0" applyNumberFormat="1" applyFont="1" applyFill="1" applyBorder="1" applyAlignment="1" applyProtection="1">
      <alignment horizontal="right"/>
    </xf>
    <xf numFmtId="3" fontId="4" fillId="20" borderId="312" xfId="0" applyNumberFormat="1" applyFont="1" applyFill="1" applyBorder="1" applyAlignment="1" applyProtection="1">
      <alignment horizontal="right"/>
    </xf>
    <xf numFmtId="3" fontId="42" fillId="20" borderId="295" xfId="0" applyNumberFormat="1" applyFont="1" applyFill="1" applyBorder="1" applyAlignment="1" applyProtection="1">
      <alignment horizontal="right"/>
    </xf>
    <xf numFmtId="3" fontId="118" fillId="20" borderId="305" xfId="0" applyNumberFormat="1" applyFont="1" applyFill="1" applyBorder="1" applyAlignment="1" applyProtection="1">
      <alignment horizontal="left" vertical="top"/>
    </xf>
    <xf numFmtId="3" fontId="4" fillId="20" borderId="300" xfId="0" applyNumberFormat="1" applyFont="1" applyFill="1" applyBorder="1" applyAlignment="1" applyProtection="1">
      <alignment wrapText="1"/>
    </xf>
    <xf numFmtId="3" fontId="4" fillId="20" borderId="229" xfId="0" applyNumberFormat="1" applyFont="1" applyFill="1" applyBorder="1" applyAlignment="1" applyProtection="1"/>
    <xf numFmtId="3" fontId="4" fillId="20" borderId="229" xfId="0" applyNumberFormat="1" applyFont="1" applyFill="1" applyBorder="1" applyAlignment="1" applyProtection="1">
      <alignment vertical="center" wrapText="1"/>
    </xf>
    <xf numFmtId="0" fontId="3" fillId="20" borderId="229" xfId="0" applyFont="1" applyFill="1" applyBorder="1" applyAlignment="1" applyProtection="1">
      <alignment wrapText="1"/>
    </xf>
    <xf numFmtId="0" fontId="10" fillId="20" borderId="229" xfId="0" applyFont="1" applyFill="1" applyBorder="1" applyAlignment="1" applyProtection="1">
      <alignment horizontal="left" wrapText="1"/>
    </xf>
    <xf numFmtId="3" fontId="4" fillId="20" borderId="313" xfId="0" applyNumberFormat="1" applyFont="1" applyFill="1" applyBorder="1" applyAlignment="1" applyProtection="1">
      <alignment horizontal="left"/>
    </xf>
    <xf numFmtId="0" fontId="0" fillId="20" borderId="229" xfId="0" applyFill="1" applyBorder="1"/>
    <xf numFmtId="3" fontId="42" fillId="20" borderId="309" xfId="0" applyNumberFormat="1" applyFont="1" applyFill="1" applyBorder="1" applyAlignment="1" applyProtection="1">
      <alignment horizontal="left"/>
    </xf>
    <xf numFmtId="3" fontId="4" fillId="20" borderId="229" xfId="0" applyNumberFormat="1" applyFont="1" applyFill="1" applyBorder="1" applyAlignment="1" applyProtection="1">
      <alignment horizontal="left"/>
    </xf>
    <xf numFmtId="3" fontId="42" fillId="20" borderId="314" xfId="0" applyNumberFormat="1" applyFont="1" applyFill="1" applyBorder="1" applyAlignment="1" applyProtection="1">
      <alignment horizontal="left"/>
    </xf>
    <xf numFmtId="3" fontId="4" fillId="20" borderId="251" xfId="0" applyNumberFormat="1" applyFont="1" applyFill="1" applyBorder="1" applyAlignment="1" applyProtection="1">
      <alignment horizontal="left"/>
    </xf>
    <xf numFmtId="3" fontId="42" fillId="20" borderId="247" xfId="0" applyNumberFormat="1" applyFont="1" applyFill="1" applyBorder="1" applyAlignment="1" applyProtection="1">
      <alignment horizontal="right"/>
    </xf>
    <xf numFmtId="0" fontId="119" fillId="20" borderId="309" xfId="0" applyFont="1" applyFill="1" applyBorder="1" applyAlignment="1">
      <alignment horizontal="left" vertical="top"/>
    </xf>
    <xf numFmtId="3" fontId="11" fillId="0" borderId="51" xfId="0" applyNumberFormat="1" applyFont="1" applyFill="1" applyBorder="1" applyAlignment="1" applyProtection="1">
      <alignment horizontal="right"/>
      <protection locked="0"/>
    </xf>
    <xf numFmtId="0" fontId="0" fillId="0" borderId="0" xfId="0" applyBorder="1" applyProtection="1"/>
    <xf numFmtId="0" fontId="10" fillId="0" borderId="27" xfId="0" applyFont="1" applyFill="1" applyBorder="1" applyAlignment="1" applyProtection="1">
      <alignment horizontal="left" vertical="center"/>
    </xf>
    <xf numFmtId="0" fontId="0" fillId="2" borderId="0" xfId="0" applyFont="1" applyFill="1" applyBorder="1" applyProtection="1"/>
    <xf numFmtId="3" fontId="3" fillId="3" borderId="62" xfId="0" applyNumberFormat="1" applyFont="1" applyFill="1" applyBorder="1" applyAlignment="1" applyProtection="1">
      <alignment horizontal="right"/>
    </xf>
    <xf numFmtId="3" fontId="3" fillId="3" borderId="201" xfId="0" applyNumberFormat="1" applyFont="1" applyFill="1" applyBorder="1" applyAlignment="1" applyProtection="1">
      <alignment horizontal="right"/>
    </xf>
    <xf numFmtId="0" fontId="77" fillId="20" borderId="108" xfId="0" applyFont="1" applyFill="1" applyBorder="1" applyAlignment="1">
      <alignment wrapText="1"/>
    </xf>
    <xf numFmtId="0" fontId="77" fillId="20" borderId="66" xfId="0" applyFont="1" applyFill="1" applyBorder="1" applyAlignment="1">
      <alignment wrapText="1"/>
    </xf>
    <xf numFmtId="0" fontId="6" fillId="20" borderId="36" xfId="0" applyFont="1" applyFill="1" applyBorder="1" applyAlignment="1" applyProtection="1">
      <alignment horizontal="center" vertical="center"/>
    </xf>
    <xf numFmtId="0" fontId="0" fillId="20" borderId="116" xfId="0" applyFill="1" applyBorder="1" applyProtection="1"/>
    <xf numFmtId="0" fontId="4" fillId="20" borderId="120" xfId="0" applyFont="1" applyFill="1" applyBorder="1" applyAlignment="1" applyProtection="1">
      <alignment wrapText="1"/>
    </xf>
    <xf numFmtId="0" fontId="0" fillId="20" borderId="76" xfId="0" applyFill="1" applyBorder="1" applyAlignment="1">
      <alignment wrapText="1"/>
    </xf>
    <xf numFmtId="0" fontId="4" fillId="20" borderId="49" xfId="0" applyFont="1" applyFill="1" applyBorder="1" applyAlignment="1" applyProtection="1">
      <alignment wrapText="1"/>
    </xf>
    <xf numFmtId="0" fontId="25" fillId="20" borderId="51" xfId="0" applyFont="1" applyFill="1" applyBorder="1" applyAlignment="1">
      <alignment wrapText="1"/>
    </xf>
    <xf numFmtId="0" fontId="2" fillId="20" borderId="116" xfId="0" applyFont="1" applyFill="1" applyBorder="1" applyAlignment="1" applyProtection="1"/>
    <xf numFmtId="3" fontId="46" fillId="21" borderId="122" xfId="0" applyNumberFormat="1" applyFont="1" applyFill="1" applyBorder="1" applyAlignment="1" applyProtection="1"/>
    <xf numFmtId="3" fontId="46" fillId="21" borderId="21" xfId="0" applyNumberFormat="1" applyFont="1" applyFill="1" applyBorder="1" applyAlignment="1" applyProtection="1"/>
    <xf numFmtId="3" fontId="46" fillId="21" borderId="59" xfId="0" applyNumberFormat="1" applyFont="1" applyFill="1" applyBorder="1" applyAlignment="1" applyProtection="1"/>
    <xf numFmtId="3" fontId="46" fillId="21" borderId="18" xfId="0" applyNumberFormat="1" applyFont="1" applyFill="1" applyBorder="1" applyAlignment="1" applyProtection="1"/>
    <xf numFmtId="0" fontId="8" fillId="0" borderId="0" xfId="0" applyFont="1" applyFill="1" applyBorder="1" applyAlignment="1" applyProtection="1">
      <alignment vertical="top" wrapText="1"/>
    </xf>
    <xf numFmtId="1" fontId="18" fillId="20" borderId="15" xfId="0" applyNumberFormat="1" applyFont="1" applyFill="1" applyBorder="1" applyAlignment="1" applyProtection="1">
      <alignment horizontal="left" vertical="top" wrapText="1"/>
    </xf>
    <xf numFmtId="0" fontId="52" fillId="20" borderId="41" xfId="0" applyFont="1" applyFill="1" applyBorder="1" applyAlignment="1">
      <alignment horizontal="left" vertical="top" wrapText="1"/>
    </xf>
    <xf numFmtId="0" fontId="6" fillId="20" borderId="116" xfId="0" applyFont="1" applyFill="1" applyBorder="1" applyAlignment="1" applyProtection="1"/>
    <xf numFmtId="3" fontId="6" fillId="20" borderId="36" xfId="0" applyNumberFormat="1" applyFont="1" applyFill="1" applyBorder="1" applyAlignment="1" applyProtection="1">
      <alignment horizontal="center" vertical="center"/>
    </xf>
    <xf numFmtId="0" fontId="8" fillId="20" borderId="116" xfId="0" applyFont="1" applyFill="1" applyBorder="1" applyAlignment="1" applyProtection="1"/>
    <xf numFmtId="1" fontId="6"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4" fillId="0" borderId="0" xfId="0" applyNumberFormat="1" applyFont="1" applyFill="1" applyBorder="1" applyAlignment="1" applyProtection="1">
      <alignment horizontal="center" wrapText="1"/>
    </xf>
    <xf numFmtId="1" fontId="3" fillId="20" borderId="15" xfId="0" applyNumberFormat="1" applyFont="1" applyFill="1" applyBorder="1" applyAlignment="1" applyProtection="1">
      <alignment horizontal="left" wrapText="1"/>
    </xf>
    <xf numFmtId="0" fontId="10" fillId="20" borderId="15" xfId="0" applyFont="1" applyFill="1" applyBorder="1" applyAlignment="1">
      <alignment wrapText="1"/>
    </xf>
    <xf numFmtId="0" fontId="8" fillId="0" borderId="0" xfId="0" applyFont="1" applyFill="1" applyBorder="1" applyAlignment="1">
      <alignment wrapText="1"/>
    </xf>
    <xf numFmtId="0" fontId="114" fillId="0" borderId="0" xfId="0" applyFont="1" applyFill="1" applyAlignment="1" applyProtection="1">
      <alignment vertical="top" wrapText="1"/>
    </xf>
    <xf numFmtId="0" fontId="114" fillId="0" borderId="0" xfId="0" applyFont="1" applyFill="1" applyBorder="1" applyAlignment="1">
      <alignment wrapText="1"/>
    </xf>
    <xf numFmtId="0" fontId="114" fillId="0" borderId="0" xfId="0" applyFont="1" applyFill="1" applyAlignment="1">
      <alignment vertical="top" wrapText="1"/>
    </xf>
    <xf numFmtId="0" fontId="134" fillId="0" borderId="0" xfId="0" applyFont="1" applyFill="1" applyBorder="1" applyAlignment="1">
      <alignment horizontal="left" wrapText="1"/>
    </xf>
    <xf numFmtId="0" fontId="134" fillId="0" borderId="56" xfId="0" applyFont="1" applyBorder="1" applyAlignment="1">
      <alignment horizontal="left" wrapText="1"/>
    </xf>
    <xf numFmtId="0" fontId="134" fillId="0" borderId="0" xfId="0" applyFont="1" applyAlignment="1">
      <alignment horizontal="left" wrapText="1"/>
    </xf>
    <xf numFmtId="0" fontId="134" fillId="0" borderId="0" xfId="0" applyFont="1" applyBorder="1" applyAlignment="1">
      <alignment horizontal="left" wrapText="1"/>
    </xf>
    <xf numFmtId="0" fontId="4" fillId="20" borderId="113" xfId="0" applyFont="1" applyFill="1" applyBorder="1" applyAlignment="1" applyProtection="1">
      <alignment horizontal="left" vertical="top" wrapText="1"/>
    </xf>
    <xf numFmtId="0" fontId="0" fillId="0" borderId="41" xfId="0" applyBorder="1"/>
    <xf numFmtId="49" fontId="21" fillId="0" borderId="0" xfId="0" applyNumberFormat="1" applyFont="1" applyFill="1" applyBorder="1" applyAlignment="1" applyProtection="1">
      <alignment horizontal="left" wrapText="1"/>
    </xf>
    <xf numFmtId="0" fontId="56" fillId="0" borderId="0" xfId="0" applyFont="1" applyAlignment="1">
      <alignment horizontal="left" wrapText="1"/>
    </xf>
    <xf numFmtId="0" fontId="0" fillId="0" borderId="0" xfId="0" applyAlignment="1"/>
    <xf numFmtId="0" fontId="56" fillId="0" borderId="0" xfId="0" applyFont="1" applyAlignment="1" applyProtection="1">
      <alignment horizontal="left" wrapText="1"/>
    </xf>
    <xf numFmtId="0" fontId="0" fillId="0" borderId="0" xfId="0" applyAlignment="1" applyProtection="1">
      <alignment wrapText="1"/>
    </xf>
    <xf numFmtId="0" fontId="136" fillId="36" borderId="0" xfId="0" applyNumberFormat="1" applyFont="1" applyFill="1" applyBorder="1" applyAlignment="1" applyProtection="1">
      <alignment vertical="center" wrapText="1"/>
    </xf>
    <xf numFmtId="0" fontId="0" fillId="0" borderId="0" xfId="0" applyFill="1" applyAlignment="1">
      <alignment vertical="center" wrapText="1"/>
    </xf>
    <xf numFmtId="3" fontId="4" fillId="0" borderId="57" xfId="0" applyNumberFormat="1" applyFont="1" applyFill="1" applyBorder="1" applyAlignment="1" applyProtection="1"/>
    <xf numFmtId="0" fontId="8" fillId="0" borderId="56" xfId="0" applyFont="1" applyFill="1" applyBorder="1" applyAlignment="1"/>
    <xf numFmtId="0" fontId="3" fillId="20" borderId="186" xfId="0" applyFont="1" applyFill="1" applyBorder="1" applyAlignment="1" applyProtection="1">
      <alignment horizontal="center" vertical="top"/>
    </xf>
    <xf numFmtId="0" fontId="10" fillId="20" borderId="47" xfId="0" applyFont="1" applyFill="1" applyBorder="1" applyAlignment="1" applyProtection="1">
      <alignment horizontal="center" vertical="top"/>
    </xf>
    <xf numFmtId="0" fontId="10" fillId="20" borderId="40" xfId="0" applyFont="1" applyFill="1" applyBorder="1" applyAlignment="1" applyProtection="1">
      <alignment horizontal="center" vertical="top"/>
    </xf>
    <xf numFmtId="0" fontId="6" fillId="20" borderId="193" xfId="0" applyFont="1" applyFill="1" applyBorder="1" applyAlignment="1" applyProtection="1">
      <alignment horizontal="center" vertical="center" wrapText="1"/>
    </xf>
    <xf numFmtId="0" fontId="6" fillId="20" borderId="158" xfId="0" applyFont="1" applyFill="1" applyBorder="1" applyAlignment="1" applyProtection="1">
      <alignment horizontal="center" vertical="center" wrapText="1"/>
    </xf>
    <xf numFmtId="0" fontId="6" fillId="20" borderId="215" xfId="0" applyFont="1" applyFill="1" applyBorder="1" applyAlignment="1" applyProtection="1">
      <alignment horizontal="center" vertical="center" wrapText="1"/>
    </xf>
    <xf numFmtId="3" fontId="4" fillId="35" borderId="72" xfId="0" applyNumberFormat="1" applyFont="1" applyFill="1" applyBorder="1" applyAlignment="1" applyProtection="1">
      <alignment horizontal="left" wrapText="1"/>
    </xf>
    <xf numFmtId="0" fontId="25" fillId="35" borderId="73" xfId="0" applyFont="1" applyFill="1" applyBorder="1" applyAlignment="1" applyProtection="1">
      <alignment horizontal="left" wrapText="1"/>
    </xf>
    <xf numFmtId="0" fontId="25" fillId="35" borderId="88" xfId="0" applyFont="1" applyFill="1" applyBorder="1" applyAlignment="1" applyProtection="1">
      <alignment horizontal="left" wrapText="1"/>
    </xf>
    <xf numFmtId="3" fontId="4" fillId="35" borderId="72" xfId="0" applyNumberFormat="1" applyFont="1" applyFill="1" applyBorder="1" applyAlignment="1" applyProtection="1">
      <alignment horizontal="left" vertical="top" wrapText="1"/>
    </xf>
    <xf numFmtId="0" fontId="25" fillId="35" borderId="73" xfId="0" applyFont="1" applyFill="1" applyBorder="1" applyAlignment="1" applyProtection="1">
      <alignment horizontal="left" vertical="top" wrapText="1"/>
    </xf>
    <xf numFmtId="0" fontId="25" fillId="35" borderId="88" xfId="0" applyFont="1" applyFill="1" applyBorder="1" applyAlignment="1" applyProtection="1">
      <alignment horizontal="left" vertical="top" wrapText="1"/>
    </xf>
    <xf numFmtId="3" fontId="4" fillId="20" borderId="72" xfId="0" applyNumberFormat="1" applyFont="1" applyFill="1" applyBorder="1" applyAlignment="1" applyProtection="1">
      <alignment vertical="center" wrapText="1"/>
    </xf>
    <xf numFmtId="0" fontId="0" fillId="20" borderId="73" xfId="0" applyFill="1" applyBorder="1" applyAlignment="1" applyProtection="1">
      <alignment vertical="center"/>
    </xf>
    <xf numFmtId="0" fontId="0" fillId="20" borderId="88" xfId="0" applyFill="1" applyBorder="1" applyAlignment="1" applyProtection="1">
      <alignment vertical="center"/>
    </xf>
    <xf numFmtId="3" fontId="4" fillId="20" borderId="152" xfId="0" applyNumberFormat="1" applyFont="1" applyFill="1" applyBorder="1" applyAlignment="1" applyProtection="1">
      <alignment horizontal="left" vertical="top" wrapText="1"/>
    </xf>
    <xf numFmtId="0" fontId="0" fillId="0" borderId="152" xfId="0" applyBorder="1" applyAlignment="1">
      <alignment horizontal="left" wrapText="1"/>
    </xf>
    <xf numFmtId="3" fontId="11" fillId="0" borderId="194" xfId="0" applyNumberFormat="1" applyFont="1" applyFill="1" applyBorder="1" applyAlignment="1" applyProtection="1">
      <alignment horizontal="left" vertical="top" wrapText="1"/>
      <protection locked="0"/>
    </xf>
    <xf numFmtId="0" fontId="3" fillId="0" borderId="216" xfId="0" applyFont="1" applyFill="1" applyBorder="1" applyAlignment="1" applyProtection="1">
      <alignment horizontal="left" vertical="top" wrapText="1"/>
      <protection locked="0"/>
    </xf>
    <xf numFmtId="0" fontId="3" fillId="0" borderId="244" xfId="0" applyFont="1" applyFill="1" applyBorder="1" applyAlignment="1" applyProtection="1">
      <alignment horizontal="left" vertical="top" wrapText="1"/>
      <protection locked="0"/>
    </xf>
    <xf numFmtId="0" fontId="3" fillId="0" borderId="194" xfId="0" applyFont="1" applyFill="1" applyBorder="1" applyAlignment="1" applyProtection="1">
      <alignment horizontal="left" vertical="top" wrapText="1"/>
      <protection locked="0"/>
    </xf>
    <xf numFmtId="3" fontId="4" fillId="20" borderId="198" xfId="0" applyNumberFormat="1" applyFont="1" applyFill="1" applyBorder="1" applyAlignment="1" applyProtection="1">
      <alignment vertical="center" wrapText="1"/>
    </xf>
    <xf numFmtId="3" fontId="4" fillId="20" borderId="188" xfId="0" applyNumberFormat="1" applyFont="1" applyFill="1" applyBorder="1" applyAlignment="1" applyProtection="1">
      <alignment vertical="center" wrapText="1"/>
    </xf>
    <xf numFmtId="0" fontId="4" fillId="20" borderId="12" xfId="0" applyFont="1" applyFill="1" applyBorder="1" applyAlignment="1" applyProtection="1">
      <alignment horizontal="left" vertical="top" wrapText="1"/>
    </xf>
    <xf numFmtId="0" fontId="0" fillId="0" borderId="88" xfId="0" applyBorder="1" applyAlignment="1"/>
    <xf numFmtId="3" fontId="4" fillId="20" borderId="72" xfId="0" applyNumberFormat="1" applyFont="1" applyFill="1" applyBorder="1" applyAlignment="1" applyProtection="1">
      <alignment wrapText="1"/>
    </xf>
    <xf numFmtId="0" fontId="0" fillId="20" borderId="73" xfId="0" applyFill="1" applyBorder="1" applyAlignment="1">
      <alignment wrapText="1"/>
    </xf>
    <xf numFmtId="0" fontId="0" fillId="20" borderId="88" xfId="0" applyFill="1" applyBorder="1" applyAlignment="1">
      <alignment wrapText="1"/>
    </xf>
    <xf numFmtId="3" fontId="4" fillId="20" borderId="154" xfId="5" applyNumberFormat="1" applyFont="1" applyFill="1" applyBorder="1" applyAlignment="1" applyProtection="1">
      <alignment horizontal="left" vertical="top" wrapText="1"/>
    </xf>
    <xf numFmtId="0" fontId="25" fillId="20" borderId="154" xfId="5" applyFill="1" applyBorder="1" applyAlignment="1">
      <alignment horizontal="left" wrapText="1"/>
    </xf>
    <xf numFmtId="3" fontId="4" fillId="20" borderId="220" xfId="0" applyNumberFormat="1" applyFont="1" applyFill="1" applyBorder="1" applyAlignment="1" applyProtection="1">
      <alignment horizontal="left" vertical="top" wrapText="1"/>
    </xf>
    <xf numFmtId="0" fontId="0" fillId="0" borderId="43" xfId="0" applyBorder="1" applyAlignment="1">
      <alignment horizontal="left" wrapText="1"/>
    </xf>
    <xf numFmtId="3" fontId="4" fillId="20" borderId="256" xfId="0" applyNumberFormat="1" applyFont="1" applyFill="1" applyBorder="1" applyAlignment="1" applyProtection="1">
      <alignment horizontal="left" vertical="top" wrapText="1"/>
    </xf>
    <xf numFmtId="0" fontId="0" fillId="0" borderId="257" xfId="0" applyBorder="1" applyAlignment="1">
      <alignment horizontal="left" wrapText="1"/>
    </xf>
    <xf numFmtId="0" fontId="3" fillId="20" borderId="48" xfId="0" applyFont="1" applyFill="1" applyBorder="1" applyAlignment="1" applyProtection="1">
      <alignment horizontal="center" vertical="top"/>
    </xf>
    <xf numFmtId="0" fontId="3" fillId="20" borderId="159" xfId="0" applyFont="1" applyFill="1" applyBorder="1" applyAlignment="1" applyProtection="1">
      <alignment horizontal="center" vertical="top"/>
    </xf>
    <xf numFmtId="3" fontId="3" fillId="20" borderId="48" xfId="0" applyNumberFormat="1" applyFont="1" applyFill="1" applyBorder="1" applyAlignment="1" applyProtection="1">
      <alignment horizontal="center" vertical="top"/>
    </xf>
    <xf numFmtId="3" fontId="3" fillId="20" borderId="47" xfId="0" applyNumberFormat="1" applyFont="1" applyFill="1" applyBorder="1" applyAlignment="1" applyProtection="1">
      <alignment horizontal="center" vertical="top"/>
    </xf>
    <xf numFmtId="3" fontId="3" fillId="20" borderId="159" xfId="0" applyNumberFormat="1" applyFont="1" applyFill="1" applyBorder="1" applyAlignment="1" applyProtection="1">
      <alignment horizontal="center" vertical="top"/>
    </xf>
    <xf numFmtId="0" fontId="3" fillId="20" borderId="47" xfId="0" applyFont="1" applyFill="1" applyBorder="1" applyAlignment="1" applyProtection="1">
      <alignment horizontal="center" vertical="top"/>
    </xf>
    <xf numFmtId="3" fontId="3" fillId="20" borderId="48" xfId="0" applyNumberFormat="1" applyFont="1" applyFill="1" applyBorder="1" applyAlignment="1" applyProtection="1">
      <alignment horizontal="left" vertical="top" wrapText="1"/>
    </xf>
    <xf numFmtId="0" fontId="10" fillId="20" borderId="40" xfId="0" applyFont="1" applyFill="1" applyBorder="1" applyAlignment="1" applyProtection="1">
      <alignment vertical="top" wrapText="1"/>
    </xf>
    <xf numFmtId="0" fontId="4" fillId="2" borderId="193" xfId="0" applyFont="1" applyFill="1" applyBorder="1" applyAlignment="1" applyProtection="1">
      <alignment horizontal="right"/>
    </xf>
    <xf numFmtId="0" fontId="0" fillId="0" borderId="158" xfId="0" applyBorder="1" applyAlignment="1">
      <alignment horizontal="right"/>
    </xf>
    <xf numFmtId="0" fontId="0" fillId="0" borderId="98" xfId="0" applyBorder="1" applyAlignment="1">
      <alignment horizontal="right"/>
    </xf>
    <xf numFmtId="0" fontId="4" fillId="20" borderId="0" xfId="0" applyFont="1" applyFill="1" applyBorder="1" applyAlignment="1" applyProtection="1">
      <alignment wrapText="1"/>
    </xf>
    <xf numFmtId="0" fontId="25" fillId="20" borderId="0" xfId="0" applyFont="1" applyFill="1" applyAlignment="1">
      <alignment wrapText="1"/>
    </xf>
    <xf numFmtId="0" fontId="127" fillId="20" borderId="27" xfId="0" applyFont="1" applyFill="1" applyBorder="1" applyAlignment="1" applyProtection="1">
      <alignment wrapText="1"/>
    </xf>
    <xf numFmtId="0" fontId="0" fillId="20" borderId="27" xfId="0" applyFill="1" applyBorder="1" applyAlignment="1">
      <alignment wrapText="1"/>
    </xf>
    <xf numFmtId="0" fontId="4" fillId="20" borderId="27" xfId="0" applyFont="1" applyFill="1" applyBorder="1" applyAlignment="1" applyProtection="1">
      <alignment wrapText="1"/>
    </xf>
    <xf numFmtId="0" fontId="4" fillId="20" borderId="27" xfId="0" applyFont="1" applyFill="1" applyBorder="1" applyAlignment="1" applyProtection="1">
      <alignment horizontal="left" vertical="top" wrapText="1"/>
    </xf>
    <xf numFmtId="0" fontId="0" fillId="20" borderId="27" xfId="0" applyFill="1" applyBorder="1" applyAlignment="1">
      <alignment horizontal="left" vertical="top" wrapText="1"/>
    </xf>
    <xf numFmtId="0" fontId="0" fillId="20" borderId="0" xfId="0" applyFill="1" applyAlignment="1">
      <alignment wrapText="1"/>
    </xf>
    <xf numFmtId="0" fontId="127" fillId="20" borderId="0" xfId="0" applyFont="1" applyFill="1" applyBorder="1" applyAlignment="1" applyProtection="1">
      <alignment wrapText="1"/>
    </xf>
    <xf numFmtId="0" fontId="0" fillId="20" borderId="38" xfId="0" applyFill="1" applyBorder="1" applyAlignment="1">
      <alignment wrapText="1"/>
    </xf>
    <xf numFmtId="0" fontId="57" fillId="0" borderId="0" xfId="0" applyFont="1" applyFill="1" applyBorder="1" applyAlignment="1" applyProtection="1">
      <alignment horizontal="left" wrapText="1"/>
    </xf>
    <xf numFmtId="0" fontId="6" fillId="20" borderId="290" xfId="0" applyFont="1" applyFill="1" applyBorder="1" applyAlignment="1" applyProtection="1">
      <alignment vertical="top" wrapText="1"/>
    </xf>
    <xf numFmtId="0" fontId="52" fillId="20" borderId="288" xfId="0" applyFont="1" applyFill="1" applyBorder="1" applyAlignment="1" applyProtection="1">
      <alignment vertical="top" wrapText="1"/>
    </xf>
    <xf numFmtId="0" fontId="6" fillId="20" borderId="277" xfId="0" applyFont="1" applyFill="1" applyBorder="1" applyAlignment="1" applyProtection="1">
      <alignment vertical="top" wrapText="1"/>
    </xf>
    <xf numFmtId="0" fontId="6" fillId="20" borderId="278" xfId="0" applyFont="1" applyFill="1" applyBorder="1" applyAlignment="1" applyProtection="1">
      <alignment vertical="top" wrapText="1"/>
    </xf>
    <xf numFmtId="0" fontId="6" fillId="20" borderId="279" xfId="0" applyFont="1" applyFill="1" applyBorder="1" applyAlignment="1" applyProtection="1">
      <alignment vertical="top" wrapText="1"/>
    </xf>
    <xf numFmtId="0" fontId="4" fillId="20" borderId="15" xfId="0" applyFont="1" applyFill="1" applyBorder="1" applyAlignment="1" applyProtection="1">
      <alignment vertical="top" wrapText="1"/>
    </xf>
    <xf numFmtId="0" fontId="0" fillId="20" borderId="15" xfId="0" applyFill="1" applyBorder="1" applyAlignment="1" applyProtection="1">
      <alignment vertical="top" wrapText="1"/>
    </xf>
    <xf numFmtId="0" fontId="0" fillId="20" borderId="41" xfId="0" applyFill="1" applyBorder="1" applyAlignment="1" applyProtection="1">
      <alignment vertical="top" wrapText="1"/>
    </xf>
    <xf numFmtId="0" fontId="4" fillId="20" borderId="59" xfId="0" applyFont="1" applyFill="1" applyBorder="1" applyAlignment="1" applyProtection="1">
      <alignment vertical="top" wrapText="1"/>
    </xf>
    <xf numFmtId="0" fontId="0" fillId="20" borderId="59" xfId="0" applyFill="1" applyBorder="1" applyAlignment="1" applyProtection="1">
      <alignment vertical="top" wrapText="1"/>
    </xf>
    <xf numFmtId="0" fontId="0" fillId="20" borderId="86" xfId="0" applyFill="1" applyBorder="1" applyAlignment="1" applyProtection="1">
      <alignment vertical="top" wrapText="1"/>
    </xf>
    <xf numFmtId="0" fontId="6" fillId="20" borderId="184" xfId="0" applyFont="1" applyFill="1" applyBorder="1" applyAlignment="1" applyProtection="1">
      <alignment horizontal="left" vertical="top" wrapText="1"/>
    </xf>
    <xf numFmtId="0" fontId="0" fillId="20" borderId="119" xfId="0" applyFill="1" applyBorder="1" applyAlignment="1">
      <alignment vertical="top"/>
    </xf>
    <xf numFmtId="0" fontId="0" fillId="20" borderId="107" xfId="0" applyFill="1" applyBorder="1" applyAlignment="1">
      <alignment vertical="top"/>
    </xf>
    <xf numFmtId="0" fontId="0" fillId="20" borderId="1" xfId="0" applyFill="1" applyBorder="1" applyAlignment="1">
      <alignment vertical="top"/>
    </xf>
    <xf numFmtId="0" fontId="0" fillId="20" borderId="222" xfId="0" applyFill="1" applyBorder="1" applyAlignment="1">
      <alignment vertical="top"/>
    </xf>
    <xf numFmtId="0" fontId="4" fillId="20" borderId="232" xfId="5" applyFont="1" applyFill="1" applyBorder="1" applyAlignment="1" applyProtection="1">
      <alignment wrapText="1"/>
    </xf>
    <xf numFmtId="0" fontId="0" fillId="0" borderId="233" xfId="0" applyBorder="1" applyAlignment="1">
      <alignment wrapText="1"/>
    </xf>
    <xf numFmtId="3" fontId="4" fillId="20" borderId="297" xfId="5" applyNumberFormat="1" applyFont="1" applyFill="1" applyBorder="1" applyAlignment="1" applyProtection="1">
      <alignment vertical="top" wrapText="1"/>
    </xf>
    <xf numFmtId="0" fontId="25" fillId="20" borderId="229" xfId="5" applyFill="1" applyBorder="1" applyAlignment="1" applyProtection="1"/>
    <xf numFmtId="0" fontId="25" fillId="20" borderId="297" xfId="5" applyFill="1" applyBorder="1" applyAlignment="1" applyProtection="1"/>
    <xf numFmtId="0" fontId="132" fillId="20" borderId="229" xfId="0" applyFont="1" applyFill="1" applyBorder="1" applyAlignment="1">
      <alignment wrapText="1"/>
    </xf>
    <xf numFmtId="0" fontId="133" fillId="0" borderId="229" xfId="0" applyFont="1" applyBorder="1" applyAlignment="1">
      <alignment wrapText="1"/>
    </xf>
    <xf numFmtId="0" fontId="131" fillId="20" borderId="252" xfId="0" applyFont="1" applyFill="1" applyBorder="1" applyAlignment="1">
      <alignment horizontal="left" vertical="top" wrapText="1"/>
    </xf>
    <xf numFmtId="0" fontId="0" fillId="20" borderId="229" xfId="0" applyFill="1" applyBorder="1" applyAlignment="1">
      <alignment horizontal="left" vertical="top" wrapText="1"/>
    </xf>
    <xf numFmtId="0" fontId="0" fillId="20" borderId="58" xfId="0" applyFill="1" applyBorder="1" applyAlignment="1">
      <alignment horizontal="left" vertical="top" wrapText="1"/>
    </xf>
    <xf numFmtId="0" fontId="4" fillId="20" borderId="229" xfId="0" applyFont="1" applyFill="1" applyBorder="1" applyAlignment="1">
      <alignment horizontal="center" vertical="top" wrapText="1"/>
    </xf>
    <xf numFmtId="0" fontId="52" fillId="20" borderId="36" xfId="5" applyFont="1" applyFill="1" applyBorder="1" applyAlignment="1" applyProtection="1">
      <alignment vertical="center" wrapText="1"/>
    </xf>
    <xf numFmtId="0" fontId="0" fillId="0" borderId="92" xfId="0" applyBorder="1" applyAlignment="1">
      <alignment wrapText="1"/>
    </xf>
    <xf numFmtId="0" fontId="0" fillId="0" borderId="57" xfId="0" applyBorder="1" applyAlignment="1">
      <alignment wrapText="1"/>
    </xf>
    <xf numFmtId="0" fontId="0" fillId="0" borderId="43" xfId="0" applyBorder="1" applyAlignment="1">
      <alignment wrapText="1"/>
    </xf>
    <xf numFmtId="0" fontId="4" fillId="20" borderId="113" xfId="5" applyFont="1" applyFill="1" applyBorder="1" applyAlignment="1" applyProtection="1">
      <alignment vertical="top" wrapText="1"/>
    </xf>
    <xf numFmtId="0" fontId="0" fillId="0" borderId="2" xfId="0" applyBorder="1" applyAlignment="1">
      <alignment vertical="top" wrapText="1"/>
    </xf>
    <xf numFmtId="3" fontId="4" fillId="20" borderId="16" xfId="5" applyNumberFormat="1" applyFont="1" applyFill="1" applyBorder="1" applyAlignment="1" applyProtection="1">
      <alignment vertical="top" wrapText="1"/>
    </xf>
    <xf numFmtId="0" fontId="0" fillId="20" borderId="16" xfId="0" applyFill="1" applyBorder="1" applyAlignment="1">
      <alignment wrapText="1"/>
    </xf>
    <xf numFmtId="3" fontId="4" fillId="35" borderId="15" xfId="5" applyNumberFormat="1" applyFont="1" applyFill="1" applyBorder="1" applyAlignment="1" applyProtection="1">
      <alignment vertical="top" wrapText="1"/>
    </xf>
    <xf numFmtId="0" fontId="0" fillId="35" borderId="15" xfId="0" applyFill="1" applyBorder="1" applyAlignment="1">
      <alignment vertical="top" wrapText="1"/>
    </xf>
    <xf numFmtId="3" fontId="4" fillId="20" borderId="15" xfId="5" applyNumberFormat="1" applyFont="1" applyFill="1" applyBorder="1" applyAlignment="1" applyProtection="1">
      <alignment vertical="top" wrapText="1"/>
    </xf>
    <xf numFmtId="0" fontId="0" fillId="20" borderId="15" xfId="0" applyFill="1" applyBorder="1" applyAlignment="1">
      <alignment wrapText="1"/>
    </xf>
    <xf numFmtId="0" fontId="4" fillId="20" borderId="15" xfId="5" applyFont="1" applyFill="1" applyBorder="1" applyAlignment="1" applyProtection="1">
      <alignment vertical="top" wrapText="1"/>
    </xf>
    <xf numFmtId="0" fontId="0" fillId="20" borderId="15" xfId="0" applyFill="1" applyBorder="1" applyAlignment="1">
      <alignment vertical="top" wrapText="1"/>
    </xf>
    <xf numFmtId="0" fontId="0" fillId="20" borderId="41" xfId="0" applyFill="1" applyBorder="1" applyAlignment="1">
      <alignment vertical="top" wrapText="1"/>
    </xf>
    <xf numFmtId="3" fontId="4" fillId="20" borderId="153" xfId="5" applyNumberFormat="1" applyFont="1" applyFill="1" applyBorder="1" applyAlignment="1" applyProtection="1">
      <alignment vertical="center" wrapText="1"/>
    </xf>
    <xf numFmtId="0" fontId="0" fillId="20" borderId="153" xfId="0" applyFill="1" applyBorder="1" applyAlignment="1">
      <alignment vertical="center" wrapText="1"/>
    </xf>
    <xf numFmtId="3" fontId="4" fillId="20" borderId="162" xfId="5" applyNumberFormat="1" applyFont="1" applyFill="1" applyBorder="1" applyAlignment="1" applyProtection="1">
      <alignment wrapText="1"/>
    </xf>
    <xf numFmtId="0" fontId="0" fillId="20" borderId="3" xfId="0" applyFill="1" applyBorder="1" applyAlignment="1">
      <alignment wrapText="1"/>
    </xf>
    <xf numFmtId="0" fontId="0" fillId="20" borderId="153" xfId="0" applyFill="1" applyBorder="1" applyAlignment="1">
      <alignment vertical="center"/>
    </xf>
    <xf numFmtId="3" fontId="4" fillId="20" borderId="153" xfId="5" applyNumberFormat="1" applyFont="1" applyFill="1" applyBorder="1" applyAlignment="1" applyProtection="1">
      <alignment vertical="top" wrapText="1"/>
    </xf>
    <xf numFmtId="0" fontId="25" fillId="20" borderId="153" xfId="0" applyFont="1" applyFill="1" applyBorder="1" applyAlignment="1">
      <alignment vertical="top" wrapText="1"/>
    </xf>
    <xf numFmtId="0" fontId="4" fillId="20" borderId="232" xfId="0" applyFont="1" applyFill="1" applyBorder="1" applyAlignment="1" applyProtection="1">
      <alignment vertical="top" wrapText="1"/>
    </xf>
    <xf numFmtId="0" fontId="0" fillId="0" borderId="233" xfId="0" applyBorder="1" applyAlignment="1">
      <alignment vertical="top" wrapText="1"/>
    </xf>
    <xf numFmtId="3" fontId="4" fillId="20" borderId="153" xfId="0" applyNumberFormat="1" applyFont="1" applyFill="1" applyBorder="1" applyAlignment="1" applyProtection="1">
      <alignment vertical="top" wrapText="1"/>
    </xf>
    <xf numFmtId="0" fontId="25" fillId="20" borderId="170" xfId="0" applyFont="1" applyFill="1" applyBorder="1" applyAlignment="1">
      <alignment vertical="top" wrapText="1"/>
    </xf>
    <xf numFmtId="3" fontId="4" fillId="20" borderId="153" xfId="0" applyNumberFormat="1" applyFont="1" applyFill="1" applyBorder="1" applyAlignment="1" applyProtection="1">
      <alignment wrapText="1"/>
    </xf>
    <xf numFmtId="0" fontId="0" fillId="20" borderId="153" xfId="0" applyFill="1" applyBorder="1" applyAlignment="1">
      <alignment wrapText="1"/>
    </xf>
    <xf numFmtId="0" fontId="4" fillId="20" borderId="153" xfId="0" applyFont="1" applyFill="1" applyBorder="1" applyAlignment="1" applyProtection="1">
      <alignment vertical="top" wrapText="1"/>
    </xf>
    <xf numFmtId="0" fontId="0" fillId="0" borderId="153" xfId="0" applyBorder="1" applyAlignment="1">
      <alignment vertical="top" wrapText="1"/>
    </xf>
    <xf numFmtId="3" fontId="4" fillId="20" borderId="104" xfId="0" applyNumberFormat="1" applyFont="1" applyFill="1" applyBorder="1" applyAlignment="1" applyProtection="1">
      <alignment vertical="top" wrapText="1"/>
    </xf>
  </cellXfs>
  <cellStyles count="23">
    <cellStyle name="Anteckning 2" xfId="1" xr:uid="{00000000-0005-0000-0000-000000000000}"/>
    <cellStyle name="Anteckning 2 2" xfId="2" xr:uid="{00000000-0005-0000-0000-000001000000}"/>
    <cellStyle name="Anteckning 2 2 2" xfId="18" xr:uid="{980DEC4E-8892-4E84-B793-0FB55E05772C}"/>
    <cellStyle name="Anteckning 2 3" xfId="17" xr:uid="{B3A94F0D-7E7F-46CA-A7D6-2DF259A641AE}"/>
    <cellStyle name="Dålig 2" xfId="3" xr:uid="{00000000-0005-0000-0000-000002000000}"/>
    <cellStyle name="Följde hyperlänken" xfId="4" xr:uid="{00000000-0005-0000-0000-000003000000}"/>
    <cellStyle name="Normal" xfId="0" builtinId="0"/>
    <cellStyle name="Normal 2" xfId="5" xr:uid="{00000000-0005-0000-0000-000006000000}"/>
    <cellStyle name="Normal 3" xfId="6" xr:uid="{00000000-0005-0000-0000-000007000000}"/>
    <cellStyle name="Normal 4" xfId="7" xr:uid="{00000000-0005-0000-0000-000008000000}"/>
    <cellStyle name="Normal 4 2" xfId="8" xr:uid="{00000000-0005-0000-0000-000009000000}"/>
    <cellStyle name="Normal 4 2 2" xfId="20" xr:uid="{9427D73E-2370-485D-BAFD-63EEDD79EE4A}"/>
    <cellStyle name="Normal 4 3" xfId="19" xr:uid="{7ACACD36-7FAF-497B-9F24-69FAECF3BC09}"/>
    <cellStyle name="Normal 5" xfId="22" xr:uid="{692164B7-F736-4A83-BCE1-3E1D987D8461}"/>
    <cellStyle name="Normal_Kontrollblad" xfId="9" xr:uid="{00000000-0005-0000-0000-00000A000000}"/>
    <cellStyle name="Normal_skolkostn" xfId="10" xr:uid="{00000000-0005-0000-0000-00000C000000}"/>
    <cellStyle name="Normal_skolkostn 2" xfId="11" xr:uid="{00000000-0005-0000-0000-00000D000000}"/>
    <cellStyle name="Procent" xfId="12" builtinId="5"/>
    <cellStyle name="Procent 2" xfId="13" xr:uid="{00000000-0005-0000-0000-00000F000000}"/>
    <cellStyle name="Tusental" xfId="16" builtinId="3"/>
    <cellStyle name="Tusental (0)_Kommunägda företag" xfId="14" xr:uid="{00000000-0005-0000-0000-000010000000}"/>
    <cellStyle name="Tusental 2" xfId="21" xr:uid="{25C499EC-3936-410A-9950-5D73A1A36248}"/>
    <cellStyle name="Valuta (0)_Kommunägda företag" xfId="15" xr:uid="{00000000-0005-0000-0000-000011000000}"/>
  </cellStyles>
  <dxfs count="58">
    <dxf>
      <fill>
        <patternFill>
          <bgColor indexed="10"/>
        </patternFill>
      </fill>
    </dxf>
    <dxf>
      <fill>
        <patternFill>
          <bgColor rgb="FFFF0000"/>
        </patternFill>
      </fill>
    </dxf>
    <dxf>
      <font>
        <color rgb="FFFF0000"/>
      </font>
    </dxf>
    <dxf>
      <font>
        <color rgb="FFFF0000"/>
      </font>
    </dxf>
    <dxf>
      <font>
        <color rgb="FFFF0000"/>
      </font>
    </dxf>
    <dxf>
      <font>
        <condense val="0"/>
        <extend val="0"/>
        <color indexed="10"/>
      </font>
    </dxf>
    <dxf>
      <font>
        <color rgb="FFFF0000"/>
      </font>
    </dxf>
    <dxf>
      <font>
        <condense val="0"/>
        <extend val="0"/>
        <color indexed="10"/>
      </font>
    </dxf>
    <dxf>
      <fill>
        <patternFill>
          <bgColor indexed="10"/>
        </patternFill>
      </fill>
    </dxf>
    <dxf>
      <fill>
        <patternFill>
          <bgColor rgb="FFFF0000"/>
        </patternFill>
      </fill>
    </dxf>
    <dxf>
      <fill>
        <patternFill>
          <bgColor indexed="10"/>
        </patternFill>
      </fill>
    </dxf>
    <dxf>
      <font>
        <b/>
        <i val="0"/>
        <condense val="0"/>
        <extend val="0"/>
        <color indexed="10"/>
      </font>
    </dxf>
    <dxf>
      <font>
        <b/>
        <i val="0"/>
        <condense val="0"/>
        <extend val="0"/>
        <color indexed="10"/>
      </font>
      <fill>
        <patternFill patternType="none">
          <bgColor indexed="65"/>
        </patternFill>
      </fill>
    </dxf>
    <dxf>
      <fill>
        <patternFill>
          <bgColor indexed="10"/>
        </patternFill>
      </fill>
    </dxf>
    <dxf>
      <fill>
        <patternFill>
          <bgColor rgb="FFFF0000"/>
        </patternFill>
      </fill>
    </dxf>
    <dxf>
      <fill>
        <patternFill>
          <bgColor rgb="FFFF0000"/>
        </patternFill>
      </fill>
    </dxf>
    <dxf>
      <fill>
        <patternFill>
          <bgColor rgb="FFFF0000"/>
        </patternFill>
      </fill>
    </dxf>
    <dxf>
      <font>
        <color rgb="FFFF0000"/>
      </font>
    </dxf>
    <dxf>
      <fill>
        <patternFill>
          <bgColor indexed="10"/>
        </patternFill>
      </fill>
    </dxf>
    <dxf>
      <font>
        <color rgb="FFFF0000"/>
      </font>
    </dxf>
    <dxf>
      <fill>
        <patternFill>
          <bgColor indexed="10"/>
        </patternFill>
      </fill>
    </dxf>
    <dxf>
      <font>
        <color rgb="FFFF0000"/>
      </font>
    </dxf>
    <dxf>
      <font>
        <color rgb="FFFF0000"/>
      </font>
    </dxf>
    <dxf>
      <fill>
        <patternFill>
          <bgColor rgb="FFFF0000"/>
        </patternFill>
      </fill>
    </dxf>
    <dxf>
      <font>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0DA"/>
      <color rgb="FFC0C0C0"/>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53</xdr:row>
      <xdr:rowOff>28576</xdr:rowOff>
    </xdr:from>
    <xdr:to>
      <xdr:col>8</xdr:col>
      <xdr:colOff>69850</xdr:colOff>
      <xdr:row>53</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63</xdr:row>
      <xdr:rowOff>104775</xdr:rowOff>
    </xdr:from>
    <xdr:to>
      <xdr:col>6</xdr:col>
      <xdr:colOff>0</xdr:colOff>
      <xdr:row>63</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59</xdr:row>
      <xdr:rowOff>114300</xdr:rowOff>
    </xdr:from>
    <xdr:to>
      <xdr:col>5</xdr:col>
      <xdr:colOff>1568450</xdr:colOff>
      <xdr:row>60</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61</xdr:row>
      <xdr:rowOff>76200</xdr:rowOff>
    </xdr:from>
    <xdr:to>
      <xdr:col>6</xdr:col>
      <xdr:colOff>9525</xdr:colOff>
      <xdr:row>62</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62</xdr:row>
      <xdr:rowOff>104776</xdr:rowOff>
    </xdr:from>
    <xdr:to>
      <xdr:col>5</xdr:col>
      <xdr:colOff>1568450</xdr:colOff>
      <xdr:row>62</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73</xdr:row>
      <xdr:rowOff>41275</xdr:rowOff>
    </xdr:from>
    <xdr:to>
      <xdr:col>6</xdr:col>
      <xdr:colOff>19050</xdr:colOff>
      <xdr:row>73</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63</xdr:row>
      <xdr:rowOff>114300</xdr:rowOff>
    </xdr:from>
    <xdr:to>
      <xdr:col>6</xdr:col>
      <xdr:colOff>0</xdr:colOff>
      <xdr:row>64</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64</xdr:row>
      <xdr:rowOff>111125</xdr:rowOff>
    </xdr:from>
    <xdr:to>
      <xdr:col>5</xdr:col>
      <xdr:colOff>1524000</xdr:colOff>
      <xdr:row>66</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81</xdr:row>
      <xdr:rowOff>76200</xdr:rowOff>
    </xdr:from>
    <xdr:to>
      <xdr:col>6</xdr:col>
      <xdr:colOff>31750</xdr:colOff>
      <xdr:row>86</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83</xdr:row>
      <xdr:rowOff>85725</xdr:rowOff>
    </xdr:from>
    <xdr:to>
      <xdr:col>4</xdr:col>
      <xdr:colOff>647700</xdr:colOff>
      <xdr:row>83</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82</xdr:row>
      <xdr:rowOff>66675</xdr:rowOff>
    </xdr:from>
    <xdr:to>
      <xdr:col>5</xdr:col>
      <xdr:colOff>1076325</xdr:colOff>
      <xdr:row>82</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83</xdr:row>
      <xdr:rowOff>95250</xdr:rowOff>
    </xdr:from>
    <xdr:to>
      <xdr:col>5</xdr:col>
      <xdr:colOff>1095375</xdr:colOff>
      <xdr:row>83</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84</xdr:row>
      <xdr:rowOff>114300</xdr:rowOff>
    </xdr:from>
    <xdr:to>
      <xdr:col>5</xdr:col>
      <xdr:colOff>1047750</xdr:colOff>
      <xdr:row>84</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69</xdr:row>
      <xdr:rowOff>53975</xdr:rowOff>
    </xdr:from>
    <xdr:to>
      <xdr:col>6</xdr:col>
      <xdr:colOff>6350</xdr:colOff>
      <xdr:row>69</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64</xdr:row>
      <xdr:rowOff>114300</xdr:rowOff>
    </xdr:from>
    <xdr:to>
      <xdr:col>5</xdr:col>
      <xdr:colOff>1568450</xdr:colOff>
      <xdr:row>65</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54</xdr:row>
      <xdr:rowOff>95250</xdr:rowOff>
    </xdr:from>
    <xdr:to>
      <xdr:col>5</xdr:col>
      <xdr:colOff>9525</xdr:colOff>
      <xdr:row>54</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57</xdr:row>
      <xdr:rowOff>76200</xdr:rowOff>
    </xdr:from>
    <xdr:to>
      <xdr:col>5</xdr:col>
      <xdr:colOff>9525</xdr:colOff>
      <xdr:row>58</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49</xdr:row>
      <xdr:rowOff>17319</xdr:rowOff>
    </xdr:from>
    <xdr:to>
      <xdr:col>5</xdr:col>
      <xdr:colOff>25977</xdr:colOff>
      <xdr:row>49</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67</xdr:row>
      <xdr:rowOff>6615</xdr:rowOff>
    </xdr:from>
    <xdr:to>
      <xdr:col>5</xdr:col>
      <xdr:colOff>6614</xdr:colOff>
      <xdr:row>69</xdr:row>
      <xdr:rowOff>112448</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921250" y="12607396"/>
          <a:ext cx="1838854" cy="502708"/>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27940</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27940</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7.vml"/><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abSelected="1" zoomScaleNormal="100" workbookViewId="0">
      <selection sqref="A1:D1"/>
    </sheetView>
  </sheetViews>
  <sheetFormatPr defaultColWidth="0" defaultRowHeight="12.75" zeroHeight="1"/>
  <cols>
    <col min="1" max="1" width="22.5703125" style="388" customWidth="1"/>
    <col min="2" max="2" width="26.5703125" style="388" customWidth="1"/>
    <col min="3" max="3" width="20.5703125" style="388" customWidth="1"/>
    <col min="4" max="4" width="26.5703125" style="388" customWidth="1"/>
    <col min="5" max="5" width="12.42578125" style="387" customWidth="1"/>
  </cols>
  <sheetData>
    <row r="1" spans="1:5" s="389" customFormat="1">
      <c r="A1" s="2525"/>
      <c r="B1" s="2526"/>
      <c r="C1" s="2526"/>
      <c r="D1" s="2526"/>
      <c r="E1" s="2127"/>
    </row>
    <row r="2" spans="1:5" s="388" customFormat="1" ht="15.75">
      <c r="A2" s="2128" t="s">
        <v>1241</v>
      </c>
      <c r="B2" s="2129"/>
      <c r="C2" s="2130"/>
      <c r="D2" s="2130"/>
      <c r="E2" s="2131"/>
    </row>
    <row r="3" spans="1:5" s="388" customFormat="1" ht="15.75">
      <c r="A3" s="2132"/>
      <c r="B3" s="2133"/>
      <c r="C3" s="2130"/>
      <c r="D3" s="2130"/>
      <c r="E3" s="2131"/>
    </row>
    <row r="4" spans="1:5" s="388" customFormat="1" ht="15.75">
      <c r="A4" s="1832" t="str">
        <f>"Invånare 31 dec. "&amp;År&amp;""</f>
        <v>Invånare 31 dec. 2024</v>
      </c>
      <c r="B4" s="2134">
        <v>10587.71</v>
      </c>
      <c r="C4" s="2135">
        <v>10587710</v>
      </c>
      <c r="D4" s="2130"/>
      <c r="E4" s="2131"/>
    </row>
    <row r="5" spans="1:5" s="388" customFormat="1" ht="19.5" customHeight="1">
      <c r="A5" s="1832" t="str">
        <f>"Inv. 7-15 år 31 dec. "&amp;År&amp;""</f>
        <v>Inv. 7-15 år 31 dec. 2024</v>
      </c>
      <c r="B5" s="2134">
        <v>1127.415</v>
      </c>
      <c r="C5" s="2135">
        <v>1127415</v>
      </c>
      <c r="D5" s="2130"/>
      <c r="E5" s="2131"/>
    </row>
    <row r="6" spans="1:5" s="388" customFormat="1">
      <c r="A6" s="2136"/>
      <c r="B6" s="2136"/>
      <c r="C6" s="2136"/>
      <c r="D6" s="2136"/>
      <c r="E6" s="2136"/>
    </row>
    <row r="7" spans="1:5" s="388" customFormat="1">
      <c r="A7" s="2136"/>
      <c r="B7" s="2136"/>
      <c r="C7" s="2136"/>
      <c r="D7" s="2136"/>
      <c r="E7" s="2136"/>
    </row>
    <row r="8" spans="1:5" s="388" customFormat="1" ht="22.5" customHeight="1">
      <c r="A8" s="2136"/>
      <c r="B8" s="2136"/>
      <c r="C8" s="2136"/>
      <c r="D8" s="2136"/>
      <c r="E8" s="2136"/>
    </row>
    <row r="9" spans="1:5" s="388" customFormat="1" ht="12.75" customHeight="1">
      <c r="A9" s="2136"/>
      <c r="B9" s="2136"/>
      <c r="C9" s="2136"/>
      <c r="D9" s="2136"/>
      <c r="E9" s="2136"/>
    </row>
    <row r="10" spans="1:5" s="388" customFormat="1">
      <c r="A10" s="2136"/>
      <c r="B10" s="2136"/>
      <c r="C10" s="2136"/>
      <c r="D10" s="2136"/>
      <c r="E10" s="2136"/>
    </row>
    <row r="11" spans="1:5" s="388" customFormat="1">
      <c r="A11" s="2136"/>
      <c r="B11" s="2136"/>
      <c r="C11" s="2136"/>
      <c r="D11" s="2136"/>
      <c r="E11" s="2136"/>
    </row>
    <row r="12" spans="1:5" s="388" customFormat="1" ht="33">
      <c r="A12" s="2137" t="s">
        <v>1242</v>
      </c>
      <c r="B12" s="2136"/>
      <c r="C12" s="2136"/>
      <c r="D12" s="2136"/>
      <c r="E12" s="2136"/>
    </row>
    <row r="13" spans="1:5" s="388" customFormat="1">
      <c r="A13" s="2136"/>
      <c r="B13" s="2136"/>
      <c r="C13" s="2136"/>
      <c r="D13" s="2136"/>
      <c r="E13" s="2136"/>
    </row>
    <row r="14" spans="1:5" s="388" customFormat="1" ht="33">
      <c r="A14" s="2137" t="s">
        <v>1243</v>
      </c>
      <c r="B14" s="2136"/>
      <c r="C14" s="2136"/>
      <c r="D14" s="2136"/>
      <c r="E14" s="2136"/>
    </row>
    <row r="15" spans="1:5" s="388" customFormat="1">
      <c r="A15" s="2136"/>
      <c r="B15" s="2136"/>
      <c r="C15" s="2136"/>
      <c r="D15" s="2136"/>
      <c r="E15" s="2136"/>
    </row>
    <row r="16" spans="1:5" s="388" customFormat="1">
      <c r="A16" s="2136"/>
      <c r="B16" s="2136"/>
      <c r="C16" s="2136"/>
      <c r="D16" s="2136"/>
      <c r="E16" s="2136"/>
    </row>
    <row r="17" spans="1:5" s="388" customFormat="1">
      <c r="A17" s="2136"/>
      <c r="B17" s="2136"/>
      <c r="C17" s="2136"/>
      <c r="D17" s="2136"/>
      <c r="E17" s="2136"/>
    </row>
    <row r="18" spans="1:5" s="388" customFormat="1" ht="13.35" customHeight="1">
      <c r="A18" s="2136"/>
      <c r="B18" s="2136"/>
      <c r="C18" s="2136"/>
      <c r="D18" s="2136"/>
      <c r="E18" s="2136"/>
    </row>
    <row r="19" spans="1:5" s="388" customFormat="1">
      <c r="A19" s="2136"/>
      <c r="B19" s="2136"/>
      <c r="C19" s="2136"/>
      <c r="D19" s="2136"/>
      <c r="E19" s="2136"/>
    </row>
    <row r="20" spans="1:5" s="388" customFormat="1">
      <c r="A20" s="2136"/>
      <c r="B20" s="2136"/>
      <c r="C20" s="2136"/>
      <c r="D20" s="2136"/>
      <c r="E20" s="2136"/>
    </row>
    <row r="21" spans="1:5" s="388" customFormat="1">
      <c r="A21" s="2136"/>
      <c r="B21" s="2136"/>
      <c r="C21" s="2136"/>
      <c r="D21" s="2136"/>
      <c r="E21" s="2136"/>
    </row>
    <row r="22" spans="1:5" s="388" customFormat="1">
      <c r="A22" s="2136"/>
      <c r="B22" s="2136"/>
      <c r="C22" s="2136"/>
      <c r="D22" s="2136"/>
      <c r="E22" s="2136"/>
    </row>
    <row r="23" spans="1:5" s="388" customFormat="1">
      <c r="A23" s="2136"/>
      <c r="B23" s="2136"/>
      <c r="C23" s="2136"/>
      <c r="D23" s="2136"/>
      <c r="E23" s="2136"/>
    </row>
    <row r="24" spans="1:5" s="388" customFormat="1">
      <c r="A24" s="2136"/>
      <c r="B24" s="2136"/>
      <c r="C24" s="2136"/>
      <c r="D24" s="2136"/>
      <c r="E24" s="2136"/>
    </row>
    <row r="25" spans="1:5" s="388" customFormat="1">
      <c r="A25" s="2136"/>
      <c r="B25" s="2136"/>
      <c r="C25" s="2136"/>
      <c r="D25" s="2136"/>
      <c r="E25" s="2136"/>
    </row>
    <row r="26" spans="1:5" s="388" customFormat="1">
      <c r="A26" s="2136"/>
      <c r="B26" s="2136"/>
      <c r="C26" s="2136"/>
      <c r="D26" s="2136"/>
      <c r="E26" s="2136"/>
    </row>
    <row r="27" spans="1:5" s="388" customFormat="1">
      <c r="A27" s="2136"/>
      <c r="B27" s="2136"/>
      <c r="C27" s="2136"/>
      <c r="D27" s="2136"/>
      <c r="E27" s="2136"/>
    </row>
    <row r="28" spans="1:5" s="388" customFormat="1">
      <c r="A28" s="2136"/>
      <c r="B28" s="2136"/>
      <c r="C28" s="2136"/>
      <c r="D28" s="2136"/>
      <c r="E28" s="2136"/>
    </row>
    <row r="29" spans="1:5" s="388" customFormat="1">
      <c r="A29" s="2136"/>
      <c r="B29" s="2136"/>
      <c r="C29" s="2136"/>
      <c r="D29" s="2136"/>
      <c r="E29" s="2136"/>
    </row>
    <row r="30" spans="1:5" s="388" customFormat="1">
      <c r="A30" s="2136"/>
      <c r="B30" s="2136"/>
      <c r="C30" s="2136"/>
      <c r="D30" s="2136"/>
      <c r="E30" s="2136"/>
    </row>
    <row r="31" spans="1:5" s="388" customFormat="1">
      <c r="A31" s="2136"/>
      <c r="B31" s="2136"/>
      <c r="C31" s="2136"/>
      <c r="D31" s="2136"/>
      <c r="E31" s="2136"/>
    </row>
    <row r="32" spans="1:5" s="388" customFormat="1">
      <c r="A32" s="2136"/>
      <c r="B32" s="2136"/>
      <c r="C32" s="2136"/>
      <c r="D32" s="2136"/>
      <c r="E32" s="2136"/>
    </row>
    <row r="33" spans="1:5" s="388" customFormat="1">
      <c r="A33" s="2136"/>
      <c r="B33" s="2136"/>
      <c r="C33" s="2136"/>
      <c r="D33" s="2136"/>
      <c r="E33" s="2136"/>
    </row>
    <row r="34" spans="1:5" s="388" customFormat="1">
      <c r="A34" s="2136"/>
      <c r="B34" s="2136"/>
      <c r="C34" s="2136"/>
      <c r="D34" s="2136"/>
      <c r="E34" s="2136"/>
    </row>
    <row r="35" spans="1:5" s="388" customFormat="1">
      <c r="A35" s="2136"/>
      <c r="B35" s="2136"/>
      <c r="C35" s="2136"/>
      <c r="D35" s="2136"/>
      <c r="E35" s="2136"/>
    </row>
    <row r="36" spans="1:5" s="388" customFormat="1">
      <c r="A36" s="2136"/>
      <c r="B36" s="2136"/>
      <c r="C36" s="2136"/>
      <c r="D36" s="2136"/>
      <c r="E36" s="2136"/>
    </row>
    <row r="37" spans="1:5" s="388" customFormat="1">
      <c r="A37" s="2136"/>
      <c r="B37" s="2136"/>
      <c r="C37" s="2136"/>
      <c r="D37" s="2136"/>
      <c r="E37" s="2136"/>
    </row>
    <row r="38" spans="1:5" s="388" customFormat="1">
      <c r="A38" s="2136"/>
      <c r="B38" s="2136"/>
      <c r="C38" s="2136"/>
      <c r="D38" s="2136"/>
      <c r="E38" s="2136"/>
    </row>
    <row r="39" spans="1:5" s="388" customFormat="1">
      <c r="A39" s="2136"/>
      <c r="B39" s="2136"/>
      <c r="C39" s="2136"/>
      <c r="D39" s="2136"/>
      <c r="E39" s="2136"/>
    </row>
    <row r="40" spans="1:5" s="388" customFormat="1">
      <c r="A40" s="2136"/>
      <c r="B40" s="2136"/>
      <c r="C40" s="2136"/>
      <c r="D40" s="2136"/>
      <c r="E40" s="2136"/>
    </row>
    <row r="41" spans="1:5" s="388" customFormat="1">
      <c r="A41" s="2136"/>
      <c r="B41" s="2136"/>
      <c r="C41" s="2136"/>
      <c r="D41" s="2136"/>
      <c r="E41" s="2136"/>
    </row>
    <row r="42" spans="1:5" s="388" customFormat="1">
      <c r="A42" s="2136"/>
      <c r="B42" s="2136"/>
      <c r="C42" s="2136"/>
      <c r="D42" s="2136"/>
      <c r="E42" s="2136"/>
    </row>
    <row r="43" spans="1:5" s="388" customFormat="1">
      <c r="A43" s="2136"/>
      <c r="B43" s="2136"/>
      <c r="C43" s="2136"/>
      <c r="D43" s="2136"/>
      <c r="E43" s="2136"/>
    </row>
    <row r="44" spans="1:5" s="388" customFormat="1">
      <c r="A44" s="2136"/>
      <c r="B44" s="2136"/>
      <c r="C44" s="2136"/>
      <c r="D44" s="2136"/>
      <c r="E44" s="2136"/>
    </row>
    <row r="45" spans="1:5" s="388" customFormat="1">
      <c r="A45" s="2136"/>
      <c r="B45" s="2136"/>
      <c r="C45" s="2136"/>
      <c r="D45" s="2136"/>
      <c r="E45" s="2136"/>
    </row>
    <row r="46" spans="1:5" s="388" customFormat="1">
      <c r="A46" s="2136"/>
      <c r="B46" s="2136"/>
      <c r="C46" s="2136"/>
      <c r="D46" s="2136"/>
      <c r="E46" s="2136"/>
    </row>
    <row r="47" spans="1:5" s="388" customFormat="1">
      <c r="A47" s="2136"/>
      <c r="B47" s="2136"/>
      <c r="C47" s="2136"/>
      <c r="D47" s="2136"/>
      <c r="E47" s="2136"/>
    </row>
    <row r="48" spans="1:5" s="388" customFormat="1">
      <c r="A48" s="2136"/>
      <c r="B48" s="2136"/>
      <c r="C48" s="2136"/>
      <c r="D48" s="2136"/>
      <c r="E48" s="2136"/>
    </row>
    <row r="49" spans="1:5" s="388" customFormat="1">
      <c r="A49" s="2138"/>
      <c r="B49" s="2131"/>
      <c r="C49" s="2131"/>
      <c r="D49" s="2131"/>
      <c r="E49" s="2131"/>
    </row>
    <row r="50" spans="1:5" s="292" customFormat="1" ht="54.75" customHeight="1">
      <c r="A50" s="2139" t="s">
        <v>1246</v>
      </c>
      <c r="B50" s="2140"/>
      <c r="C50" s="2140"/>
      <c r="D50" s="2140"/>
      <c r="E50" s="2140"/>
    </row>
  </sheetData>
  <customSheetViews>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1"/>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3"/>
      <headerFooter alignWithMargins="0"/>
    </customSheetView>
  </customSheetViews>
  <mergeCells count="1">
    <mergeCell ref="A1:D1"/>
  </mergeCells>
  <phoneticPr fontId="89" type="noConversion"/>
  <pageMargins left="0.70866141732283472" right="0.48" top="0.74803149606299213" bottom="0.74803149606299213" header="0.31496062992125984" footer="0.31496062992125984"/>
  <pageSetup paperSize="9" scale="8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5"/>
  <sheetViews>
    <sheetView showGridLines="0" zoomScaleNormal="100" workbookViewId="0">
      <pane ySplit="1" topLeftCell="A2" activePane="bottomLeft" state="frozen"/>
      <selection activeCell="F36" sqref="F36"/>
      <selection pane="bottomLeft"/>
    </sheetView>
  </sheetViews>
  <sheetFormatPr defaultColWidth="0" defaultRowHeight="0" customHeight="1" zeroHeight="1"/>
  <cols>
    <col min="1" max="1" width="4" style="163" customWidth="1"/>
    <col min="2" max="2" width="42.42578125" style="163" customWidth="1"/>
    <col min="3" max="4" width="11.5703125" style="163" customWidth="1"/>
    <col min="5" max="5" width="12.42578125" style="163" customWidth="1"/>
    <col min="6" max="6" width="5.5703125" style="163" customWidth="1"/>
    <col min="7" max="7" width="24" style="163" customWidth="1"/>
    <col min="8" max="8" width="15.85546875" style="163" customWidth="1"/>
    <col min="9" max="10" width="10" style="163" customWidth="1"/>
    <col min="11" max="11" width="10.42578125" style="163" customWidth="1"/>
    <col min="12" max="12" width="0" style="163" hidden="1" customWidth="1"/>
    <col min="13" max="16384" width="9.42578125" style="163" hidden="1"/>
  </cols>
  <sheetData>
    <row r="1" spans="1:11" ht="21.75">
      <c r="A1" s="73" t="str">
        <f>"Resultaträkning "&amp;År&amp;", miljoner kr"</f>
        <v>Resultaträkning 2024, miljoner kr</v>
      </c>
      <c r="B1" s="74"/>
      <c r="C1" s="74"/>
      <c r="D1" s="74"/>
      <c r="E1" s="74"/>
      <c r="F1" s="473" t="s">
        <v>446</v>
      </c>
      <c r="G1" s="474" t="str">
        <f>Information!A2</f>
        <v>RIKSTOTAL</v>
      </c>
      <c r="H1" s="162"/>
      <c r="I1" s="162"/>
      <c r="J1" s="162"/>
      <c r="K1" s="162"/>
    </row>
    <row r="2" spans="1:11" ht="12.75" customHeight="1">
      <c r="A2" s="2141"/>
      <c r="B2" s="2141"/>
      <c r="C2" s="2141"/>
      <c r="D2" s="2141"/>
      <c r="E2" s="2141"/>
      <c r="F2" s="2141"/>
      <c r="G2" s="2141"/>
      <c r="H2" s="2141"/>
      <c r="I2" s="2141"/>
      <c r="J2" s="2141"/>
      <c r="K2" s="2141"/>
    </row>
    <row r="3" spans="1:11" ht="12.75" customHeight="1" thickBot="1">
      <c r="A3" s="2141"/>
      <c r="B3" s="2141"/>
      <c r="C3" s="2141"/>
      <c r="D3" s="2141"/>
      <c r="E3" s="2141"/>
      <c r="F3" s="2141"/>
      <c r="G3" s="2141"/>
      <c r="H3" s="2141"/>
      <c r="I3" s="2141"/>
      <c r="J3" s="2141"/>
      <c r="K3" s="2141"/>
    </row>
    <row r="4" spans="1:11" ht="12.75" customHeight="1">
      <c r="A4" s="559" t="s">
        <v>603</v>
      </c>
      <c r="B4" s="560"/>
      <c r="C4" s="570" t="s">
        <v>604</v>
      </c>
      <c r="D4" s="571" t="s">
        <v>705</v>
      </c>
      <c r="G4" s="4"/>
      <c r="H4" s="4"/>
      <c r="I4" s="2527" t="s">
        <v>450</v>
      </c>
      <c r="J4" s="2533"/>
      <c r="K4" s="164"/>
    </row>
    <row r="5" spans="1:11" ht="12.75" customHeight="1">
      <c r="A5" s="561" t="s">
        <v>605</v>
      </c>
      <c r="B5" s="562"/>
      <c r="C5" s="572"/>
      <c r="D5" s="573"/>
      <c r="E5" s="2"/>
      <c r="F5" s="4"/>
      <c r="G5" s="4"/>
      <c r="H5" s="4"/>
      <c r="I5" s="576" t="s">
        <v>604</v>
      </c>
      <c r="J5" s="577" t="s">
        <v>705</v>
      </c>
      <c r="K5" s="164"/>
    </row>
    <row r="6" spans="1:11" ht="12.75" customHeight="1">
      <c r="A6" s="561"/>
      <c r="B6" s="563"/>
      <c r="C6" s="562"/>
      <c r="D6" s="574"/>
      <c r="E6" s="2"/>
      <c r="F6" s="4"/>
      <c r="G6" s="4"/>
      <c r="H6" s="4"/>
      <c r="I6" s="578"/>
      <c r="J6" s="579"/>
      <c r="K6" s="164"/>
    </row>
    <row r="7" spans="1:11" ht="12.75">
      <c r="A7" s="544" t="s">
        <v>274</v>
      </c>
      <c r="B7" s="564" t="s">
        <v>715</v>
      </c>
      <c r="C7" s="168">
        <v>179266.177</v>
      </c>
      <c r="D7" s="169">
        <v>378041.52600000001</v>
      </c>
      <c r="E7" s="172"/>
      <c r="F7" s="63"/>
      <c r="G7" s="63"/>
      <c r="H7" s="4"/>
      <c r="I7" s="580">
        <f>C7*1000/invanare</f>
        <v>16931.534486683147</v>
      </c>
      <c r="J7" s="581">
        <f t="shared" ref="I7:J12" si="0">D7*1000/invanare</f>
        <v>35705.693299117564</v>
      </c>
      <c r="K7" s="164"/>
    </row>
    <row r="8" spans="1:11" ht="12.75">
      <c r="A8" s="542" t="s">
        <v>275</v>
      </c>
      <c r="B8" s="564" t="s">
        <v>716</v>
      </c>
      <c r="C8" s="168">
        <v>868018.21400000004</v>
      </c>
      <c r="D8" s="169">
        <v>1005427.355</v>
      </c>
      <c r="E8" s="172"/>
      <c r="F8" s="63"/>
      <c r="G8" s="63"/>
      <c r="H8" s="4"/>
      <c r="I8" s="582">
        <f>C8*1000/invanare*-1</f>
        <v>-81983.565284655517</v>
      </c>
      <c r="J8" s="581">
        <f>D8*1000/invanare*-1</f>
        <v>-94961.739129613488</v>
      </c>
      <c r="K8" s="164"/>
    </row>
    <row r="9" spans="1:11" ht="13.5" customHeight="1">
      <c r="A9" s="542" t="s">
        <v>276</v>
      </c>
      <c r="B9" s="564" t="s">
        <v>920</v>
      </c>
      <c r="C9" s="62">
        <v>40024.362000000001</v>
      </c>
      <c r="D9" s="170">
        <v>78988.903999999995</v>
      </c>
      <c r="E9" s="172"/>
      <c r="F9" s="63"/>
      <c r="G9" s="63"/>
      <c r="H9" s="4"/>
      <c r="I9" s="580">
        <f>C9*1000/invanare*-1</f>
        <v>-3780.2661765386474</v>
      </c>
      <c r="J9" s="581">
        <f>D9*1000/invanare*-1</f>
        <v>-7460.4332759397457</v>
      </c>
      <c r="K9" s="164"/>
    </row>
    <row r="10" spans="1:11" ht="13.5" thickBot="1">
      <c r="A10" s="535" t="s">
        <v>277</v>
      </c>
      <c r="B10" s="565" t="s">
        <v>606</v>
      </c>
      <c r="C10" s="313">
        <f>C7-SUM(C8:C9)</f>
        <v>-728776.39899999998</v>
      </c>
      <c r="D10" s="314">
        <f>D7-SUM(D8:D9)</f>
        <v>-706374.73300000001</v>
      </c>
      <c r="E10" s="173"/>
      <c r="F10" s="63"/>
      <c r="G10" s="63"/>
      <c r="H10" s="4"/>
      <c r="I10" s="583">
        <f t="shared" si="0"/>
        <v>-68832.296974511017</v>
      </c>
      <c r="J10" s="581">
        <f t="shared" si="0"/>
        <v>-66716.479106435669</v>
      </c>
      <c r="K10" s="164"/>
    </row>
    <row r="11" spans="1:11" ht="12.75">
      <c r="A11" s="566" t="s">
        <v>278</v>
      </c>
      <c r="B11" s="567" t="s">
        <v>607</v>
      </c>
      <c r="C11" s="93">
        <f>'Skatter, bidrag o fin poster'!D14</f>
        <v>591235.8820000001</v>
      </c>
      <c r="D11" s="1136">
        <f>C11</f>
        <v>591235.8820000001</v>
      </c>
      <c r="E11" s="173"/>
      <c r="F11" s="63"/>
      <c r="G11" s="63"/>
      <c r="H11" s="4"/>
      <c r="I11" s="584">
        <f t="shared" si="0"/>
        <v>55841.714780627743</v>
      </c>
      <c r="J11" s="585">
        <f t="shared" si="0"/>
        <v>55841.714780627743</v>
      </c>
      <c r="K11" s="164"/>
    </row>
    <row r="12" spans="1:11" ht="12.75">
      <c r="A12" s="542" t="s">
        <v>279</v>
      </c>
      <c r="B12" s="1878" t="s">
        <v>1007</v>
      </c>
      <c r="C12" s="94">
        <f>'Skatter, bidrag o fin poster'!D28-'Skatter, bidrag o fin poster'!D39+'Skatter, bidrag o fin poster'!D41</f>
        <v>148403.52600000001</v>
      </c>
      <c r="D12" s="1137">
        <f>C12</f>
        <v>148403.52600000001</v>
      </c>
      <c r="E12" s="173"/>
      <c r="F12" s="63"/>
      <c r="G12" s="63"/>
      <c r="H12" s="4"/>
      <c r="I12" s="580">
        <f t="shared" si="0"/>
        <v>14016.58394497016</v>
      </c>
      <c r="J12" s="586">
        <f t="shared" si="0"/>
        <v>14016.58394497016</v>
      </c>
      <c r="K12" s="164"/>
    </row>
    <row r="13" spans="1:11" ht="13.5" thickBot="1">
      <c r="A13" s="546" t="s">
        <v>292</v>
      </c>
      <c r="B13" s="1879" t="s">
        <v>1055</v>
      </c>
      <c r="C13" s="313">
        <f>SUM(C10:C12)</f>
        <v>10863.009000000136</v>
      </c>
      <c r="D13" s="314">
        <f>SUM(D10:D12)</f>
        <v>33264.675000000105</v>
      </c>
      <c r="E13" s="173"/>
      <c r="F13" s="63"/>
      <c r="G13" s="63"/>
      <c r="H13" s="4"/>
      <c r="I13" s="583">
        <f t="shared" ref="I13" si="1">C13*1000/invanare</f>
        <v>1026.0017510868863</v>
      </c>
      <c r="J13" s="590">
        <f t="shared" ref="J13" si="2">D13*1000/invanare</f>
        <v>3141.8196191622274</v>
      </c>
      <c r="K13" s="164"/>
    </row>
    <row r="14" spans="1:11" ht="12.75">
      <c r="A14" s="542" t="s">
        <v>280</v>
      </c>
      <c r="B14" s="564" t="s">
        <v>608</v>
      </c>
      <c r="C14" s="168">
        <v>31088.76</v>
      </c>
      <c r="D14" s="1733">
        <v>15445.035</v>
      </c>
      <c r="E14" s="172"/>
      <c r="F14" s="71"/>
      <c r="G14" s="63"/>
      <c r="H14" s="4"/>
      <c r="I14" s="2534">
        <f>(C14-C15)*1000/invanare</f>
        <v>454.35207424457218</v>
      </c>
      <c r="J14" s="2536">
        <f>(D14-D15)*1000/invanare</f>
        <v>-1528.3556123089886</v>
      </c>
      <c r="K14" s="164"/>
    </row>
    <row r="15" spans="1:11" ht="12.75">
      <c r="A15" s="544" t="s">
        <v>281</v>
      </c>
      <c r="B15" s="568" t="s">
        <v>609</v>
      </c>
      <c r="C15" s="168">
        <v>26278.212</v>
      </c>
      <c r="D15" s="1733">
        <v>31626.821</v>
      </c>
      <c r="E15" s="172"/>
      <c r="F15" s="71"/>
      <c r="G15" s="63"/>
      <c r="H15" s="4"/>
      <c r="I15" s="2535"/>
      <c r="J15" s="2537"/>
      <c r="K15" s="164"/>
    </row>
    <row r="16" spans="1:11" ht="13.5" thickBot="1">
      <c r="A16" s="498" t="s">
        <v>282</v>
      </c>
      <c r="B16" s="569" t="s">
        <v>1008</v>
      </c>
      <c r="C16" s="313">
        <f>SUM(C13:C14)-C15</f>
        <v>15673.557000000132</v>
      </c>
      <c r="D16" s="323">
        <f>SUM(D13:D14)-D15</f>
        <v>17082.889000000108</v>
      </c>
      <c r="E16" s="173"/>
      <c r="G16" s="2141"/>
      <c r="H16" s="4"/>
      <c r="I16" s="583">
        <f>C16*1000/invanare</f>
        <v>1480.3538253314582</v>
      </c>
      <c r="J16" s="590">
        <f>D16*1000/invanare</f>
        <v>1613.4640068532392</v>
      </c>
      <c r="K16" s="164"/>
    </row>
    <row r="17" spans="1:11" ht="12.75">
      <c r="A17" s="566" t="s">
        <v>318</v>
      </c>
      <c r="B17" s="567" t="s">
        <v>1009</v>
      </c>
      <c r="C17" s="168">
        <v>-19.654</v>
      </c>
      <c r="D17" s="1733">
        <v>-6.6079999999999997</v>
      </c>
      <c r="E17" s="2141"/>
      <c r="F17" s="164"/>
      <c r="G17" s="2141"/>
      <c r="H17" s="4"/>
      <c r="I17" s="1974">
        <f>(C17)*1000/invanare</f>
        <v>-1.8563032043756396</v>
      </c>
      <c r="J17" s="1975">
        <f>(D17)*1000/invanare</f>
        <v>-0.62411985216822152</v>
      </c>
      <c r="K17" s="164"/>
    </row>
    <row r="18" spans="1:11" ht="13.5" thickBot="1">
      <c r="A18" s="546" t="s">
        <v>208</v>
      </c>
      <c r="B18" s="1369" t="s">
        <v>610</v>
      </c>
      <c r="C18" s="313">
        <f>SUM(C16:C17)</f>
        <v>15653.903000000131</v>
      </c>
      <c r="D18" s="323">
        <f>SUM(D16:D17)</f>
        <v>17076.281000000108</v>
      </c>
      <c r="E18" s="2141"/>
      <c r="F18" s="164"/>
      <c r="G18" s="2141"/>
      <c r="H18" s="165"/>
      <c r="I18" s="588"/>
      <c r="J18" s="589"/>
      <c r="K18" s="164"/>
    </row>
    <row r="19" spans="1:11" ht="13.5" thickBot="1">
      <c r="A19" s="1989"/>
      <c r="B19" s="1990"/>
      <c r="E19" s="2141"/>
      <c r="F19" s="164"/>
      <c r="G19" s="2141"/>
      <c r="H19" s="4"/>
      <c r="I19" s="583">
        <f>C18*1000/invanare</f>
        <v>1478.4975221270824</v>
      </c>
      <c r="J19" s="590">
        <f>D18*1000/invanare</f>
        <v>1612.839887001071</v>
      </c>
      <c r="K19" s="164"/>
    </row>
    <row r="20" spans="1:11" ht="15.75" customHeight="1">
      <c r="A20" s="14"/>
      <c r="B20" s="3"/>
      <c r="C20" s="3"/>
      <c r="D20" s="3"/>
      <c r="E20" s="2141"/>
      <c r="F20" s="166"/>
      <c r="G20" s="2141"/>
      <c r="H20" s="4"/>
      <c r="I20" s="4"/>
      <c r="J20" s="4"/>
      <c r="K20" s="164"/>
    </row>
    <row r="21" spans="1:11" ht="15.75" customHeight="1" thickBot="1">
      <c r="A21" s="70" t="s">
        <v>997</v>
      </c>
      <c r="B21" s="3"/>
      <c r="C21" s="3"/>
      <c r="D21" s="3"/>
      <c r="E21" s="2141"/>
      <c r="F21" s="166"/>
      <c r="G21" s="2141"/>
      <c r="H21" s="4"/>
      <c r="I21" s="4"/>
      <c r="J21" s="4"/>
      <c r="K21" s="164"/>
    </row>
    <row r="22" spans="1:11" ht="15.75" customHeight="1">
      <c r="A22" s="566"/>
      <c r="B22" s="1826"/>
      <c r="C22" s="1827"/>
      <c r="D22" s="3"/>
      <c r="E22" s="2141"/>
      <c r="F22" s="166"/>
      <c r="G22" s="2141"/>
      <c r="H22" s="4"/>
      <c r="I22" s="4"/>
      <c r="J22" s="4"/>
      <c r="K22" s="164"/>
    </row>
    <row r="23" spans="1:11" ht="15.75" customHeight="1">
      <c r="A23" s="544" t="s">
        <v>335</v>
      </c>
      <c r="B23" s="568" t="s">
        <v>1110</v>
      </c>
      <c r="C23" s="1830">
        <v>4850.2529999999997</v>
      </c>
      <c r="D23" s="3"/>
      <c r="E23" s="2141"/>
      <c r="F23" s="166"/>
      <c r="G23" s="2141"/>
      <c r="H23" s="4"/>
      <c r="I23" s="4"/>
      <c r="J23" s="4"/>
      <c r="K23" s="164"/>
    </row>
    <row r="24" spans="1:11" ht="15.75" customHeight="1">
      <c r="A24" s="544" t="s">
        <v>623</v>
      </c>
      <c r="B24" s="568" t="s">
        <v>1111</v>
      </c>
      <c r="C24" s="1830">
        <v>1861.672</v>
      </c>
      <c r="D24" s="3"/>
      <c r="E24" s="2141"/>
      <c r="F24" s="166"/>
      <c r="G24" s="2141"/>
      <c r="H24" s="4"/>
      <c r="I24" s="4"/>
      <c r="J24" s="4"/>
      <c r="K24" s="164"/>
    </row>
    <row r="25" spans="1:11" ht="15.75" customHeight="1">
      <c r="A25" s="544" t="s">
        <v>998</v>
      </c>
      <c r="B25" s="568" t="s">
        <v>1112</v>
      </c>
      <c r="C25" s="1830">
        <v>1616.0150000000001</v>
      </c>
      <c r="D25" s="3"/>
      <c r="E25" s="2141"/>
      <c r="F25" s="166"/>
      <c r="G25" s="2141"/>
      <c r="H25" s="4"/>
      <c r="I25" s="4"/>
      <c r="J25" s="4"/>
      <c r="K25" s="164"/>
    </row>
    <row r="26" spans="1:11" ht="15.75" customHeight="1">
      <c r="A26" s="544" t="s">
        <v>999</v>
      </c>
      <c r="B26" s="568" t="s">
        <v>1114</v>
      </c>
      <c r="C26" s="1830">
        <v>3733.6770000000001</v>
      </c>
      <c r="D26" s="3"/>
      <c r="E26" s="2141"/>
      <c r="F26" s="166"/>
      <c r="G26" s="2141"/>
      <c r="H26" s="4"/>
      <c r="I26" s="4"/>
      <c r="J26" s="4"/>
      <c r="K26" s="164"/>
    </row>
    <row r="27" spans="1:11" ht="15.75" customHeight="1" thickBot="1">
      <c r="A27" s="546" t="s">
        <v>1000</v>
      </c>
      <c r="B27" s="2047" t="s">
        <v>1113</v>
      </c>
      <c r="C27" s="1831">
        <v>1221.1990000000001</v>
      </c>
      <c r="D27" s="3"/>
      <c r="E27" s="2141"/>
      <c r="F27" s="166"/>
      <c r="G27" s="2141"/>
      <c r="H27" s="4"/>
      <c r="I27" s="4"/>
      <c r="J27" s="4"/>
      <c r="K27" s="164"/>
    </row>
    <row r="28" spans="1:11" ht="15.75" customHeight="1" thickBot="1">
      <c r="A28" s="14"/>
      <c r="B28" s="3"/>
      <c r="C28" s="3"/>
      <c r="D28" s="3"/>
      <c r="E28" s="2"/>
      <c r="F28" s="166"/>
      <c r="G28" s="2141"/>
      <c r="H28" s="4"/>
      <c r="I28" s="4"/>
      <c r="J28" s="4"/>
      <c r="K28" s="164"/>
    </row>
    <row r="29" spans="1:11" ht="18" customHeight="1" thickBot="1">
      <c r="A29" s="70" t="s">
        <v>144</v>
      </c>
      <c r="B29" s="4"/>
      <c r="C29" s="4"/>
      <c r="D29" s="4"/>
      <c r="E29" s="4"/>
      <c r="F29" s="4"/>
      <c r="G29" s="2141"/>
      <c r="H29" s="4"/>
      <c r="I29" s="591" t="s">
        <v>450</v>
      </c>
      <c r="J29" s="167"/>
      <c r="K29" s="164"/>
    </row>
    <row r="30" spans="1:11" ht="13.5" thickBot="1">
      <c r="A30" s="2096">
        <v>130</v>
      </c>
      <c r="B30" s="2098" t="s">
        <v>145</v>
      </c>
      <c r="C30" s="2101">
        <f>C18</f>
        <v>15653.903000000131</v>
      </c>
      <c r="D30" s="4"/>
      <c r="E30" s="4"/>
      <c r="F30" s="4"/>
      <c r="G30" s="2141"/>
      <c r="H30" s="4"/>
      <c r="I30" s="592">
        <f>C30*1000/invanare</f>
        <v>1478.4975221270824</v>
      </c>
      <c r="J30" s="165"/>
      <c r="K30" s="164"/>
    </row>
    <row r="31" spans="1:11" ht="12.75">
      <c r="A31" s="1513">
        <v>131</v>
      </c>
      <c r="B31" s="575" t="str">
        <f>"- reducering av samtliga realisationsvinster"</f>
        <v>- reducering av samtliga realisationsvinster</v>
      </c>
      <c r="C31" s="95">
        <v>3074.3510000000001</v>
      </c>
      <c r="D31" s="172"/>
      <c r="E31" s="4"/>
      <c r="F31" s="4"/>
      <c r="G31" s="2141"/>
      <c r="H31" s="4"/>
      <c r="I31" s="593"/>
      <c r="J31" s="165"/>
      <c r="K31" s="164"/>
    </row>
    <row r="32" spans="1:11" ht="12.75">
      <c r="A32" s="119">
        <v>132</v>
      </c>
      <c r="B32" s="575" t="str">
        <f>"+ justering för realisationsvinster enl. undantagsmöjlighet"</f>
        <v>+ justering för realisationsvinster enl. undantagsmöjlighet</v>
      </c>
      <c r="C32" s="95">
        <v>1493.154</v>
      </c>
      <c r="D32" s="172"/>
      <c r="E32" s="4"/>
      <c r="G32" s="2141"/>
      <c r="H32" s="4"/>
      <c r="I32" s="595"/>
      <c r="J32" s="165"/>
      <c r="K32" s="164"/>
    </row>
    <row r="33" spans="1:11" ht="12.75">
      <c r="A33" s="119">
        <v>135</v>
      </c>
      <c r="B33" s="575" t="str">
        <f>"+ justering av realisationsförluster enl. undantagsmöjlighet"</f>
        <v>+ justering av realisationsförluster enl. undantagsmöjlighet</v>
      </c>
      <c r="C33" s="171">
        <v>34.863999999999997</v>
      </c>
      <c r="D33" s="172"/>
      <c r="E33" s="4"/>
      <c r="F33" s="4"/>
      <c r="G33" s="2141"/>
      <c r="H33" s="4"/>
      <c r="I33" s="1186"/>
      <c r="J33" s="165"/>
      <c r="K33" s="164"/>
    </row>
    <row r="34" spans="1:11" ht="13.5" customHeight="1">
      <c r="A34" s="1981">
        <v>136</v>
      </c>
      <c r="B34" s="575" t="str">
        <f>"-/+ orealiserade vinster och förluster i värdepapper"</f>
        <v>-/+ orealiserade vinster och förluster i värdepapper</v>
      </c>
      <c r="C34" s="171">
        <v>-3291.1390000000001</v>
      </c>
      <c r="D34" s="172"/>
      <c r="E34" s="4"/>
      <c r="F34" s="4"/>
      <c r="G34" s="2141"/>
      <c r="H34" s="4"/>
      <c r="I34" s="595"/>
      <c r="J34" s="165"/>
      <c r="K34" s="164"/>
    </row>
    <row r="35" spans="1:11" ht="12.75" customHeight="1">
      <c r="A35" s="519">
        <v>140</v>
      </c>
      <c r="B35" s="2106" t="str">
        <f>"+/- återföring av orealiserade vinster och förluster i värdepapper"</f>
        <v>+/- återföring av orealiserade vinster och förluster i värdepapper</v>
      </c>
      <c r="C35" s="171">
        <v>700.53200000000004</v>
      </c>
      <c r="D35" s="172"/>
      <c r="E35" s="4"/>
      <c r="F35" s="4"/>
      <c r="H35" s="4"/>
      <c r="I35" s="595"/>
      <c r="J35" s="4"/>
      <c r="K35" s="164"/>
    </row>
    <row r="36" spans="1:11" ht="12.75" customHeight="1" thickBot="1">
      <c r="A36" s="2105">
        <v>141</v>
      </c>
      <c r="B36" s="1369" t="str">
        <f xml:space="preserve"> " = Årets resultat efter balanskravsjusteringar"</f>
        <v xml:space="preserve"> = Årets resultat efter balanskravsjusteringar</v>
      </c>
      <c r="C36" s="2100">
        <f>C30-C31+C32+C33+C34+C35</f>
        <v>11516.963000000131</v>
      </c>
      <c r="D36" s="172"/>
      <c r="E36" s="4"/>
      <c r="F36" s="4"/>
      <c r="G36" s="1152"/>
      <c r="H36" s="4"/>
      <c r="I36" s="595"/>
      <c r="J36" s="4"/>
      <c r="K36" s="164"/>
    </row>
    <row r="37" spans="1:11" ht="13.5" customHeight="1">
      <c r="A37" s="2142">
        <v>138</v>
      </c>
      <c r="B37" s="2150" t="str">
        <f>"- reservering av medel till resultatreserv"</f>
        <v>- reservering av medel till resultatreserv</v>
      </c>
      <c r="C37" s="2099">
        <v>1755.6389999999999</v>
      </c>
      <c r="D37" s="172" t="str">
        <f>IF(AND(C36&lt;0,C37&lt;&gt;0),"Ni har reserverat medel till RER utan positivt resultat efter balanskravsjuteringar . Åtgärda eller kommentera!","")</f>
        <v/>
      </c>
      <c r="E37" s="4"/>
      <c r="F37" s="4"/>
      <c r="G37" s="1152"/>
      <c r="H37" s="4"/>
      <c r="I37" s="595"/>
      <c r="J37" s="4"/>
      <c r="K37" s="164"/>
    </row>
    <row r="38" spans="1:11" ht="13.5" customHeight="1">
      <c r="A38" s="2142">
        <v>139</v>
      </c>
      <c r="B38" s="2151" t="str">
        <f>"+ användning av medel från resultatreserv"</f>
        <v>+ användning av medel från resultatreserv</v>
      </c>
      <c r="C38" s="171">
        <v>0</v>
      </c>
      <c r="D38" s="172" t="str">
        <f>IF(C38 &gt; BR!D43,"Ni har använt mer medel från RER än vad som finns angivet som ingående balans i balansräkningen. Åtgärda eller kommentera!",IF(AND(C36&gt;0,C38&lt;&gt;0),"Ni har använt medel från RER utan negativt resultat efter balanskravsjuteringar. Åtgärda eller kommentera!",""))</f>
        <v/>
      </c>
      <c r="E38" s="4"/>
      <c r="F38" s="4"/>
      <c r="G38" s="1152"/>
      <c r="H38" s="4"/>
      <c r="I38" s="595"/>
      <c r="J38" s="4"/>
      <c r="K38" s="164"/>
    </row>
    <row r="39" spans="1:11" ht="12.75" customHeight="1">
      <c r="A39" s="519">
        <v>143</v>
      </c>
      <c r="B39" s="568" t="str">
        <f>"+ användning av medel från resultatutjämningsreserv"</f>
        <v>+ användning av medel från resultatutjämningsreserv</v>
      </c>
      <c r="C39" s="171">
        <v>2408.1709999999998</v>
      </c>
      <c r="D39" s="172"/>
      <c r="E39" s="4"/>
      <c r="F39" s="4"/>
      <c r="G39" s="1152"/>
      <c r="H39" s="4"/>
      <c r="I39" s="595"/>
      <c r="J39" s="4"/>
      <c r="K39" s="164"/>
    </row>
    <row r="40" spans="1:11" ht="12.75" customHeight="1" thickBot="1">
      <c r="A40" s="2097">
        <v>133</v>
      </c>
      <c r="B40" s="1369" t="str">
        <f>"= Balanskravsresultat"</f>
        <v>= Balanskravsresultat</v>
      </c>
      <c r="C40" s="2100">
        <f>C36-C37+C38+C39</f>
        <v>12169.495000000132</v>
      </c>
      <c r="D40" s="172"/>
      <c r="E40" s="4"/>
      <c r="F40" s="4"/>
      <c r="G40" s="1153"/>
      <c r="H40" s="4"/>
      <c r="I40" s="1572">
        <f>C40*1000/invanare</f>
        <v>1149.3982173671297</v>
      </c>
      <c r="J40" s="4"/>
      <c r="K40" s="164"/>
    </row>
    <row r="41" spans="1:11" ht="30" customHeight="1">
      <c r="A41" s="2143"/>
      <c r="B41" s="2152" t="s">
        <v>1235</v>
      </c>
      <c r="C41" s="2108"/>
      <c r="D41" s="4"/>
      <c r="E41" s="2110"/>
      <c r="F41" s="4"/>
      <c r="G41" s="1153"/>
      <c r="H41" s="4"/>
      <c r="I41" s="595"/>
      <c r="J41" s="4"/>
      <c r="K41" s="164"/>
    </row>
    <row r="42" spans="1:11" ht="21" customHeight="1">
      <c r="A42" s="2144">
        <v>104</v>
      </c>
      <c r="B42" s="2153" t="s">
        <v>1231</v>
      </c>
      <c r="C42" s="2099">
        <v>-852.07399999999996</v>
      </c>
      <c r="D42" s="1179"/>
      <c r="E42" s="4"/>
      <c r="F42" s="4"/>
      <c r="G42" s="1153"/>
      <c r="H42" s="4"/>
      <c r="I42" s="595"/>
      <c r="J42" s="4"/>
      <c r="K42" s="164"/>
    </row>
    <row r="43" spans="1:11" ht="21" customHeight="1">
      <c r="A43" s="2145">
        <v>105</v>
      </c>
      <c r="B43" s="2154" t="s">
        <v>1233</v>
      </c>
      <c r="C43" s="171">
        <f>30</f>
        <v>30</v>
      </c>
      <c r="D43" s="172"/>
      <c r="E43" s="4"/>
      <c r="F43" s="4"/>
      <c r="G43" s="1153"/>
      <c r="H43" s="4"/>
      <c r="I43" s="594"/>
      <c r="J43" s="4"/>
      <c r="K43" s="164"/>
    </row>
    <row r="44" spans="1:11" ht="12.75" customHeight="1" thickBot="1">
      <c r="A44" s="2146">
        <v>106</v>
      </c>
      <c r="B44" s="2155" t="s">
        <v>1234</v>
      </c>
      <c r="C44" s="2103">
        <f>-1312</f>
        <v>-1312</v>
      </c>
      <c r="D44" s="1161"/>
      <c r="E44" s="4"/>
      <c r="F44" s="4"/>
      <c r="G44" s="1153"/>
      <c r="H44" s="4"/>
      <c r="I44" s="596">
        <f>C44*1000/invanare</f>
        <v>-123.91725878400524</v>
      </c>
      <c r="J44" s="4"/>
      <c r="K44" s="164"/>
    </row>
    <row r="45" spans="1:11" ht="30" customHeight="1" thickBot="1">
      <c r="A45" s="2147"/>
      <c r="B45" s="2156" t="s">
        <v>1232</v>
      </c>
      <c r="C45" s="2108"/>
      <c r="D45" s="2109"/>
      <c r="E45" s="4"/>
      <c r="F45" s="4"/>
      <c r="G45" s="4"/>
      <c r="H45" s="4"/>
      <c r="I45" s="4"/>
      <c r="J45" s="4"/>
      <c r="K45" s="164"/>
    </row>
    <row r="46" spans="1:11" ht="12.75" customHeight="1">
      <c r="A46" s="2148">
        <v>107</v>
      </c>
      <c r="B46" s="2157" t="s">
        <v>1236</v>
      </c>
      <c r="C46" s="2099">
        <v>-408.73700000000002</v>
      </c>
      <c r="D46" s="1179"/>
      <c r="E46" s="4"/>
      <c r="F46" s="4"/>
      <c r="G46" s="597" t="s">
        <v>506</v>
      </c>
      <c r="H46" s="598"/>
      <c r="I46" s="2527" t="s">
        <v>140</v>
      </c>
      <c r="J46" s="2528"/>
      <c r="K46" s="2122"/>
    </row>
    <row r="47" spans="1:11" s="270" customFormat="1" ht="30" customHeight="1" thickBot="1">
      <c r="A47" s="2149">
        <v>108</v>
      </c>
      <c r="B47" s="2158" t="s">
        <v>1237</v>
      </c>
      <c r="C47" s="2116">
        <f>-1703</f>
        <v>-1703</v>
      </c>
      <c r="D47" s="1661"/>
      <c r="E47" s="1661"/>
      <c r="F47" s="271"/>
      <c r="G47" s="2117"/>
      <c r="H47" s="2118"/>
      <c r="I47" s="2119" t="s">
        <v>604</v>
      </c>
      <c r="J47" s="2120" t="s">
        <v>705</v>
      </c>
      <c r="K47" s="271"/>
    </row>
    <row r="48" spans="1:11" ht="19.5" customHeight="1">
      <c r="A48" s="164"/>
      <c r="B48" s="2111"/>
      <c r="C48" s="164"/>
      <c r="D48" s="164"/>
      <c r="E48" s="164"/>
      <c r="F48" s="164"/>
      <c r="G48" s="2529" t="s">
        <v>1159</v>
      </c>
      <c r="H48" s="2530"/>
      <c r="I48" s="580">
        <f>IF(ISERROR(C10*100/SUM(C11:C12)*-1),0,C10*100/SUM(C11:C12)*-1)</f>
        <v>98.531310138088244</v>
      </c>
      <c r="J48" s="599">
        <f>IF(ISERROR(D10*100/SUM(D11:D12)*-1),0,D10*100/SUM(D11:D12)*-1)</f>
        <v>95.502582117690508</v>
      </c>
      <c r="K48" s="164"/>
    </row>
    <row r="49" spans="1:11" ht="15" customHeight="1">
      <c r="A49" s="164"/>
      <c r="B49" s="164"/>
      <c r="C49" s="164"/>
      <c r="D49" s="164"/>
      <c r="E49" s="164"/>
      <c r="F49" s="164"/>
      <c r="G49" s="600" t="s">
        <v>1160</v>
      </c>
      <c r="H49" s="601"/>
      <c r="I49" s="582">
        <f>IF(ISERROR((C14-C15)*100/SUM(C11:C12)),0,(C14-C15)*100/SUM(C11:C12))</f>
        <v>0.65039098078992541</v>
      </c>
      <c r="J49" s="599">
        <f>IF(ISERROR((D14-D15)*100/SUM(D11:D12)),0,(D14-D15)*100/SUM(D11:D12))</f>
        <v>-2.1877939202503933</v>
      </c>
      <c r="K49" s="164"/>
    </row>
    <row r="50" spans="1:11" ht="19.5" customHeight="1">
      <c r="A50" s="164"/>
      <c r="B50" s="164"/>
      <c r="C50" s="164"/>
      <c r="D50" s="164"/>
      <c r="E50" s="164"/>
      <c r="F50" s="164"/>
      <c r="G50" s="2531" t="s">
        <v>1161</v>
      </c>
      <c r="H50" s="2532"/>
      <c r="I50" s="582">
        <f>IF(ISERROR(C16*100/SUM(C11:C12)),0,C16*100/SUM(C11:C12))</f>
        <v>2.1190808427016821</v>
      </c>
      <c r="J50" s="599">
        <f>IF(ISERROR(D16*100/SUM(D11:D12)),0,D16*100/SUM(D11:D12))</f>
        <v>2.3096239620591046</v>
      </c>
      <c r="K50" s="164"/>
    </row>
    <row r="51" spans="1:11" ht="19.5" customHeight="1">
      <c r="A51" s="4"/>
      <c r="B51" s="4"/>
      <c r="C51" s="4"/>
      <c r="D51" s="164"/>
      <c r="E51" s="164"/>
      <c r="F51" s="164"/>
      <c r="G51" s="600" t="s">
        <v>1162</v>
      </c>
      <c r="H51" s="601"/>
      <c r="I51" s="582">
        <f>IF(ISERROR(C18*100/SUM(C11:C12)),0,C18*100/SUM(C11:C12))</f>
        <v>2.1164236019182106</v>
      </c>
      <c r="J51" s="599">
        <f>IF(ISERROR(D18*100/SUM(D11:D12)),0,D18*100/SUM(D11:D12))</f>
        <v>2.3087305537403311</v>
      </c>
      <c r="K51" s="164"/>
    </row>
    <row r="52" spans="1:11" ht="13.5" customHeight="1">
      <c r="A52" s="4"/>
      <c r="B52" s="4"/>
      <c r="C52" s="4"/>
      <c r="D52" s="164"/>
      <c r="E52" s="164"/>
      <c r="F52" s="164"/>
      <c r="G52" s="602" t="s">
        <v>515</v>
      </c>
      <c r="H52" s="1958"/>
      <c r="I52" s="582">
        <f>IF(C8&gt;0,C7*100/(C8+C9),0)</f>
        <v>19.74204533334569</v>
      </c>
      <c r="J52" s="599">
        <f>IF(D8&gt;0,D7*100/(D8+D9),0)</f>
        <v>34.861292687423642</v>
      </c>
      <c r="K52" s="164"/>
    </row>
    <row r="53" spans="1:11" ht="14.25" customHeight="1">
      <c r="A53" s="164"/>
      <c r="B53" s="164"/>
      <c r="C53" s="164"/>
      <c r="D53" s="164"/>
      <c r="E53" s="164"/>
      <c r="F53" s="164"/>
      <c r="G53" s="602" t="s">
        <v>710</v>
      </c>
      <c r="H53" s="603"/>
      <c r="I53" s="582">
        <f>IF(ISERROR((Investeringar!C7+Investeringar!D7+Investeringar!E7-Investeringar!C78)*100/SUM(C11:C12)),0,(Investeringar!C7+Investeringar!D7+Investeringar!E7-Investeringar!C78)*100/SUM(C11:C12))</f>
        <v>13.781976852158206</v>
      </c>
      <c r="J53" s="604"/>
      <c r="K53" s="164"/>
    </row>
    <row r="54" spans="1:11" ht="12.75" customHeight="1">
      <c r="A54" s="164"/>
      <c r="B54" s="164"/>
      <c r="C54" s="164"/>
      <c r="D54" s="164"/>
      <c r="E54" s="164"/>
      <c r="F54" s="164"/>
      <c r="G54" s="602" t="s">
        <v>507</v>
      </c>
      <c r="H54" s="603"/>
      <c r="I54" s="582">
        <f>IF(ISERROR((Investeringar!C8+Investeringar!D8+Investeringar!E8)*100/SUM(C11:C12)*-1),0,(Investeringar!C8+Investeringar!D8+Investeringar!E8)*100/SUM(C11:C12)*-1)</f>
        <v>0.67525972061239858</v>
      </c>
      <c r="J54" s="605"/>
      <c r="K54" s="164"/>
    </row>
    <row r="55" spans="1:11" ht="12.75" customHeight="1">
      <c r="A55" s="164"/>
      <c r="B55" s="164"/>
      <c r="C55" s="164"/>
      <c r="D55" s="164"/>
      <c r="E55" s="164"/>
      <c r="F55" s="164"/>
      <c r="G55" s="602" t="s">
        <v>508</v>
      </c>
      <c r="H55" s="603"/>
      <c r="I55" s="582">
        <f>IF(ISERROR(SUM(Investeringar!C8:E8)/(Investeringar!C66)*-1),0,(SUM(Investeringar!C8:E8)/(Investeringar!C66)*-1)*100)</f>
        <v>5.0386589580078605</v>
      </c>
      <c r="J55" s="605"/>
      <c r="K55" s="164"/>
    </row>
    <row r="56" spans="1:11" ht="12.75" customHeight="1" thickBot="1">
      <c r="A56" s="164"/>
      <c r="B56" s="164"/>
      <c r="C56" s="164"/>
      <c r="D56" s="164"/>
      <c r="E56" s="164"/>
      <c r="F56" s="164"/>
      <c r="G56" s="606" t="s">
        <v>1046</v>
      </c>
      <c r="H56" s="1959"/>
      <c r="I56" s="607">
        <f>IF(ISERROR(BR!D32*100/RR!C8),0,BR!D32*100/RR!C8)</f>
        <v>6.0633895868917786</v>
      </c>
      <c r="J56" s="608"/>
      <c r="K56" s="164"/>
    </row>
    <row r="57" spans="1:11" ht="12.75" customHeight="1">
      <c r="A57" s="164"/>
      <c r="B57" s="164"/>
      <c r="C57" s="164"/>
      <c r="D57" s="164"/>
      <c r="E57" s="164"/>
      <c r="F57" s="164"/>
      <c r="G57" s="140"/>
      <c r="H57" s="1183"/>
      <c r="I57" s="1184"/>
      <c r="J57" s="1185"/>
      <c r="K57" s="192"/>
    </row>
    <row r="58" spans="1:11" ht="12.75" customHeight="1">
      <c r="A58" s="164"/>
      <c r="B58" s="164"/>
      <c r="C58" s="164"/>
      <c r="D58" s="164"/>
      <c r="E58" s="164"/>
      <c r="F58" s="164"/>
      <c r="G58" s="140"/>
      <c r="H58" s="1183"/>
      <c r="I58" s="1184"/>
      <c r="J58" s="1185"/>
      <c r="K58" s="192"/>
    </row>
    <row r="59" spans="1:11" ht="19.5" customHeight="1">
      <c r="A59" s="164"/>
      <c r="B59" s="164"/>
      <c r="C59" s="164"/>
      <c r="D59" s="164"/>
      <c r="E59" s="164"/>
      <c r="F59" s="164"/>
      <c r="G59" s="140"/>
      <c r="H59" s="1183"/>
      <c r="I59" s="1184"/>
      <c r="J59" s="1185"/>
      <c r="K59" s="192"/>
    </row>
    <row r="60" spans="1:11" ht="12.75">
      <c r="A60" s="164"/>
      <c r="B60" s="164"/>
      <c r="C60" s="164"/>
      <c r="D60" s="164"/>
      <c r="E60" s="164"/>
      <c r="F60" s="164"/>
      <c r="G60" s="140"/>
      <c r="H60" s="1183"/>
      <c r="I60" s="1184"/>
      <c r="J60" s="1185"/>
      <c r="K60" s="164"/>
    </row>
    <row r="61" spans="1:11" ht="12.75" hidden="1">
      <c r="A61" s="164"/>
      <c r="B61" s="164"/>
      <c r="C61" s="164"/>
      <c r="G61" s="764"/>
      <c r="H61" s="1180"/>
      <c r="I61" s="1181"/>
      <c r="J61" s="1182"/>
      <c r="K61" s="164"/>
    </row>
    <row r="62" spans="1:11" ht="12.75" hidden="1">
      <c r="A62" s="164"/>
      <c r="B62" s="164"/>
      <c r="C62" s="164"/>
      <c r="G62" s="164"/>
      <c r="H62" s="164"/>
      <c r="I62" s="164"/>
      <c r="J62" s="164"/>
      <c r="K62" s="164"/>
    </row>
    <row r="63" spans="1:11" ht="12.75" hidden="1">
      <c r="A63" s="164"/>
      <c r="B63" s="164"/>
      <c r="C63" s="164"/>
    </row>
    <row r="64" spans="1:11" ht="12.75" hidden="1">
      <c r="A64" s="164"/>
      <c r="B64" s="164"/>
      <c r="C64" s="164"/>
    </row>
    <row r="65" spans="1:3" ht="12.75" hidden="1">
      <c r="A65" s="164"/>
      <c r="B65" s="164"/>
      <c r="C65" s="164"/>
    </row>
    <row r="66" spans="1:3" ht="12.75" hidden="1"/>
    <row r="67" spans="1:3" ht="12.75" hidden="1"/>
    <row r="68" spans="1:3" ht="12.75" hidden="1"/>
    <row r="69" spans="1:3" ht="12.75" hidden="1"/>
    <row r="70" spans="1:3" ht="12.75" hidden="1"/>
    <row r="71" spans="1:3" ht="12.75" hidden="1"/>
    <row r="72" spans="1:3" ht="12.75" hidden="1"/>
    <row r="73" spans="1:3" ht="12.75" hidden="1"/>
    <row r="74" spans="1:3" ht="12.75" hidden="1"/>
    <row r="75" spans="1:3" ht="12.75" customHeight="1"/>
  </sheetData>
  <mergeCells count="6">
    <mergeCell ref="I46:J46"/>
    <mergeCell ref="G48:H48"/>
    <mergeCell ref="G50:H50"/>
    <mergeCell ref="I4:J4"/>
    <mergeCell ref="I14:I15"/>
    <mergeCell ref="J14:J15"/>
  </mergeCells>
  <conditionalFormatting sqref="C37:C39">
    <cfRule type="cellIs" dxfId="57" priority="2" stopIfTrue="1" operator="lessThan">
      <formula>-5</formula>
    </cfRule>
  </conditionalFormatting>
  <dataValidations disablePrompts="1" count="13">
    <dataValidation type="decimal" operator="greaterThanOrEqual" allowBlank="1" showInputMessage="1" showErrorMessage="1" error="Belopp anges utan minustecken" sqref="C23:C24 C26 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25"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greaterThanOrEqual" allowBlank="1" showInputMessage="1" showErrorMessage="1" error="Beloppet ska vara i 1000 tal kronor._x000a_Inget minustecken anges." sqref="C33" xr:uid="{00000000-0002-0000-0100-000006000000}">
      <formula1>0</formula1>
    </dataValidation>
    <dataValidation type="decimal" allowBlank="1" showInputMessage="1" showErrorMessage="1" error="Beloppet ska vara i 1000 tal kronor_x000a_Inget minustecken ska anges_x000a_" sqref="C37:C38" xr:uid="{00000000-0002-0000-0100-000007000000}">
      <formula1>0</formula1>
      <formula2>99999999</formula2>
    </dataValidation>
    <dataValidation type="decimal" allowBlank="1" showInputMessage="1" showErrorMessage="1" error="Beloppet ska vara i 1000 tal kronor_x000a_Inget minustecken ska anges." sqref="C39" xr:uid="{00000000-0002-0000-0100-000008000000}">
      <formula1>0</formula1>
      <formula2>99999999</formula2>
    </dataValidation>
    <dataValidation type="whole" operator="greaterThanOrEqual" allowBlank="1" showInputMessage="1" showErrorMessage="1" error="Enbart positiva heltal eller 0 är tillåtna." sqref="C43" xr:uid="{00000000-0002-0000-0100-000009000000}">
      <formula1>0</formula1>
    </dataValidation>
    <dataValidation type="decimal" operator="lessThanOrEqual" allowBlank="1" showInputMessage="1" showErrorMessage="1" error="Beloppet ska vara i 1000 tal kronor._x000a_Endast negativa värden eller 0 är tillåtna._x000a_" sqref="C46" xr:uid="{4EB6ED5A-FAB4-4D3D-84F1-D271B6A58B63}">
      <formula1>0</formula1>
    </dataValidation>
    <dataValidation operator="lessThan" allowBlank="1" showInputMessage="1" showErrorMessage="1" error="Beloppet ska vara i 1000 tal kronor" sqref="C44 C47" xr:uid="{047B7CD7-57C1-43FD-B267-DB5D42BA7849}"/>
    <dataValidation type="decimal" operator="lessThanOrEqual" allowBlank="1" showInputMessage="1" showErrorMessage="1" error="Beloppet ska vara i 1000 tal kronor._x000a_Endast negativa värden eller 0 är tillåtna." sqref="C42" xr:uid="{7773B4EE-C60E-43C8-9625-08CD6A7B94C0}">
      <formula1>0</formula1>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22"/>
  <sheetViews>
    <sheetView showGridLines="0" zoomScaleNormal="100" workbookViewId="0">
      <pane ySplit="1" topLeftCell="A2" activePane="bottomLeft" state="frozen"/>
      <selection activeCell="F36" sqref="F36"/>
      <selection pane="bottomLeft"/>
    </sheetView>
  </sheetViews>
  <sheetFormatPr defaultColWidth="0" defaultRowHeight="12.75" zeroHeight="1"/>
  <cols>
    <col min="1" max="1" width="5" style="137" customWidth="1"/>
    <col min="2" max="2" width="10.5703125" style="137" customWidth="1"/>
    <col min="3" max="3" width="36.140625" style="137" customWidth="1"/>
    <col min="4" max="4" width="10.5703125" style="137" customWidth="1"/>
    <col min="5" max="5" width="10.42578125" style="137" customWidth="1"/>
    <col min="6" max="6" width="23" style="163" customWidth="1"/>
    <col min="7" max="7" width="4.5703125" style="163" customWidth="1"/>
    <col min="8" max="8" width="7.42578125" style="163" customWidth="1"/>
    <col min="9" max="9" width="31.5703125" style="163" customWidth="1"/>
    <col min="10" max="10" width="11.42578125" style="163" customWidth="1"/>
    <col min="11" max="11" width="12.42578125" style="163" customWidth="1"/>
    <col min="12" max="12" width="45.85546875" style="163" customWidth="1"/>
    <col min="13" max="14" width="9.5703125" style="163" customWidth="1"/>
    <col min="15" max="15" width="2.42578125" style="163" customWidth="1"/>
    <col min="16" max="16" width="6" style="163" customWidth="1"/>
    <col min="17" max="17" width="10.5703125" style="137" customWidth="1"/>
    <col min="18" max="18" width="3.5703125" style="137" customWidth="1"/>
    <col min="19" max="20" width="6" style="163" customWidth="1"/>
    <col min="21" max="21" width="0" hidden="1" customWidth="1"/>
    <col min="22" max="16384" width="0" style="163" hidden="1"/>
  </cols>
  <sheetData>
    <row r="1" spans="1:20" ht="20.25">
      <c r="A1" s="86" t="str">
        <f>"Balansräkning "&amp;År&amp;", miljoner kr"</f>
        <v>Balansräkning 2024, miljoner kr</v>
      </c>
      <c r="B1" s="87"/>
      <c r="C1" s="87"/>
      <c r="D1" s="88"/>
      <c r="E1" s="475" t="s">
        <v>446</v>
      </c>
      <c r="F1" s="476" t="str">
        <f>Information!A2</f>
        <v>RIKSTOTAL</v>
      </c>
      <c r="G1" s="476"/>
      <c r="H1" s="476"/>
      <c r="I1" s="476"/>
      <c r="J1" s="162"/>
      <c r="K1" s="162"/>
      <c r="L1" s="162"/>
      <c r="M1" s="162"/>
      <c r="N1" s="162"/>
      <c r="O1" s="187"/>
      <c r="P1" s="187"/>
      <c r="Q1" s="1414"/>
      <c r="R1" s="1414"/>
      <c r="S1" s="187"/>
      <c r="T1" s="162"/>
    </row>
    <row r="2" spans="1:20" ht="12.75" customHeight="1">
      <c r="A2" s="2141"/>
      <c r="B2" s="2141"/>
      <c r="C2" s="2141"/>
      <c r="D2" s="2141"/>
      <c r="E2" s="2141"/>
      <c r="F2" s="2141"/>
      <c r="G2" s="2141"/>
      <c r="H2" s="2141"/>
      <c r="I2" s="2141"/>
      <c r="J2" s="2141"/>
      <c r="K2" s="2141"/>
      <c r="L2" s="2141"/>
      <c r="M2" s="2141"/>
      <c r="N2" s="2141"/>
      <c r="O2" s="2141"/>
      <c r="P2" s="2141"/>
      <c r="Q2" s="2141"/>
      <c r="R2" s="2141"/>
      <c r="S2" s="2141"/>
      <c r="T2" s="2141"/>
    </row>
    <row r="3" spans="1:20" ht="12.75" customHeight="1" thickBot="1">
      <c r="A3" s="2141"/>
      <c r="B3" s="2141"/>
      <c r="C3" s="2141"/>
      <c r="D3" s="2141"/>
      <c r="E3" s="2141"/>
      <c r="F3" s="2141"/>
      <c r="G3" s="2141"/>
      <c r="H3" s="2141"/>
      <c r="I3" s="2141"/>
      <c r="J3" s="2141"/>
      <c r="K3" s="2141"/>
      <c r="L3" s="2141"/>
      <c r="M3" s="2141"/>
      <c r="N3" s="2141"/>
      <c r="O3" s="2141"/>
      <c r="P3" s="2141"/>
      <c r="Q3" s="2141"/>
      <c r="R3" s="2141"/>
      <c r="S3" s="2141"/>
      <c r="T3" s="2141"/>
    </row>
    <row r="4" spans="1:20" s="175" customFormat="1">
      <c r="A4" s="609" t="s">
        <v>611</v>
      </c>
      <c r="B4" s="2049" t="str">
        <f>"BAS "&amp;År-2000&amp;""</f>
        <v>BAS 24</v>
      </c>
      <c r="C4" s="610" t="s">
        <v>707</v>
      </c>
      <c r="D4" s="628" t="s">
        <v>604</v>
      </c>
      <c r="E4" s="629" t="s">
        <v>705</v>
      </c>
      <c r="H4" s="174"/>
      <c r="I4" s="174"/>
      <c r="J4" s="174"/>
      <c r="K4" s="174"/>
      <c r="L4" s="174"/>
      <c r="M4" s="2527" t="s">
        <v>450</v>
      </c>
      <c r="N4" s="2541"/>
      <c r="O4" s="1239"/>
      <c r="P4" s="1176"/>
      <c r="Q4" s="1415"/>
      <c r="R4" s="1238"/>
      <c r="S4" s="1177"/>
      <c r="T4" s="1177"/>
    </row>
    <row r="5" spans="1:20" s="175" customFormat="1" ht="32.25" customHeight="1">
      <c r="A5" s="1413" t="s">
        <v>605</v>
      </c>
      <c r="B5" s="2539"/>
      <c r="C5" s="612"/>
      <c r="D5" s="630"/>
      <c r="E5" s="631"/>
      <c r="F5" s="174"/>
      <c r="G5" s="174"/>
      <c r="H5" s="174"/>
      <c r="I5" s="174"/>
      <c r="J5" s="174"/>
      <c r="K5" s="174"/>
      <c r="L5" s="174"/>
      <c r="M5" s="639" t="s">
        <v>604</v>
      </c>
      <c r="N5" s="640" t="s">
        <v>705</v>
      </c>
      <c r="O5" s="1239"/>
      <c r="P5" s="1176"/>
      <c r="Q5" s="1177"/>
      <c r="R5" s="1177"/>
      <c r="S5" s="2546"/>
      <c r="T5" s="2544"/>
    </row>
    <row r="6" spans="1:20" ht="15">
      <c r="A6" s="613"/>
      <c r="B6" s="2540"/>
      <c r="C6" s="614"/>
      <c r="D6" s="632"/>
      <c r="E6" s="633"/>
      <c r="F6" s="4"/>
      <c r="G6" s="4"/>
      <c r="H6" s="4"/>
      <c r="I6" s="4"/>
      <c r="J6" s="4"/>
      <c r="K6" s="4"/>
      <c r="L6" s="4"/>
      <c r="M6" s="641"/>
      <c r="N6" s="642"/>
      <c r="O6" s="1240"/>
      <c r="P6" s="1176"/>
      <c r="Q6" s="1247"/>
      <c r="R6" s="1247"/>
      <c r="S6" s="2546"/>
      <c r="T6" s="2545"/>
    </row>
    <row r="7" spans="1:20" ht="15">
      <c r="A7" s="615"/>
      <c r="B7" s="616"/>
      <c r="C7" s="617" t="s">
        <v>612</v>
      </c>
      <c r="D7" s="634"/>
      <c r="E7" s="635"/>
      <c r="F7" s="65"/>
      <c r="G7" s="4"/>
      <c r="H7" s="4"/>
      <c r="I7" s="4"/>
      <c r="J7" s="4"/>
      <c r="K7" s="4"/>
      <c r="L7" s="4"/>
      <c r="M7" s="643"/>
      <c r="N7" s="644"/>
      <c r="O7" s="68"/>
      <c r="P7" s="232"/>
      <c r="Q7" s="1416"/>
      <c r="R7" s="232"/>
    </row>
    <row r="8" spans="1:20" ht="7.5" customHeight="1">
      <c r="A8" s="615"/>
      <c r="B8" s="616"/>
      <c r="C8" s="618"/>
      <c r="D8" s="636"/>
      <c r="E8" s="637"/>
      <c r="F8" s="65"/>
      <c r="G8" s="4"/>
      <c r="H8" s="4"/>
      <c r="I8" s="4"/>
      <c r="J8" s="4"/>
      <c r="K8" s="4"/>
      <c r="L8" s="4"/>
      <c r="M8" s="643"/>
      <c r="N8" s="644"/>
      <c r="O8" s="68"/>
      <c r="P8" s="232"/>
      <c r="Q8" s="1416"/>
      <c r="R8" s="232"/>
    </row>
    <row r="9" spans="1:20" ht="14.85" customHeight="1">
      <c r="A9" s="1934" t="s">
        <v>283</v>
      </c>
      <c r="B9" s="619">
        <v>10</v>
      </c>
      <c r="C9" s="620" t="s">
        <v>613</v>
      </c>
      <c r="D9" s="179">
        <v>831.88900000000001</v>
      </c>
      <c r="E9" s="406">
        <v>3097.3270000000002</v>
      </c>
      <c r="F9" s="172" t="str">
        <f>IF(OR(D9="",E9=""),"Skriv belopp eller 0","")</f>
        <v/>
      </c>
      <c r="G9" s="4"/>
      <c r="H9" s="4"/>
      <c r="I9" s="4"/>
      <c r="J9" s="4"/>
      <c r="K9" s="4"/>
      <c r="L9" s="4"/>
      <c r="M9" s="645"/>
      <c r="N9" s="646"/>
      <c r="O9" s="1219"/>
      <c r="P9" s="1248"/>
      <c r="Q9" s="1417"/>
      <c r="R9" s="1418"/>
    </row>
    <row r="10" spans="1:20" ht="14.85" customHeight="1">
      <c r="A10" s="1934" t="s">
        <v>284</v>
      </c>
      <c r="B10" s="1935">
        <v>11</v>
      </c>
      <c r="C10" s="513" t="s">
        <v>614</v>
      </c>
      <c r="D10" s="179">
        <v>831890.05500000005</v>
      </c>
      <c r="E10" s="638"/>
      <c r="F10" s="65"/>
      <c r="G10" s="4"/>
      <c r="H10" s="4"/>
      <c r="I10" s="4"/>
      <c r="J10" s="4"/>
      <c r="K10" s="4"/>
      <c r="L10" s="4"/>
      <c r="M10" s="647"/>
      <c r="N10" s="648"/>
      <c r="O10" s="1219"/>
      <c r="P10" s="1248"/>
      <c r="Q10" s="1248"/>
      <c r="R10" s="1248"/>
    </row>
    <row r="11" spans="1:20" ht="14.85" customHeight="1">
      <c r="A11" s="1934" t="s">
        <v>285</v>
      </c>
      <c r="B11" s="1935">
        <v>12</v>
      </c>
      <c r="C11" s="513" t="s">
        <v>615</v>
      </c>
      <c r="D11" s="179">
        <v>42556.483</v>
      </c>
      <c r="E11" s="638"/>
      <c r="F11" s="65"/>
      <c r="G11" s="72" t="s">
        <v>451</v>
      </c>
      <c r="H11" s="4"/>
      <c r="I11" s="4"/>
      <c r="J11" s="4"/>
      <c r="K11" s="4"/>
      <c r="L11" s="4"/>
      <c r="M11" s="647"/>
      <c r="N11" s="648"/>
      <c r="O11" s="1219"/>
      <c r="P11" s="1248"/>
      <c r="Q11" s="1248"/>
      <c r="R11" s="1248"/>
    </row>
    <row r="12" spans="1:20" ht="14.85" customHeight="1">
      <c r="A12" s="1934" t="s">
        <v>276</v>
      </c>
      <c r="B12" s="1936">
        <v>11.12</v>
      </c>
      <c r="C12" s="725" t="s">
        <v>1115</v>
      </c>
      <c r="D12" s="315">
        <f>SUM(D10:D11)</f>
        <v>874446.53800000006</v>
      </c>
      <c r="E12" s="180">
        <v>1849664.1610000001</v>
      </c>
      <c r="F12" s="172" t="str">
        <f>IF(D12&gt;E12,"konc. &lt; kom.",IF(OR(D12=0,E12=0),"Belopp saknas",""))</f>
        <v/>
      </c>
      <c r="G12" s="1387" t="s">
        <v>534</v>
      </c>
      <c r="H12" s="1916" t="str">
        <f>"BAS "&amp;År-2000&amp;""</f>
        <v>BAS 24</v>
      </c>
      <c r="I12" s="1385"/>
      <c r="J12" s="1386"/>
      <c r="K12" s="165"/>
      <c r="L12" s="4"/>
      <c r="M12" s="580">
        <f>(D9+D12)*1000/invanare</f>
        <v>82669.286087359782</v>
      </c>
      <c r="N12" s="581">
        <f>(E9+E12)*1000/invanare</f>
        <v>174991.710955438</v>
      </c>
      <c r="O12" s="1185"/>
      <c r="P12" s="1248"/>
      <c r="Q12" s="1418"/>
      <c r="R12" s="1418"/>
      <c r="S12" s="140"/>
      <c r="T12" s="140"/>
    </row>
    <row r="13" spans="1:20" ht="14.85" customHeight="1">
      <c r="A13" s="1934" t="s">
        <v>286</v>
      </c>
      <c r="B13" s="1937" t="s">
        <v>795</v>
      </c>
      <c r="C13" s="568" t="s">
        <v>616</v>
      </c>
      <c r="D13" s="181">
        <v>92440.089000000007</v>
      </c>
      <c r="E13" s="638"/>
      <c r="F13" s="65"/>
      <c r="G13" s="655" t="s">
        <v>290</v>
      </c>
      <c r="H13" s="656" t="s">
        <v>533</v>
      </c>
      <c r="I13" s="657" t="s">
        <v>0</v>
      </c>
      <c r="J13" s="272">
        <v>71086.195999999996</v>
      </c>
      <c r="K13" s="1957"/>
      <c r="L13" s="4"/>
      <c r="M13" s="649"/>
      <c r="N13" s="650"/>
      <c r="O13" s="1185"/>
      <c r="P13" s="1248"/>
      <c r="Q13" s="1237"/>
      <c r="R13" s="1248"/>
      <c r="S13" s="285"/>
      <c r="T13" s="285"/>
    </row>
    <row r="14" spans="1:20" ht="14.85" customHeight="1">
      <c r="A14" s="1934" t="s">
        <v>287</v>
      </c>
      <c r="B14" s="1937" t="s">
        <v>794</v>
      </c>
      <c r="C14" s="518" t="s">
        <v>9</v>
      </c>
      <c r="D14" s="181">
        <v>2145.9760000000001</v>
      </c>
      <c r="E14" s="638"/>
      <c r="F14" s="65"/>
      <c r="G14" s="176"/>
      <c r="H14" s="4"/>
      <c r="I14" s="4"/>
      <c r="J14" s="135"/>
      <c r="K14" s="135"/>
      <c r="L14" s="4"/>
      <c r="M14" s="649"/>
      <c r="N14" s="650"/>
      <c r="O14" s="1185"/>
      <c r="P14" s="1248"/>
      <c r="Q14" s="1237"/>
      <c r="R14" s="1248"/>
    </row>
    <row r="15" spans="1:20" ht="14.85" customHeight="1">
      <c r="A15" s="1934" t="s">
        <v>288</v>
      </c>
      <c r="B15" s="1938" t="s">
        <v>2</v>
      </c>
      <c r="C15" s="525" t="s">
        <v>617</v>
      </c>
      <c r="D15" s="179">
        <v>301961.15500000003</v>
      </c>
      <c r="E15" s="638"/>
      <c r="F15" s="65"/>
      <c r="G15" s="655" t="s">
        <v>291</v>
      </c>
      <c r="H15" s="656" t="s">
        <v>708</v>
      </c>
      <c r="I15" s="1196" t="s">
        <v>1</v>
      </c>
      <c r="J15" s="272">
        <v>277025.326</v>
      </c>
      <c r="K15" s="1957"/>
      <c r="L15" s="4"/>
      <c r="M15" s="651"/>
      <c r="N15" s="652"/>
      <c r="O15" s="1875"/>
      <c r="P15" s="1248"/>
      <c r="Q15" s="1248"/>
      <c r="R15" s="1248"/>
      <c r="S15" s="285"/>
      <c r="T15" s="285"/>
    </row>
    <row r="16" spans="1:20" ht="14.85" customHeight="1">
      <c r="A16" s="1934" t="s">
        <v>289</v>
      </c>
      <c r="B16" s="1935" t="s">
        <v>792</v>
      </c>
      <c r="C16" s="513" t="s">
        <v>793</v>
      </c>
      <c r="D16" s="179">
        <v>205.755</v>
      </c>
      <c r="E16" s="638"/>
      <c r="F16" s="65"/>
      <c r="G16" s="176"/>
      <c r="H16" s="4"/>
      <c r="I16" s="4"/>
      <c r="J16" s="135"/>
      <c r="K16" s="135"/>
      <c r="L16" s="4"/>
      <c r="M16" s="651"/>
      <c r="N16" s="652"/>
      <c r="O16" s="1185"/>
      <c r="P16" s="1248"/>
      <c r="Q16" s="1248"/>
      <c r="R16" s="1419"/>
    </row>
    <row r="17" spans="1:20" ht="14.85" customHeight="1">
      <c r="A17" s="1934" t="s">
        <v>292</v>
      </c>
      <c r="B17" s="1939" t="s">
        <v>5</v>
      </c>
      <c r="C17" s="534" t="s">
        <v>1116</v>
      </c>
      <c r="D17" s="315">
        <f>SUM(D13:D16)</f>
        <v>396752.97500000003</v>
      </c>
      <c r="E17" s="182">
        <v>48025.620999999999</v>
      </c>
      <c r="F17" s="172" t="str">
        <f>IF(OR(D17=0,E17=""),"Belopp saknas","")</f>
        <v/>
      </c>
      <c r="G17" s="176"/>
      <c r="H17" s="4"/>
      <c r="I17" s="4"/>
      <c r="J17" s="4"/>
      <c r="K17" s="4"/>
      <c r="L17" s="4"/>
      <c r="M17" s="580">
        <f>D17*1000/invanare</f>
        <v>37472.973381401651</v>
      </c>
      <c r="N17" s="581">
        <f>E17*1000/invanare</f>
        <v>4535.9781293594178</v>
      </c>
      <c r="O17" s="1185"/>
      <c r="P17" s="1248"/>
      <c r="Q17" s="1419"/>
      <c r="R17" s="1419"/>
    </row>
    <row r="18" spans="1:20" ht="14.85" customHeight="1" thickBot="1">
      <c r="A18" s="1940" t="s">
        <v>293</v>
      </c>
      <c r="B18" s="1941" t="s">
        <v>6</v>
      </c>
      <c r="C18" s="527" t="s">
        <v>618</v>
      </c>
      <c r="D18" s="316">
        <f>SUM(D9,D12,D17)</f>
        <v>1272031.402</v>
      </c>
      <c r="E18" s="317">
        <f>SUM(E9,E12,E17)</f>
        <v>1900787.1090000002</v>
      </c>
      <c r="F18" s="65"/>
      <c r="G18" s="176"/>
      <c r="H18" s="4"/>
      <c r="I18" s="4"/>
      <c r="J18" s="4"/>
      <c r="K18" s="4"/>
      <c r="L18" s="4"/>
      <c r="M18" s="649"/>
      <c r="N18" s="650"/>
      <c r="O18" s="1185"/>
      <c r="P18" s="1248"/>
      <c r="Q18" s="1419"/>
      <c r="R18" s="1419"/>
    </row>
    <row r="19" spans="1:20" ht="14.85" customHeight="1" thickBot="1">
      <c r="A19" s="1942" t="s">
        <v>303</v>
      </c>
      <c r="B19" s="2048" t="s">
        <v>4</v>
      </c>
      <c r="C19" s="499" t="s">
        <v>889</v>
      </c>
      <c r="D19" s="1253">
        <v>6429.0860000000002</v>
      </c>
      <c r="E19" s="277">
        <v>6429.0860000000002</v>
      </c>
      <c r="F19" s="172"/>
      <c r="G19" s="4"/>
      <c r="H19" s="4"/>
      <c r="I19" s="4"/>
      <c r="J19" s="4"/>
      <c r="K19" s="4"/>
      <c r="L19" s="4"/>
      <c r="M19" s="580">
        <f>D19*1000/invanare</f>
        <v>607.22158049285451</v>
      </c>
      <c r="N19" s="587">
        <f>E19*1000/invanare</f>
        <v>607.22158049285451</v>
      </c>
      <c r="O19" s="1185"/>
      <c r="P19" s="1248"/>
      <c r="Q19" s="1248"/>
      <c r="R19" s="1248"/>
    </row>
    <row r="20" spans="1:20" ht="14.85" customHeight="1">
      <c r="A20" s="1943"/>
      <c r="B20" s="1944"/>
      <c r="C20" s="624" t="s">
        <v>602</v>
      </c>
      <c r="D20" s="665"/>
      <c r="E20" s="666"/>
      <c r="F20" s="65"/>
      <c r="G20" s="1316" t="s">
        <v>868</v>
      </c>
      <c r="H20" s="1317" t="s">
        <v>860</v>
      </c>
      <c r="I20" s="1196" t="s">
        <v>1119</v>
      </c>
      <c r="J20" s="1969">
        <v>13684.94</v>
      </c>
      <c r="K20" s="1967"/>
      <c r="L20" s="4"/>
      <c r="M20" s="653"/>
      <c r="N20" s="654"/>
      <c r="O20" s="1241"/>
      <c r="P20" s="285"/>
      <c r="Q20" s="285"/>
      <c r="R20" s="285"/>
      <c r="S20" s="285"/>
    </row>
    <row r="21" spans="1:20" ht="14.85" customHeight="1">
      <c r="A21" s="1934" t="s">
        <v>278</v>
      </c>
      <c r="B21" s="619">
        <v>14</v>
      </c>
      <c r="C21" s="534" t="s">
        <v>1117</v>
      </c>
      <c r="D21" s="62">
        <v>15695.259</v>
      </c>
      <c r="E21" s="183">
        <v>23935.384999999998</v>
      </c>
      <c r="F21" s="222" t="str">
        <f>IF(D21&gt;E21,"konc. &lt; kom.",IF(OR(D21="",E21=""),"Belopp saknas",IF(OR(D21&lt;-100,E21&lt;-100),"Kommentera varför minuspost","")))</f>
        <v/>
      </c>
      <c r="G21" s="1370"/>
      <c r="H21" s="1371"/>
      <c r="I21" s="1372"/>
      <c r="J21" s="135"/>
      <c r="K21" s="135"/>
      <c r="L21" s="178"/>
      <c r="M21" s="653"/>
      <c r="N21" s="654"/>
      <c r="O21" s="1241"/>
      <c r="P21" s="1248"/>
      <c r="Q21" s="1418"/>
      <c r="R21" s="1418"/>
    </row>
    <row r="22" spans="1:20" ht="14.85" customHeight="1">
      <c r="A22" s="1934" t="s">
        <v>294</v>
      </c>
      <c r="B22" s="1935" t="s">
        <v>619</v>
      </c>
      <c r="C22" s="513" t="s">
        <v>620</v>
      </c>
      <c r="D22" s="50">
        <v>11816.673000000001</v>
      </c>
      <c r="E22" s="638"/>
      <c r="F22" s="1159"/>
      <c r="G22" s="1962" t="s">
        <v>295</v>
      </c>
      <c r="H22" s="1963" t="s">
        <v>725</v>
      </c>
      <c r="I22" s="1964" t="s">
        <v>1</v>
      </c>
      <c r="J22" s="1968">
        <v>2393.404</v>
      </c>
      <c r="K22" s="135"/>
      <c r="L22" s="4"/>
      <c r="M22" s="653"/>
      <c r="N22" s="654"/>
      <c r="O22" s="1241"/>
      <c r="P22" s="1248"/>
      <c r="Q22" s="1248"/>
      <c r="R22" s="1248"/>
      <c r="S22" s="285"/>
      <c r="T22" s="285"/>
    </row>
    <row r="23" spans="1:20" ht="14.85" customHeight="1">
      <c r="A23" s="1934" t="s">
        <v>279</v>
      </c>
      <c r="B23" s="1935" t="s">
        <v>621</v>
      </c>
      <c r="C23" s="513" t="s">
        <v>622</v>
      </c>
      <c r="D23" s="50">
        <v>155402.49</v>
      </c>
      <c r="E23" s="638"/>
      <c r="F23" s="1160"/>
      <c r="G23" s="1370"/>
      <c r="H23" s="1370"/>
      <c r="I23" s="1966"/>
      <c r="J23" s="135"/>
      <c r="K23" s="135"/>
      <c r="L23" s="4"/>
      <c r="M23" s="653"/>
      <c r="N23" s="654"/>
      <c r="O23" s="1241"/>
      <c r="P23" s="1248"/>
      <c r="Q23" s="1248"/>
      <c r="R23" s="1248"/>
    </row>
    <row r="24" spans="1:20" ht="14.85" customHeight="1">
      <c r="A24" s="1934" t="s">
        <v>297</v>
      </c>
      <c r="B24" s="1935" t="s">
        <v>172</v>
      </c>
      <c r="C24" s="513" t="s">
        <v>1118</v>
      </c>
      <c r="D24" s="179">
        <v>27899.666000000001</v>
      </c>
      <c r="E24" s="638"/>
      <c r="F24" s="1160"/>
      <c r="G24" s="1965" t="s">
        <v>296</v>
      </c>
      <c r="H24" s="623" t="s">
        <v>623</v>
      </c>
      <c r="I24" s="2181" t="s">
        <v>1070</v>
      </c>
      <c r="J24" s="1434">
        <v>17268.282999999999</v>
      </c>
      <c r="K24" s="135"/>
      <c r="M24" s="1970"/>
      <c r="N24" s="1971"/>
      <c r="O24" s="4"/>
      <c r="P24" s="1248"/>
      <c r="Q24" s="1248"/>
      <c r="R24" s="1248"/>
      <c r="S24" s="285"/>
      <c r="T24" s="285"/>
    </row>
    <row r="25" spans="1:20" ht="14.85" customHeight="1">
      <c r="A25" s="1934" t="s">
        <v>305</v>
      </c>
      <c r="B25" s="1935" t="s">
        <v>201</v>
      </c>
      <c r="C25" s="513" t="s">
        <v>475</v>
      </c>
      <c r="D25" s="179">
        <v>11940.093999999999</v>
      </c>
      <c r="E25" s="638"/>
      <c r="F25" s="1160"/>
      <c r="G25" s="663" t="s">
        <v>304</v>
      </c>
      <c r="H25" s="1855" t="s">
        <v>1001</v>
      </c>
      <c r="I25" s="664" t="s">
        <v>1</v>
      </c>
      <c r="J25" s="2183">
        <v>123418.90399999999</v>
      </c>
      <c r="L25" s="4"/>
      <c r="M25" s="653"/>
      <c r="N25" s="654"/>
      <c r="O25" s="1241"/>
      <c r="P25" s="1248"/>
      <c r="Q25" s="1248"/>
      <c r="R25" s="1248"/>
      <c r="S25" s="285"/>
      <c r="T25" s="285"/>
    </row>
    <row r="26" spans="1:20" ht="14.85" customHeight="1">
      <c r="A26" s="1934" t="s">
        <v>929</v>
      </c>
      <c r="B26" s="619" t="s">
        <v>930</v>
      </c>
      <c r="C26" s="534" t="s">
        <v>931</v>
      </c>
      <c r="D26" s="315">
        <f>SUM(D22:D25)</f>
        <v>207058.92300000001</v>
      </c>
      <c r="E26" s="1830">
        <v>112138.06299999999</v>
      </c>
      <c r="F26" s="222" t="str">
        <f>IF(OR(D26=0,E26=""),"Belopp saknas","")</f>
        <v/>
      </c>
      <c r="G26" s="1248"/>
      <c r="H26" s="1248"/>
      <c r="I26" s="1176"/>
      <c r="J26" s="1755"/>
      <c r="K26" s="135"/>
      <c r="L26" s="4"/>
      <c r="M26" s="653"/>
      <c r="N26" s="654"/>
      <c r="O26" s="1241"/>
      <c r="P26" s="1248"/>
      <c r="Q26" s="1248"/>
      <c r="R26" s="1248"/>
      <c r="S26" s="285"/>
      <c r="T26" s="285"/>
    </row>
    <row r="27" spans="1:20" ht="14.85" customHeight="1">
      <c r="A27" s="1934" t="s">
        <v>298</v>
      </c>
      <c r="B27" s="1937" t="s">
        <v>624</v>
      </c>
      <c r="C27" s="2173" t="s">
        <v>1088</v>
      </c>
      <c r="D27" s="179">
        <v>47243.343000000001</v>
      </c>
      <c r="E27" s="638"/>
      <c r="F27" s="1160"/>
      <c r="G27" s="1895"/>
      <c r="H27" s="1432"/>
      <c r="I27" s="140"/>
      <c r="J27" s="135"/>
      <c r="K27" s="1367"/>
      <c r="L27" s="4"/>
      <c r="M27" s="653"/>
      <c r="N27" s="654"/>
      <c r="O27" s="1241"/>
      <c r="P27" s="1248"/>
      <c r="Q27" s="1237"/>
      <c r="R27" s="1248"/>
      <c r="S27" s="285"/>
      <c r="T27" s="285"/>
    </row>
    <row r="28" spans="1:20" ht="14.85" customHeight="1">
      <c r="A28" s="1934" t="s">
        <v>299</v>
      </c>
      <c r="B28" s="1937" t="s">
        <v>625</v>
      </c>
      <c r="C28" s="2173" t="s">
        <v>1095</v>
      </c>
      <c r="D28" s="179">
        <v>12981.537</v>
      </c>
      <c r="E28" s="638"/>
      <c r="F28" s="1160"/>
      <c r="G28" s="1432"/>
      <c r="H28" s="1432"/>
      <c r="I28" s="140"/>
      <c r="K28" s="135"/>
      <c r="L28" s="4"/>
      <c r="M28" s="653"/>
      <c r="N28" s="654"/>
      <c r="O28" s="1241"/>
      <c r="P28" s="1248"/>
      <c r="Q28" s="1237"/>
      <c r="R28" s="1248"/>
    </row>
    <row r="29" spans="1:20" ht="14.85" customHeight="1">
      <c r="A29" s="1934" t="s">
        <v>300</v>
      </c>
      <c r="B29" s="1937" t="s">
        <v>626</v>
      </c>
      <c r="C29" s="518" t="s">
        <v>627</v>
      </c>
      <c r="D29" s="179">
        <v>85.793000000000006</v>
      </c>
      <c r="E29" s="638"/>
      <c r="F29" s="1160"/>
      <c r="G29" s="1895"/>
      <c r="H29" s="1432"/>
      <c r="I29" s="140"/>
      <c r="J29" s="135"/>
      <c r="K29" s="4"/>
      <c r="L29" s="4"/>
      <c r="M29" s="653"/>
      <c r="N29" s="654"/>
      <c r="O29" s="1241"/>
      <c r="P29" s="1248"/>
      <c r="Q29" s="1237"/>
      <c r="R29" s="1248"/>
    </row>
    <row r="30" spans="1:20" ht="14.85" customHeight="1">
      <c r="A30" s="2166" t="s">
        <v>1227</v>
      </c>
      <c r="B30" s="2168">
        <v>189</v>
      </c>
      <c r="C30" s="2169" t="s">
        <v>1226</v>
      </c>
      <c r="D30" s="179">
        <v>1104.6369999999999</v>
      </c>
      <c r="E30" s="2094"/>
      <c r="F30" s="1160"/>
      <c r="G30" s="1895"/>
      <c r="H30" s="1432"/>
      <c r="I30" s="140"/>
      <c r="J30" s="135"/>
      <c r="K30" s="4"/>
      <c r="L30" s="4"/>
      <c r="M30" s="653"/>
      <c r="N30" s="654"/>
      <c r="O30" s="1241"/>
      <c r="P30" s="1248"/>
      <c r="Q30" s="1237"/>
      <c r="R30" s="1248"/>
    </row>
    <row r="31" spans="1:20" ht="14.85" customHeight="1">
      <c r="A31" s="1934" t="s">
        <v>280</v>
      </c>
      <c r="B31" s="619" t="s">
        <v>932</v>
      </c>
      <c r="C31" s="534" t="s">
        <v>1016</v>
      </c>
      <c r="D31" s="315">
        <f>SUM(D27:D30)</f>
        <v>61415.310000000005</v>
      </c>
      <c r="E31" s="183">
        <v>62083.654999999999</v>
      </c>
      <c r="F31" s="222" t="str">
        <f>IF(OR(D27="",D28="",D29="",D30=""),"Skriv belopp eller 0 på raderna 053-057 för kommunen",IF(E31="","Skriv belopp eller 0 för koncernen",""))</f>
        <v/>
      </c>
      <c r="G31" s="1432"/>
      <c r="H31" s="1432"/>
      <c r="I31" s="140"/>
      <c r="J31" s="1248"/>
      <c r="K31" s="4"/>
      <c r="L31" s="4"/>
      <c r="M31" s="653"/>
      <c r="N31" s="654"/>
      <c r="O31" s="1241"/>
      <c r="P31" s="1248"/>
      <c r="Q31" s="1418"/>
      <c r="R31" s="1418"/>
    </row>
    <row r="32" spans="1:20" ht="14.85" customHeight="1">
      <c r="A32" s="1934" t="s">
        <v>301</v>
      </c>
      <c r="B32" s="619">
        <v>19</v>
      </c>
      <c r="C32" s="534" t="s">
        <v>1017</v>
      </c>
      <c r="D32" s="179">
        <v>52631.326000000001</v>
      </c>
      <c r="E32" s="183">
        <v>65476.495000000003</v>
      </c>
      <c r="F32" s="222" t="str">
        <f>IF(D32&gt;E32,"konc. &lt; kom.",IF(OR(D32&lt;0,E32&lt;0),"Varför minusbelopp?",IF(OR(D32=0,E32=0),"Belopp saknas","")))</f>
        <v/>
      </c>
      <c r="G32" s="1432"/>
      <c r="H32" s="1432"/>
      <c r="I32" s="140"/>
      <c r="K32" s="4"/>
      <c r="L32" s="4"/>
      <c r="M32" s="653"/>
      <c r="N32" s="654"/>
      <c r="O32" s="1241"/>
      <c r="P32" s="1248"/>
      <c r="Q32" s="1418"/>
      <c r="R32" s="1418"/>
    </row>
    <row r="33" spans="1:19" ht="14.85" customHeight="1" thickBot="1">
      <c r="A33" s="1945" t="s">
        <v>302</v>
      </c>
      <c r="B33" s="625" t="s">
        <v>628</v>
      </c>
      <c r="C33" s="499" t="s">
        <v>1120</v>
      </c>
      <c r="D33" s="318">
        <f>SUM(D21,D26,D31,D32)</f>
        <v>336800.81800000003</v>
      </c>
      <c r="E33" s="319">
        <f>SUM(E21,E26,E31,E32)</f>
        <v>263633.598</v>
      </c>
      <c r="F33" s="1160"/>
      <c r="G33" s="165"/>
      <c r="H33" s="165"/>
      <c r="I33" s="165"/>
      <c r="J33" s="165"/>
      <c r="K33" s="4"/>
      <c r="L33" s="4"/>
      <c r="M33" s="583">
        <f>D33*1000/invanare</f>
        <v>31810.544300892263</v>
      </c>
      <c r="N33" s="590">
        <f>E33*1000/invanare</f>
        <v>24899.964014881407</v>
      </c>
      <c r="O33" s="1185"/>
      <c r="P33" s="1248"/>
      <c r="Q33" s="1418"/>
      <c r="R33" s="1418"/>
    </row>
    <row r="34" spans="1:19" ht="14.85" customHeight="1" thickBot="1">
      <c r="A34" s="1946" t="s">
        <v>281</v>
      </c>
      <c r="B34" s="626" t="s">
        <v>629</v>
      </c>
      <c r="C34" s="627" t="s">
        <v>630</v>
      </c>
      <c r="D34" s="321">
        <f>SUM(D18,D19,D33)</f>
        <v>1615261.3059999999</v>
      </c>
      <c r="E34" s="320">
        <f>SUM(E18,E19,E33)</f>
        <v>2170849.7930000001</v>
      </c>
      <c r="F34" s="1160"/>
      <c r="G34" s="165"/>
      <c r="H34" s="165"/>
      <c r="I34" s="165"/>
      <c r="J34" s="165"/>
      <c r="K34" s="4"/>
      <c r="L34" s="4"/>
      <c r="M34" s="4"/>
      <c r="N34" s="4"/>
      <c r="P34" s="1248"/>
      <c r="Q34" s="1418"/>
      <c r="R34" s="1418"/>
    </row>
    <row r="35" spans="1:19" customFormat="1" ht="14.85" customHeight="1"/>
    <row r="36" spans="1:19" customFormat="1" ht="14.85" customHeight="1"/>
    <row r="37" spans="1:19" customFormat="1" ht="14.85" customHeight="1"/>
    <row r="38" spans="1:19" customFormat="1" ht="14.85" customHeight="1"/>
    <row r="39" spans="1:19" customFormat="1" ht="14.85" customHeight="1"/>
    <row r="40" spans="1:19" ht="14.85" customHeight="1" thickBot="1">
      <c r="A40" s="1248"/>
      <c r="B40" s="1418"/>
      <c r="C40" s="16"/>
      <c r="D40" s="1219"/>
      <c r="E40" s="1219"/>
      <c r="F40" s="1160"/>
      <c r="G40" s="165"/>
      <c r="H40" s="165"/>
      <c r="I40" s="165"/>
      <c r="J40" s="165"/>
      <c r="K40" s="4"/>
      <c r="L40" s="4"/>
      <c r="M40" s="4"/>
      <c r="N40" s="4"/>
      <c r="P40" s="1248"/>
      <c r="Q40" s="1418"/>
      <c r="R40" s="1418"/>
    </row>
    <row r="41" spans="1:19" ht="22.5" customHeight="1" thickBot="1">
      <c r="A41" s="2088" t="s">
        <v>1211</v>
      </c>
      <c r="B41" s="2089" t="str">
        <f>"BAS "&amp;År-2000&amp;""</f>
        <v>BAS 24</v>
      </c>
      <c r="C41" s="2090" t="s">
        <v>352</v>
      </c>
      <c r="D41" s="2091" t="s">
        <v>604</v>
      </c>
      <c r="E41" s="2092" t="s">
        <v>705</v>
      </c>
      <c r="F41" s="1160"/>
      <c r="G41" s="165"/>
      <c r="H41" s="165"/>
      <c r="I41" s="165"/>
      <c r="J41" s="165"/>
      <c r="K41" s="4"/>
      <c r="L41" s="4"/>
      <c r="M41" s="4"/>
      <c r="N41" s="4"/>
      <c r="Q41" s="1247"/>
      <c r="R41" s="1176"/>
    </row>
    <row r="42" spans="1:19" ht="12.75" customHeight="1" thickBot="1">
      <c r="A42" s="535" t="s">
        <v>306</v>
      </c>
      <c r="B42" s="2087">
        <v>201</v>
      </c>
      <c r="C42" s="2174" t="s">
        <v>1229</v>
      </c>
      <c r="D42" s="2102">
        <v>630557.72699999996</v>
      </c>
      <c r="E42" s="2101">
        <v>832766.97699999996</v>
      </c>
      <c r="F42" s="1160"/>
      <c r="G42" s="165"/>
      <c r="H42" s="165"/>
      <c r="I42" s="165"/>
      <c r="J42" s="165"/>
      <c r="K42" s="4"/>
      <c r="L42" s="4"/>
      <c r="M42" s="4"/>
      <c r="N42" s="4"/>
      <c r="Q42" s="1247"/>
      <c r="R42" s="1176"/>
    </row>
    <row r="43" spans="1:19" ht="12.75" customHeight="1">
      <c r="A43" s="2167" t="s">
        <v>1224</v>
      </c>
      <c r="B43" s="2169"/>
      <c r="C43" s="2169" t="s">
        <v>1228</v>
      </c>
      <c r="D43" s="2112">
        <v>0</v>
      </c>
      <c r="E43" s="2104">
        <v>0</v>
      </c>
      <c r="F43" s="2086"/>
      <c r="G43" s="165"/>
      <c r="H43" s="165"/>
      <c r="I43" s="165"/>
      <c r="J43" s="165"/>
      <c r="L43" s="4"/>
      <c r="M43" s="2542" t="s">
        <v>450</v>
      </c>
      <c r="N43" s="2543"/>
      <c r="O43" s="1242"/>
      <c r="P43" s="1176"/>
      <c r="Q43" s="1238"/>
      <c r="R43" s="1418"/>
      <c r="S43" s="1238"/>
    </row>
    <row r="44" spans="1:19" ht="12.75" customHeight="1">
      <c r="A44" s="2167" t="s">
        <v>1225</v>
      </c>
      <c r="B44" s="2169"/>
      <c r="C44" s="2169" t="s">
        <v>1213</v>
      </c>
      <c r="D44" s="50">
        <v>39357.016000000003</v>
      </c>
      <c r="E44" s="171">
        <v>39379.703000000001</v>
      </c>
      <c r="F44" s="222"/>
      <c r="G44" s="2141"/>
      <c r="H44" s="2141"/>
      <c r="I44" s="2141"/>
      <c r="J44" s="2141"/>
      <c r="K44" s="2141"/>
      <c r="L44" s="4"/>
      <c r="M44" s="680" t="s">
        <v>604</v>
      </c>
      <c r="N44" s="681" t="s">
        <v>705</v>
      </c>
      <c r="O44" s="1243"/>
      <c r="P44" s="1176"/>
      <c r="Q44" s="1238"/>
      <c r="R44" s="1418"/>
      <c r="S44" s="1420"/>
    </row>
    <row r="45" spans="1:19" ht="12.75" customHeight="1">
      <c r="A45" s="542" t="s">
        <v>1039</v>
      </c>
      <c r="B45" s="621" t="s">
        <v>1006</v>
      </c>
      <c r="C45" s="513" t="s">
        <v>1122</v>
      </c>
      <c r="D45" s="50">
        <v>-2346.6970000000001</v>
      </c>
      <c r="E45" s="171"/>
      <c r="F45" s="1161"/>
      <c r="G45" s="2141"/>
      <c r="H45" s="2141"/>
      <c r="I45" s="2141"/>
      <c r="J45" s="2141"/>
      <c r="K45" s="2141"/>
      <c r="L45" s="4"/>
      <c r="M45" s="682"/>
      <c r="N45" s="683"/>
      <c r="O45" s="1219"/>
      <c r="P45" s="1248"/>
      <c r="Q45" s="1248"/>
      <c r="R45" s="1248"/>
      <c r="S45" s="1405"/>
    </row>
    <row r="46" spans="1:19" ht="12.75" customHeight="1">
      <c r="A46" s="542" t="s">
        <v>307</v>
      </c>
      <c r="B46" s="621">
        <v>202</v>
      </c>
      <c r="C46" s="513" t="s">
        <v>610</v>
      </c>
      <c r="D46" s="94">
        <f>RR!C18</f>
        <v>15653.903000000131</v>
      </c>
      <c r="E46" s="1137">
        <f>RR!D18</f>
        <v>17076.281000000108</v>
      </c>
      <c r="F46" s="1161"/>
      <c r="G46" s="165"/>
      <c r="H46" s="165"/>
      <c r="I46" s="165"/>
      <c r="J46" s="165"/>
      <c r="K46" s="4"/>
      <c r="L46" s="4"/>
      <c r="M46" s="682"/>
      <c r="N46" s="683"/>
      <c r="O46" s="1219"/>
      <c r="P46" s="1248"/>
      <c r="Q46" s="1248"/>
      <c r="R46" s="1248"/>
      <c r="S46" s="1876"/>
    </row>
    <row r="47" spans="1:19" ht="12.75" customHeight="1">
      <c r="A47" s="542" t="s">
        <v>782</v>
      </c>
      <c r="B47" s="621"/>
      <c r="C47" s="518" t="s">
        <v>1238</v>
      </c>
      <c r="D47" s="50">
        <v>94.841999999999999</v>
      </c>
      <c r="E47" s="171">
        <v>57.472999999999999</v>
      </c>
      <c r="F47" s="1161"/>
      <c r="G47" s="4"/>
      <c r="H47" s="4"/>
      <c r="I47" s="4"/>
      <c r="J47" s="4"/>
      <c r="K47" s="4"/>
      <c r="L47" s="4"/>
      <c r="M47" s="682"/>
      <c r="N47" s="683"/>
      <c r="O47" s="1219"/>
      <c r="P47" s="1248"/>
      <c r="Q47" s="1248"/>
      <c r="R47" s="1248"/>
    </row>
    <row r="48" spans="1:19" ht="12.75" customHeight="1">
      <c r="A48" s="544" t="s">
        <v>308</v>
      </c>
      <c r="B48" s="672" t="s">
        <v>806</v>
      </c>
      <c r="C48" s="2175" t="s">
        <v>1230</v>
      </c>
      <c r="D48" s="322">
        <f>SUM(D42,D45:D47)</f>
        <v>643959.77500000002</v>
      </c>
      <c r="E48" s="319">
        <f>SUM(E42,E45:E47)</f>
        <v>849900.73100000003</v>
      </c>
      <c r="F48" s="222"/>
      <c r="G48" s="4"/>
      <c r="H48" s="4"/>
      <c r="I48" s="4"/>
      <c r="J48" s="4"/>
      <c r="K48" s="4"/>
      <c r="L48" s="4"/>
      <c r="M48" s="684">
        <f>D48*1000/invanare</f>
        <v>60821.44061369267</v>
      </c>
      <c r="N48" s="581">
        <f>E48*1000/invanare</f>
        <v>80272.384774422433</v>
      </c>
      <c r="O48" s="1219"/>
      <c r="P48" s="1248"/>
      <c r="Q48" s="1248"/>
      <c r="R48" s="1248"/>
    </row>
    <row r="49" spans="1:20" ht="12.75" customHeight="1">
      <c r="A49" s="2167" t="s">
        <v>1223</v>
      </c>
      <c r="B49" s="2169"/>
      <c r="C49" s="2169" t="s">
        <v>1212</v>
      </c>
      <c r="D49" s="322">
        <v>1755.6389999999999</v>
      </c>
      <c r="E49" s="171">
        <v>1755.6389999999999</v>
      </c>
      <c r="F49" s="222" t="str">
        <f>IF(E49 = "",
      "Skriv 0 i kol.E om RER inte finns",
         IF(ABS(D49 - E49) &gt; 100,
             "Varför differens mellan kommun och koncernen?","")
)</f>
        <v/>
      </c>
      <c r="G49" s="4"/>
      <c r="H49" s="4"/>
      <c r="I49" s="4"/>
      <c r="J49" s="4"/>
      <c r="K49" s="4"/>
      <c r="L49" s="4"/>
      <c r="M49" s="685"/>
      <c r="N49" s="686"/>
      <c r="O49" s="1219"/>
      <c r="P49" s="1248"/>
      <c r="Q49" s="1418"/>
      <c r="R49" s="1248"/>
    </row>
    <row r="50" spans="1:20" ht="12.75" customHeight="1" thickBot="1">
      <c r="A50" s="2167" t="s">
        <v>781</v>
      </c>
      <c r="B50" s="2170"/>
      <c r="C50" s="2176" t="s">
        <v>1213</v>
      </c>
      <c r="D50" s="2095">
        <v>36948.845000000001</v>
      </c>
      <c r="E50" s="171">
        <v>36974.305</v>
      </c>
      <c r="F50" s="222" t="str">
        <f>IF(E50 = "",
      "Skriv 0 i kol.E om RUR inte finns",
         IF(ABS(D50 - E50) &gt; 100,
             "Varför differens mellan kommun och koncernen?","")
)</f>
        <v/>
      </c>
      <c r="G50" s="2124"/>
      <c r="H50" s="2123"/>
      <c r="I50" s="2123"/>
      <c r="J50" s="2123"/>
      <c r="K50" s="2123"/>
      <c r="L50" s="4"/>
      <c r="M50" s="685"/>
      <c r="N50" s="686"/>
      <c r="O50" s="1875"/>
      <c r="P50" s="2121"/>
      <c r="Q50" s="1248"/>
      <c r="R50" s="1248"/>
    </row>
    <row r="51" spans="1:20" ht="12.75" customHeight="1">
      <c r="A51" s="566" t="s">
        <v>309</v>
      </c>
      <c r="B51" s="2171" t="s">
        <v>631</v>
      </c>
      <c r="C51" s="2177" t="s">
        <v>790</v>
      </c>
      <c r="D51" s="179">
        <v>72279.392000000007</v>
      </c>
      <c r="E51" s="2025"/>
      <c r="F51" s="222" t="str">
        <f>IF(D51=0,"Varför saknas avsättningar för pensioner?","")</f>
        <v/>
      </c>
      <c r="G51" s="2123"/>
      <c r="H51" s="2123"/>
      <c r="I51" s="2123"/>
      <c r="J51" s="2123"/>
      <c r="K51" s="2123"/>
      <c r="L51" s="4"/>
      <c r="M51" s="685"/>
      <c r="N51" s="686"/>
      <c r="O51" s="1185"/>
      <c r="P51" s="1248"/>
      <c r="Q51" s="1418"/>
      <c r="R51" s="1418"/>
    </row>
    <row r="52" spans="1:20" ht="12.75" customHeight="1">
      <c r="A52" s="542" t="s">
        <v>310</v>
      </c>
      <c r="B52" s="2172" t="s">
        <v>632</v>
      </c>
      <c r="C52" s="2169" t="s">
        <v>791</v>
      </c>
      <c r="D52" s="179">
        <v>1872.895</v>
      </c>
      <c r="E52" s="667"/>
      <c r="F52" s="222"/>
      <c r="G52" s="174" t="s">
        <v>968</v>
      </c>
      <c r="H52" s="4"/>
      <c r="I52" s="4"/>
      <c r="J52" s="4"/>
      <c r="K52" s="4"/>
      <c r="L52" s="4"/>
      <c r="M52" s="685"/>
      <c r="N52" s="686"/>
      <c r="O52" s="1185"/>
      <c r="P52" s="1248"/>
      <c r="Q52" s="1248"/>
      <c r="R52" s="1248"/>
    </row>
    <row r="53" spans="1:20" ht="12.75" customHeight="1">
      <c r="A53" s="542" t="s">
        <v>311</v>
      </c>
      <c r="B53" s="668" t="s">
        <v>633</v>
      </c>
      <c r="C53" s="669" t="s">
        <v>737</v>
      </c>
      <c r="D53" s="179">
        <v>18207.084999999999</v>
      </c>
      <c r="E53" s="667"/>
      <c r="F53" s="222" t="str">
        <f>IF(D53=0,"Varför saknas avsättningar för särskild löneskatt pens.?","")</f>
        <v/>
      </c>
      <c r="G53" s="72"/>
      <c r="H53" s="4"/>
      <c r="I53" s="4"/>
      <c r="J53" s="198"/>
      <c r="L53" s="4"/>
      <c r="M53" s="580">
        <f>SUM(D51:D53)*1000/invanare</f>
        <v>8723.2623485154018</v>
      </c>
      <c r="N53" s="687"/>
      <c r="O53" s="1185"/>
      <c r="P53" s="1248"/>
      <c r="Q53" s="1248"/>
      <c r="R53" s="1248"/>
    </row>
    <row r="54" spans="1:20" ht="12.75" customHeight="1">
      <c r="A54" s="544" t="s">
        <v>312</v>
      </c>
      <c r="B54" s="1992" t="s">
        <v>634</v>
      </c>
      <c r="C54" s="1993" t="s">
        <v>635</v>
      </c>
      <c r="D54" s="179">
        <v>35343.194000000003</v>
      </c>
      <c r="E54" s="667"/>
      <c r="F54" s="222"/>
      <c r="G54" s="4"/>
      <c r="H54" s="4"/>
      <c r="I54" s="13"/>
      <c r="J54" s="1589" t="s">
        <v>604</v>
      </c>
      <c r="L54" s="1584"/>
      <c r="M54" s="688">
        <f>D54*1000/invanare</f>
        <v>3338.133930755565</v>
      </c>
      <c r="N54" s="2006"/>
      <c r="O54" s="1185"/>
      <c r="P54" s="1248"/>
      <c r="Q54" s="1248"/>
      <c r="R54" s="1248"/>
    </row>
    <row r="55" spans="1:20" ht="12.75" customHeight="1" thickBot="1">
      <c r="A55" s="1760" t="s">
        <v>313</v>
      </c>
      <c r="B55" s="1997" t="s">
        <v>1076</v>
      </c>
      <c r="C55" s="530" t="s">
        <v>637</v>
      </c>
      <c r="D55" s="1991">
        <f>SUM(D51:D54)</f>
        <v>127702.56600000001</v>
      </c>
      <c r="E55" s="2012">
        <v>174984.432</v>
      </c>
      <c r="F55" s="222" t="str">
        <f>IF((D55-E55)&gt;1,"konc. &lt; komm.",IF(OR(D55=0,E55=0),"Belopp saknas",""))</f>
        <v/>
      </c>
      <c r="G55" s="655" t="s">
        <v>282</v>
      </c>
      <c r="H55" s="656" t="s">
        <v>636</v>
      </c>
      <c r="I55" s="1580" t="s">
        <v>1124</v>
      </c>
      <c r="J55" s="1583">
        <v>3264.54</v>
      </c>
      <c r="K55" s="1579"/>
      <c r="L55" s="1730"/>
      <c r="M55" s="580">
        <f>D55*1000/invanare</f>
        <v>12061.396279270966</v>
      </c>
      <c r="N55" s="2004">
        <f>E55*1000/invanare</f>
        <v>16527.127395820251</v>
      </c>
      <c r="O55" s="1185"/>
      <c r="P55" s="1248"/>
      <c r="Q55" s="1248"/>
      <c r="R55" s="1248"/>
      <c r="S55" s="285"/>
      <c r="T55" s="285"/>
    </row>
    <row r="56" spans="1:20" ht="12.75" customHeight="1">
      <c r="A56" s="2016" t="s">
        <v>1082</v>
      </c>
      <c r="B56" s="1326" t="s">
        <v>1077</v>
      </c>
      <c r="C56" s="2169" t="s">
        <v>1206</v>
      </c>
      <c r="D56" s="1994">
        <v>153857.745</v>
      </c>
      <c r="E56" s="1995">
        <v>158304.796</v>
      </c>
      <c r="F56" s="1996"/>
      <c r="G56" s="1316" t="s">
        <v>933</v>
      </c>
      <c r="H56" s="2179" t="s">
        <v>1207</v>
      </c>
      <c r="I56" s="2182" t="s">
        <v>1125</v>
      </c>
      <c r="J56" s="1583">
        <v>26064.948</v>
      </c>
      <c r="K56" s="1579"/>
      <c r="M56" s="651"/>
      <c r="N56" s="2005"/>
      <c r="O56" s="2003"/>
      <c r="P56" s="1248"/>
      <c r="Q56" s="1418"/>
      <c r="R56" s="1418"/>
    </row>
    <row r="57" spans="1:20" ht="12.75" customHeight="1">
      <c r="A57" s="544" t="s">
        <v>314</v>
      </c>
      <c r="B57" s="621" t="s">
        <v>1100</v>
      </c>
      <c r="C57" s="513" t="s">
        <v>1121</v>
      </c>
      <c r="D57" s="179">
        <v>293340.82299999997</v>
      </c>
      <c r="E57" s="1830">
        <v>533415.01</v>
      </c>
      <c r="F57" s="222" t="str">
        <f>IF(D57&gt;E57,"konc. &lt; komm.",IF(OR(D57="",E57=""),"Skriv belopp eller 0",""))</f>
        <v/>
      </c>
      <c r="G57" s="176"/>
      <c r="H57" s="4"/>
      <c r="I57" s="165"/>
      <c r="J57" s="135" t="str">
        <f>IF(AND(D54=0,SUM(J55+J56)=0),"",IF(SUM(J55:J56)-D54&gt;1,"Däravr.080+ 131&gt;rad 078",IF(AND(D54&gt;10,J55=""),"Rad 080: skriv belopp eller 0",IF(AND(D54&gt;10,J56=""),"Rad 131: skriv belopp eller 0 ",""))))</f>
        <v/>
      </c>
      <c r="K57" s="165"/>
      <c r="L57" s="1730"/>
      <c r="M57" s="685"/>
      <c r="N57" s="686"/>
      <c r="O57" s="1185"/>
      <c r="P57" s="1248"/>
      <c r="Q57" s="1248"/>
      <c r="R57" s="1248"/>
    </row>
    <row r="58" spans="1:20" ht="12.75" customHeight="1">
      <c r="A58" s="542" t="s">
        <v>315</v>
      </c>
      <c r="B58" s="621" t="s">
        <v>1101</v>
      </c>
      <c r="C58" s="513" t="s">
        <v>1102</v>
      </c>
      <c r="D58" s="179">
        <v>24282.526000000002</v>
      </c>
      <c r="E58" s="1577">
        <v>21695.315999999999</v>
      </c>
      <c r="F58" s="222" t="str">
        <f>IF(OR(D58="",E58=""),"Skriv belopp eller 0","")</f>
        <v/>
      </c>
      <c r="G58" s="176"/>
      <c r="H58" s="4"/>
      <c r="I58" s="165"/>
      <c r="J58" s="208"/>
      <c r="K58" s="1586"/>
      <c r="L58" s="1730"/>
      <c r="M58" s="685"/>
      <c r="N58" s="686"/>
      <c r="O58" s="1185"/>
      <c r="P58" s="1248"/>
      <c r="Q58" s="1248"/>
      <c r="R58" s="1248"/>
    </row>
    <row r="59" spans="1:20" ht="12.75" customHeight="1">
      <c r="A59" s="542" t="s">
        <v>316</v>
      </c>
      <c r="B59" s="621">
        <v>236</v>
      </c>
      <c r="C59" s="513" t="s">
        <v>638</v>
      </c>
      <c r="D59" s="179">
        <v>5417.6989999999996</v>
      </c>
      <c r="E59" s="667"/>
      <c r="F59" s="1160"/>
      <c r="G59" s="176"/>
      <c r="H59" s="4"/>
      <c r="I59" s="1587"/>
      <c r="J59" s="1581" t="s">
        <v>604</v>
      </c>
      <c r="K59" s="1582" t="s">
        <v>705</v>
      </c>
      <c r="L59" s="192"/>
      <c r="M59" s="685"/>
      <c r="N59" s="686"/>
      <c r="O59" s="1185"/>
      <c r="P59" s="1248"/>
      <c r="Q59" s="1248"/>
      <c r="R59" s="1248"/>
    </row>
    <row r="60" spans="1:20" ht="12.75" customHeight="1">
      <c r="A60" s="542" t="s">
        <v>317</v>
      </c>
      <c r="B60" s="621" t="s">
        <v>760</v>
      </c>
      <c r="C60" s="513" t="s">
        <v>978</v>
      </c>
      <c r="D60" s="184">
        <v>7088.8810000000003</v>
      </c>
      <c r="E60" s="1577">
        <v>27978.442999999999</v>
      </c>
      <c r="F60" s="222" t="str">
        <f>IF(OR(D60="",E60=""),"Skriv belopp eller 0","")</f>
        <v/>
      </c>
      <c r="G60" s="1316" t="s">
        <v>934</v>
      </c>
      <c r="H60" s="2180" t="s">
        <v>973</v>
      </c>
      <c r="I60" s="2182" t="s">
        <v>1126</v>
      </c>
      <c r="J60" s="1583">
        <v>23792.038</v>
      </c>
      <c r="K60" s="1583">
        <v>27610.363000000001</v>
      </c>
      <c r="L60" s="1730"/>
      <c r="M60" s="651"/>
      <c r="N60" s="686"/>
      <c r="O60" s="1185"/>
      <c r="P60" s="1248"/>
      <c r="Q60" s="1248"/>
      <c r="R60" s="1248"/>
      <c r="S60" s="1176"/>
      <c r="T60" s="1176"/>
    </row>
    <row r="61" spans="1:20" ht="12.75" customHeight="1">
      <c r="A61" s="2166" t="s">
        <v>780</v>
      </c>
      <c r="B61" s="2172" t="s">
        <v>759</v>
      </c>
      <c r="C61" s="2178" t="s">
        <v>1049</v>
      </c>
      <c r="D61" s="184">
        <v>41007.995999999999</v>
      </c>
      <c r="E61" s="1577">
        <v>48228.743999999999</v>
      </c>
      <c r="F61" s="222" t="str">
        <f>IF(D61&gt;E61,"konc. &lt; komm.",IF(OR(D61="",E61=""),"Skriv belopp eller 0",""))</f>
        <v/>
      </c>
      <c r="G61" s="1588"/>
      <c r="H61" s="1588"/>
      <c r="I61" s="1372"/>
      <c r="J61" s="135" t="str">
        <f>IF(AND(D61=0,J60=0),"",IF(SUM(J60)&gt;D61,"Däravrad 132 &gt; rad 087",IF(AND(D61&gt;10,J60=""),"Rad 132: skriv belopp eller 0","")))</f>
        <v/>
      </c>
      <c r="K61" s="135" t="str">
        <f>IF(AND(E61=0,K60=0),"",IF(SUM(K60)&gt;E61,"Däravrad 132 &gt; rad 087",IF(AND(E61&gt;10,K60=""),"Rad 132: skriv belopp eller 0",IF(J60&gt;K60,"konc.&lt;kommun",""))))</f>
        <v/>
      </c>
      <c r="L61" s="178"/>
      <c r="M61" s="651"/>
      <c r="N61" s="686"/>
      <c r="O61" s="1185"/>
      <c r="P61" s="1248"/>
      <c r="Q61" s="1248"/>
      <c r="R61" s="1248"/>
      <c r="S61" s="1176"/>
      <c r="T61" s="1176"/>
    </row>
    <row r="62" spans="1:20" ht="12.75" customHeight="1">
      <c r="A62" s="542" t="s">
        <v>318</v>
      </c>
      <c r="B62" s="622" t="s">
        <v>639</v>
      </c>
      <c r="C62" s="568" t="s">
        <v>640</v>
      </c>
      <c r="D62" s="185">
        <v>72225.676999999996</v>
      </c>
      <c r="E62" s="1577">
        <v>33832.970999999998</v>
      </c>
      <c r="F62" s="222" t="str">
        <f>IF(OR(D62="",E62=""),"Skriv belopp eller 0","")</f>
        <v/>
      </c>
      <c r="G62" s="1319" t="s">
        <v>935</v>
      </c>
      <c r="H62" s="1320" t="s">
        <v>974</v>
      </c>
      <c r="I62" s="2031" t="s">
        <v>1127</v>
      </c>
      <c r="J62" s="1774">
        <v>117415.787</v>
      </c>
      <c r="K62" s="1775">
        <v>117787.268</v>
      </c>
      <c r="L62" s="1161" t="str">
        <f>IF(AND(D63=0,J62=0,E63=0,K62=0),"",IF(SUM(J62)&gt;D63,"Däravrad 133 &gt; rad 089",IF(AND(D63&gt;10,J62=""),"Rad 133,kommun: skriv belopp eller 0",IF(AND(E63=0,K62=0),"",IF(SUM(K62)&gt;E63,"Koncern:Däravrad 133&gt;rad 089",IF(AND(E63&gt;10,K62=""),"Rad 133,koncern:skriv belopp eller 0",""))))))</f>
        <v/>
      </c>
      <c r="M62" s="651"/>
      <c r="N62" s="686"/>
      <c r="O62" s="1185"/>
      <c r="P62" s="1248"/>
      <c r="Q62" s="1237"/>
      <c r="R62" s="1248"/>
      <c r="S62" s="1176"/>
      <c r="T62" s="1176"/>
    </row>
    <row r="63" spans="1:20" ht="12.75" customHeight="1" thickBot="1">
      <c r="A63" s="546" t="s">
        <v>319</v>
      </c>
      <c r="B63" s="670">
        <v>23</v>
      </c>
      <c r="C63" s="530" t="s">
        <v>641</v>
      </c>
      <c r="D63" s="318">
        <f>SUM(D56:D62)</f>
        <v>597221.34700000007</v>
      </c>
      <c r="E63" s="2113">
        <f>SUM(E56:E58,E60:E62)</f>
        <v>823455.27999999991</v>
      </c>
      <c r="F63" s="2107"/>
      <c r="G63" s="1760" t="s">
        <v>336</v>
      </c>
      <c r="H63" s="1764" t="s">
        <v>974</v>
      </c>
      <c r="I63" s="1761" t="s">
        <v>1132</v>
      </c>
      <c r="J63" s="1715">
        <v>252508.92600000001</v>
      </c>
      <c r="K63" s="1781"/>
      <c r="L63" s="1161" t="str">
        <f>IF(AND(D63=0,J63=0),"",IF(SUM(J63)&gt;D63,"Däravrad 088 &gt; rad 089",IF(AND(D63&gt;10,J63=""),"Rad 088,kommun: skriv belopp eller 0","")))</f>
        <v/>
      </c>
      <c r="M63" s="580">
        <f>D63*1000/invanare</f>
        <v>56407.036743545126</v>
      </c>
      <c r="N63" s="581">
        <f>E63*1000/invanare</f>
        <v>77774.634930499597</v>
      </c>
      <c r="O63" s="1185"/>
      <c r="P63" s="1248"/>
      <c r="Q63" s="1418"/>
      <c r="R63" s="1418"/>
    </row>
    <row r="64" spans="1:20" ht="12.75" customHeight="1">
      <c r="A64" s="542" t="s">
        <v>320</v>
      </c>
      <c r="B64" s="671" t="s">
        <v>642</v>
      </c>
      <c r="C64" s="513" t="s">
        <v>643</v>
      </c>
      <c r="D64" s="179">
        <v>106481.406</v>
      </c>
      <c r="E64" s="667"/>
      <c r="F64" s="222"/>
      <c r="G64" s="1189" t="s">
        <v>322</v>
      </c>
      <c r="H64" s="1917" t="s">
        <v>709</v>
      </c>
      <c r="I64" s="2050" t="s">
        <v>1128</v>
      </c>
      <c r="J64" s="1918">
        <v>24353.481</v>
      </c>
      <c r="K64" s="1765" t="s">
        <v>977</v>
      </c>
      <c r="L64" s="135" t="str">
        <f>IF(AND(D64=0,J64=0),"",IF(SUM(J64)&gt;D64,"Däravrad 091 &gt; rad 090",IF(AND(D64&gt;10,J64=""),"Rad 091: skriv belopp eller 0","")))</f>
        <v/>
      </c>
      <c r="M64" s="685"/>
      <c r="N64" s="686"/>
      <c r="O64" s="1185"/>
      <c r="P64" s="1248"/>
      <c r="Q64" s="1237"/>
      <c r="R64" s="1248"/>
      <c r="S64" s="285"/>
      <c r="T64" s="285"/>
    </row>
    <row r="65" spans="1:20" ht="12.75" customHeight="1">
      <c r="A65" s="542" t="s">
        <v>321</v>
      </c>
      <c r="B65" s="622" t="s">
        <v>644</v>
      </c>
      <c r="C65" s="518" t="s">
        <v>645</v>
      </c>
      <c r="D65" s="179">
        <v>40517.544999999998</v>
      </c>
      <c r="E65" s="667"/>
      <c r="F65" s="1160"/>
      <c r="G65" s="1316" t="s">
        <v>936</v>
      </c>
      <c r="H65" s="2008" t="s">
        <v>937</v>
      </c>
      <c r="I65" s="2009" t="s">
        <v>1129</v>
      </c>
      <c r="J65" s="2010">
        <v>60397.241000000002</v>
      </c>
      <c r="K65" s="1883" t="s">
        <v>976</v>
      </c>
      <c r="L65" s="1565" t="str">
        <f>IF(AND(D64=0,J65=0),"",IF(SUM(J65)&gt;D64,"Däravrad 134 &gt; rad 090",IF(J65="","skriv belopp eller 0","")))</f>
        <v/>
      </c>
      <c r="M65" s="685"/>
      <c r="N65" s="686"/>
      <c r="O65" s="1185"/>
      <c r="P65" s="1248"/>
      <c r="Q65" s="1237"/>
      <c r="R65" s="1248"/>
      <c r="S65" s="285"/>
      <c r="T65" s="285"/>
    </row>
    <row r="66" spans="1:20" ht="12.75" customHeight="1" thickBot="1">
      <c r="A66" s="542" t="s">
        <v>337</v>
      </c>
      <c r="B66" s="622">
        <v>271</v>
      </c>
      <c r="C66" s="518" t="s">
        <v>10</v>
      </c>
      <c r="D66" s="179">
        <v>6461.9539999999997</v>
      </c>
      <c r="E66" s="667"/>
      <c r="F66" s="1160"/>
      <c r="G66" s="2011" t="s">
        <v>2</v>
      </c>
      <c r="H66" s="2018" t="s">
        <v>1071</v>
      </c>
      <c r="I66" s="2017" t="s">
        <v>1131</v>
      </c>
      <c r="J66" s="1919">
        <v>47922.277000000002</v>
      </c>
      <c r="K66" s="1883"/>
      <c r="L66" s="1565" t="str">
        <f>IF(AND(D64=0,J66=0),"",IF(SUM(J66)&gt;D64,"Däravrad 135 &gt; rad 090",IF(J65="","skriv belopp eller 0","")))</f>
        <v/>
      </c>
      <c r="M66" s="685"/>
      <c r="N66" s="686"/>
      <c r="O66" s="1185"/>
      <c r="P66" s="1248"/>
      <c r="Q66" s="1237"/>
      <c r="R66" s="1248"/>
    </row>
    <row r="67" spans="1:20" ht="12.75" customHeight="1">
      <c r="A67" s="542" t="s">
        <v>1108</v>
      </c>
      <c r="B67" s="622">
        <v>272</v>
      </c>
      <c r="C67" s="518" t="s">
        <v>1103</v>
      </c>
      <c r="D67" s="2034">
        <v>8344.6880000000001</v>
      </c>
      <c r="E67" s="2035"/>
      <c r="F67" s="222" t="str">
        <f>IF(D67&lt;&gt;0,"","Belopp saknas för kommunen")</f>
        <v/>
      </c>
      <c r="G67" s="663" t="s">
        <v>323</v>
      </c>
      <c r="H67" s="1315" t="s">
        <v>726</v>
      </c>
      <c r="I67" s="2051" t="s">
        <v>1130</v>
      </c>
      <c r="J67" s="1919">
        <v>4548.7820000000002</v>
      </c>
      <c r="K67" s="2040"/>
      <c r="L67" s="1565" t="str">
        <f>IF(AND(D65=0,J67=0),"",IF(SUM(J67)&gt;D65,"Däravrad 092 &gt; rad 086",IF(J67="","skriv belopp eller 0","")))</f>
        <v/>
      </c>
      <c r="M67" s="685"/>
      <c r="N67" s="686"/>
      <c r="O67" s="1185"/>
      <c r="P67" s="1248"/>
      <c r="Q67" s="1237"/>
      <c r="R67" s="1248"/>
    </row>
    <row r="68" spans="1:20" ht="12.75" customHeight="1">
      <c r="A68" s="542" t="s">
        <v>324</v>
      </c>
      <c r="B68" s="622">
        <v>281</v>
      </c>
      <c r="C68" s="518" t="s">
        <v>1069</v>
      </c>
      <c r="D68" s="186">
        <v>5251.7659999999996</v>
      </c>
      <c r="E68" s="678"/>
      <c r="F68" s="1160"/>
      <c r="J68" s="2039"/>
      <c r="K68" s="2038"/>
      <c r="L68" s="1161"/>
      <c r="M68" s="685"/>
      <c r="N68" s="652"/>
      <c r="O68" s="1185"/>
      <c r="P68" s="1248"/>
      <c r="Q68" s="1237"/>
      <c r="R68" s="1248"/>
    </row>
    <row r="69" spans="1:20" ht="12.75" customHeight="1">
      <c r="A69" s="542" t="s">
        <v>325</v>
      </c>
      <c r="B69" s="622" t="s">
        <v>646</v>
      </c>
      <c r="C69" s="518" t="s">
        <v>647</v>
      </c>
      <c r="D69" s="185">
        <v>19437.841</v>
      </c>
      <c r="E69" s="679"/>
      <c r="F69" s="222" t="str">
        <f>IF(D69&lt;&gt;0,"","Belopp saknas för kommunen")</f>
        <v/>
      </c>
      <c r="G69" s="4"/>
      <c r="H69" s="9"/>
      <c r="I69" s="165"/>
      <c r="J69" s="1589" t="s">
        <v>604</v>
      </c>
      <c r="K69" s="1567"/>
      <c r="L69" s="192"/>
      <c r="M69" s="685"/>
      <c r="N69" s="652"/>
      <c r="O69" s="1185"/>
      <c r="P69" s="1248"/>
      <c r="Q69" s="1237"/>
      <c r="R69" s="1248"/>
    </row>
    <row r="70" spans="1:20" ht="12.75" customHeight="1">
      <c r="A70" s="542" t="s">
        <v>796</v>
      </c>
      <c r="B70" s="622">
        <v>293</v>
      </c>
      <c r="C70" s="518" t="s">
        <v>761</v>
      </c>
      <c r="D70" s="184">
        <v>13024.028</v>
      </c>
      <c r="E70" s="677"/>
      <c r="F70" s="222" t="str">
        <f>IF(D70&lt;&gt;0,"","Belopp saknas för kommunen")</f>
        <v/>
      </c>
      <c r="G70" s="1316" t="s">
        <v>326</v>
      </c>
      <c r="H70" s="1317" t="s">
        <v>648</v>
      </c>
      <c r="I70" s="1580" t="s">
        <v>1133</v>
      </c>
      <c r="J70" s="1583">
        <v>4773.8630000000003</v>
      </c>
      <c r="K70" s="165"/>
      <c r="L70" s="192"/>
      <c r="M70" s="685"/>
      <c r="N70" s="652"/>
      <c r="O70" s="1185"/>
      <c r="P70" s="1248"/>
      <c r="Q70" s="1237"/>
      <c r="R70" s="1248"/>
      <c r="S70" s="285"/>
    </row>
    <row r="71" spans="1:20" ht="12.75" customHeight="1">
      <c r="A71" s="542" t="s">
        <v>327</v>
      </c>
      <c r="B71" s="622" t="s">
        <v>649</v>
      </c>
      <c r="C71" s="518" t="s">
        <v>738</v>
      </c>
      <c r="D71" s="184">
        <v>12737.049000000001</v>
      </c>
      <c r="E71" s="677"/>
      <c r="F71" s="222" t="str">
        <f>IF(D71&lt;&gt;0,"","Belopp saknas för kommunen")</f>
        <v/>
      </c>
      <c r="J71" s="2041" t="str">
        <f>IF(AND(D70=0,J70=0),"",IF(SUM(J70)&gt;D70,"Däravrad 095 &gt; rad 104",IF(J70="","skriv belopp eller 0","")))</f>
        <v/>
      </c>
      <c r="K71" s="1367"/>
      <c r="L71" s="1565"/>
      <c r="M71" s="685"/>
      <c r="N71" s="652"/>
      <c r="O71" s="1185"/>
      <c r="P71" s="1248"/>
      <c r="Q71" s="1237"/>
      <c r="R71" s="1248"/>
    </row>
    <row r="72" spans="1:20" ht="12.75" customHeight="1">
      <c r="A72" s="542" t="s">
        <v>438</v>
      </c>
      <c r="B72" s="622" t="s">
        <v>11</v>
      </c>
      <c r="C72" s="518" t="s">
        <v>12</v>
      </c>
      <c r="D72" s="184">
        <v>239.416</v>
      </c>
      <c r="E72" s="677"/>
      <c r="F72" s="1160"/>
      <c r="G72" s="4"/>
      <c r="H72" s="4"/>
      <c r="I72" s="4"/>
      <c r="J72" s="135"/>
      <c r="K72" s="135"/>
      <c r="L72" s="192"/>
      <c r="M72" s="685"/>
      <c r="N72" s="652"/>
      <c r="O72" s="1185"/>
      <c r="P72" s="1248"/>
      <c r="Q72" s="1237"/>
      <c r="R72" s="1248"/>
    </row>
    <row r="73" spans="1:20" ht="12.75" customHeight="1">
      <c r="A73" s="542" t="s">
        <v>328</v>
      </c>
      <c r="B73" s="621" t="s">
        <v>650</v>
      </c>
      <c r="C73" s="513" t="s">
        <v>652</v>
      </c>
      <c r="D73" s="184">
        <v>33882.703999999998</v>
      </c>
      <c r="E73" s="677"/>
      <c r="F73" s="1160"/>
      <c r="G73" s="4"/>
      <c r="H73" s="177"/>
      <c r="I73" s="4"/>
      <c r="J73" s="175"/>
      <c r="K73" s="1589" t="s">
        <v>705</v>
      </c>
      <c r="L73" s="192"/>
      <c r="M73" s="685"/>
      <c r="N73" s="652"/>
      <c r="O73" s="1185"/>
      <c r="P73" s="1248"/>
      <c r="Q73" s="1248"/>
      <c r="R73" s="1248"/>
    </row>
    <row r="74" spans="1:20" ht="12.75" customHeight="1" thickBot="1">
      <c r="A74" s="544" t="s">
        <v>329</v>
      </c>
      <c r="B74" s="672" t="s">
        <v>653</v>
      </c>
      <c r="C74" s="673" t="s">
        <v>654</v>
      </c>
      <c r="D74" s="322">
        <f>SUM(D64:D73)</f>
        <v>246378.397</v>
      </c>
      <c r="E74" s="182">
        <v>322262.19400000002</v>
      </c>
      <c r="F74" s="222" t="str">
        <f>IF(E74="","Skriv belopp eller 0 för koncernen","")</f>
        <v/>
      </c>
      <c r="G74" s="655" t="s">
        <v>320</v>
      </c>
      <c r="H74" s="2052">
        <v>24</v>
      </c>
      <c r="I74" s="1886" t="s">
        <v>1135</v>
      </c>
      <c r="J74" s="1887"/>
      <c r="K74" s="1772">
        <v>120298.568</v>
      </c>
      <c r="L74" s="1565" t="str">
        <f>IF(AND(E74=0,K74=0),"",IF(SUM(K74)&gt;E74,"Därav-rad 090&gt;rad 098 (Excel K68&gt;E68)",IF(AND(E74&gt;100,K74=""),"Rad 090: skriv belopp eller 0","")))</f>
        <v/>
      </c>
      <c r="M74" s="689">
        <f>D74*1000/invanare</f>
        <v>23270.225289510199</v>
      </c>
      <c r="N74" s="690">
        <f>E74*1000/invanare</f>
        <v>30437.38391021288</v>
      </c>
      <c r="O74" s="1185"/>
      <c r="P74" s="1248"/>
      <c r="Q74" s="1418"/>
      <c r="R74" s="1418"/>
    </row>
    <row r="75" spans="1:20" ht="12.75" customHeight="1" thickBot="1">
      <c r="A75" s="535" t="s">
        <v>330</v>
      </c>
      <c r="B75" s="625" t="s">
        <v>655</v>
      </c>
      <c r="C75" s="499" t="s">
        <v>656</v>
      </c>
      <c r="D75" s="313">
        <f>SUM(D63,D74)</f>
        <v>843599.74400000006</v>
      </c>
      <c r="E75" s="323">
        <f>SUM(E63,E74)</f>
        <v>1145717.4739999999</v>
      </c>
      <c r="F75" s="1160"/>
      <c r="G75" s="1316" t="s">
        <v>936</v>
      </c>
      <c r="H75" s="1800" t="s">
        <v>937</v>
      </c>
      <c r="I75" s="1763" t="s">
        <v>1134</v>
      </c>
      <c r="J75" s="1762"/>
      <c r="K75" s="1773">
        <v>76657.487999999998</v>
      </c>
      <c r="L75" s="1565" t="str">
        <f>IF(AND(K74=0,K75=0),"",IF(SUM(K75)&gt;K74,"Varav-rad 134&gt;rad 090",IF(AND(K74&gt;100,K75=""),"Rad 134, skriv belopp eller 0","")))</f>
        <v/>
      </c>
      <c r="M75" s="1185"/>
      <c r="N75" s="1185"/>
      <c r="O75" s="1185"/>
      <c r="P75" s="1248"/>
      <c r="Q75" s="1418"/>
      <c r="R75" s="1418"/>
    </row>
    <row r="76" spans="1:20" ht="12.75" customHeight="1" thickBot="1">
      <c r="A76" s="674">
        <v>100</v>
      </c>
      <c r="B76" s="675" t="s">
        <v>657</v>
      </c>
      <c r="C76" s="676" t="s">
        <v>1123</v>
      </c>
      <c r="D76" s="324">
        <f>SUM(D48,D55,D63,D74)</f>
        <v>1615262.085</v>
      </c>
      <c r="E76" s="320">
        <f>SUM(E48,E55,E63,E74)</f>
        <v>2170602.6370000001</v>
      </c>
      <c r="F76" s="4"/>
      <c r="G76" s="4"/>
      <c r="H76" s="4"/>
      <c r="I76" s="4"/>
      <c r="J76" s="4"/>
      <c r="K76" s="1565"/>
      <c r="L76" s="2162"/>
      <c r="M76" s="63"/>
      <c r="N76" s="63"/>
      <c r="O76" s="210"/>
      <c r="P76" s="1248"/>
      <c r="Q76" s="1418"/>
      <c r="R76" s="1418"/>
    </row>
    <row r="77" spans="1:20">
      <c r="A77" s="1254" t="s">
        <v>1104</v>
      </c>
      <c r="B77" s="138"/>
      <c r="C77" s="140"/>
      <c r="D77" s="10"/>
      <c r="E77" s="10"/>
      <c r="F77" s="4"/>
      <c r="G77" s="4"/>
      <c r="H77" s="4"/>
      <c r="I77" s="4"/>
      <c r="J77" s="4"/>
      <c r="K77" s="2160"/>
      <c r="L77" s="2161" t="s">
        <v>518</v>
      </c>
      <c r="M77" s="584">
        <f>J63*1000/invanare</f>
        <v>23849.248421046668</v>
      </c>
      <c r="N77" s="691"/>
      <c r="O77" s="1219"/>
      <c r="P77" s="1421"/>
      <c r="Q77" s="1422"/>
      <c r="R77" s="1422"/>
    </row>
    <row r="78" spans="1:20">
      <c r="A78" s="1254"/>
      <c r="B78" s="138"/>
      <c r="C78" s="140"/>
      <c r="D78" s="10"/>
      <c r="E78" s="10"/>
      <c r="F78" s="4"/>
      <c r="G78" s="4"/>
      <c r="H78" s="4"/>
      <c r="I78" s="4"/>
      <c r="J78" s="4"/>
      <c r="K78" s="2160"/>
      <c r="L78" s="2159" t="s">
        <v>514</v>
      </c>
      <c r="M78" s="1729">
        <f>SUM(D63-J63)*1000/invanare</f>
        <v>32557.788322498458</v>
      </c>
      <c r="N78" s="648"/>
      <c r="O78" s="1219"/>
      <c r="Q78" s="2538"/>
      <c r="R78" s="2538"/>
      <c r="S78" s="2538"/>
    </row>
    <row r="79" spans="1:20" ht="15" customHeight="1">
      <c r="A79" s="164"/>
      <c r="B79" s="8"/>
      <c r="C79" s="7"/>
      <c r="D79" s="10"/>
      <c r="E79" s="10"/>
      <c r="F79" s="4"/>
      <c r="G79" s="4"/>
      <c r="H79" s="4"/>
      <c r="I79" s="4"/>
      <c r="J79" s="4"/>
      <c r="K79" s="2160"/>
      <c r="L79" s="2164" t="s">
        <v>512</v>
      </c>
      <c r="M79" s="580">
        <f>IF(D34=0,"",D48*100/D34)</f>
        <v>39.867219787161794</v>
      </c>
      <c r="N79" s="581">
        <f>IF(E34=0,"",E48*100/E34)</f>
        <v>39.15060055009527</v>
      </c>
      <c r="O79" s="1185"/>
      <c r="Q79" s="2538"/>
      <c r="R79" s="2538"/>
      <c r="S79" s="2538"/>
    </row>
    <row r="80" spans="1:20" ht="18" customHeight="1" thickBot="1">
      <c r="A80" s="1901" t="s">
        <v>720</v>
      </c>
      <c r="D80" s="10"/>
      <c r="E80" s="10"/>
      <c r="F80" s="4"/>
      <c r="G80" s="4"/>
      <c r="H80" s="4"/>
      <c r="I80" s="4"/>
      <c r="J80" s="4"/>
      <c r="K80" s="270"/>
      <c r="L80" s="2165" t="s">
        <v>513</v>
      </c>
      <c r="M80" s="2163">
        <f>IF(D34=0,"",(D48-E86)*100/D34)</f>
        <v>29.463372411150925</v>
      </c>
      <c r="N80" s="690">
        <f>IF(E34=0,"",(E48-E86)*100/E34)</f>
        <v>31.409423728839261</v>
      </c>
      <c r="O80" s="1185"/>
      <c r="Q80" s="138"/>
      <c r="R80" s="138"/>
    </row>
    <row r="81" spans="1:18" ht="27">
      <c r="A81" s="2115" t="s">
        <v>1107</v>
      </c>
      <c r="B81" s="1896"/>
      <c r="C81" s="1897"/>
      <c r="D81" s="2037" t="str">
        <f>"Kommunen  "&amp;År-1&amp;"  "</f>
        <v xml:space="preserve">Kommunen  2023  </v>
      </c>
      <c r="E81" s="2114" t="s">
        <v>604</v>
      </c>
      <c r="F81" s="4"/>
      <c r="G81" s="4"/>
      <c r="H81" s="4"/>
      <c r="I81" s="4"/>
      <c r="J81" s="4"/>
      <c r="K81" s="4"/>
      <c r="L81" s="164"/>
      <c r="M81" s="692" t="str">
        <f>"Föränd. %  "&amp;År-1&amp;" - "&amp;År&amp;" "</f>
        <v xml:space="preserve">Föränd. %  2023 - 2024 </v>
      </c>
      <c r="N81" s="692" t="s">
        <v>1106</v>
      </c>
    </row>
    <row r="82" spans="1:18" ht="17.25" customHeight="1">
      <c r="A82" s="542" t="s">
        <v>331</v>
      </c>
      <c r="B82" s="697" t="s">
        <v>658</v>
      </c>
      <c r="C82" s="1898"/>
      <c r="D82" s="698">
        <v>154202.848</v>
      </c>
      <c r="E82" s="95">
        <v>150224.74</v>
      </c>
      <c r="F82" s="1768" t="str">
        <f>IF(E82="","Skriv belopp eller 0","")</f>
        <v/>
      </c>
      <c r="G82" s="4"/>
      <c r="H82" s="4"/>
      <c r="I82" s="4"/>
      <c r="J82" s="4"/>
      <c r="K82" s="4"/>
      <c r="L82" s="4"/>
      <c r="M82" s="693">
        <f t="shared" ref="M82:M87" si="0">IF(AND(D82=0,E82=0),"",IF(E82=0,1,IF(D82=0,-1,E82/D82-1)))</f>
        <v>-2.579788928412019E-2</v>
      </c>
      <c r="N82" s="694">
        <f t="shared" ref="N82:N87" si="1">E82*1000/invanare</f>
        <v>14188.596023124926</v>
      </c>
      <c r="O82" s="1244"/>
      <c r="Q82" s="1176"/>
      <c r="R82" s="1176"/>
    </row>
    <row r="83" spans="1:18" ht="15.75" customHeight="1">
      <c r="A83" s="542" t="s">
        <v>332</v>
      </c>
      <c r="B83" s="699" t="s">
        <v>1136</v>
      </c>
      <c r="C83" s="525"/>
      <c r="D83" s="700">
        <v>5577.2650000000003</v>
      </c>
      <c r="E83" s="95">
        <v>5371.1719999999996</v>
      </c>
      <c r="F83" s="1768" t="str">
        <f t="shared" ref="F83:F85" si="2">IF(E83="","Skriv belopp eller 0","")</f>
        <v/>
      </c>
      <c r="G83" s="4"/>
      <c r="H83" s="4"/>
      <c r="I83" s="4"/>
      <c r="J83" s="4"/>
      <c r="K83" s="4"/>
      <c r="L83" s="4"/>
      <c r="M83" s="695">
        <f t="shared" si="0"/>
        <v>-3.6952341335762418E-2</v>
      </c>
      <c r="N83" s="694">
        <f t="shared" si="1"/>
        <v>507.30252339741082</v>
      </c>
      <c r="O83" s="1185"/>
      <c r="Q83" s="1176"/>
      <c r="R83" s="1176"/>
    </row>
    <row r="84" spans="1:18" ht="18.75" customHeight="1">
      <c r="A84" s="542" t="s">
        <v>209</v>
      </c>
      <c r="B84" s="699" t="s">
        <v>659</v>
      </c>
      <c r="C84" s="525"/>
      <c r="D84" s="700">
        <v>140288.97700000001</v>
      </c>
      <c r="E84" s="95">
        <v>140912.95800000001</v>
      </c>
      <c r="F84" s="1768" t="str">
        <f t="shared" si="2"/>
        <v/>
      </c>
      <c r="G84" s="4"/>
      <c r="H84" s="4"/>
      <c r="I84" s="4"/>
      <c r="J84" s="4"/>
      <c r="K84" s="4"/>
      <c r="L84" s="4"/>
      <c r="M84" s="695">
        <f t="shared" si="0"/>
        <v>4.4478262893028475E-3</v>
      </c>
      <c r="N84" s="694">
        <f t="shared" si="1"/>
        <v>13309.106312885413</v>
      </c>
      <c r="O84" s="1185"/>
      <c r="Q84" s="1176"/>
      <c r="R84" s="1176"/>
    </row>
    <row r="85" spans="1:18" ht="18">
      <c r="A85" s="542" t="s">
        <v>333</v>
      </c>
      <c r="B85" s="1899" t="s">
        <v>1137</v>
      </c>
      <c r="C85" s="1900" t="s">
        <v>921</v>
      </c>
      <c r="D85" s="700">
        <v>19648.305</v>
      </c>
      <c r="E85" s="95">
        <v>20090.530999999999</v>
      </c>
      <c r="F85" s="1768" t="str">
        <f t="shared" si="2"/>
        <v/>
      </c>
      <c r="G85" s="4"/>
      <c r="H85" s="4"/>
      <c r="I85" s="4"/>
      <c r="J85" s="4"/>
      <c r="K85" s="4"/>
      <c r="L85" s="4"/>
      <c r="M85" s="695">
        <f t="shared" si="0"/>
        <v>2.2507081399642193E-2</v>
      </c>
      <c r="N85" s="694">
        <f t="shared" si="1"/>
        <v>1897.5331776182009</v>
      </c>
      <c r="O85" s="1185"/>
      <c r="Q85" s="1176"/>
      <c r="R85" s="1176"/>
    </row>
    <row r="86" spans="1:18" ht="18.75" customHeight="1">
      <c r="A86" s="542" t="s">
        <v>334</v>
      </c>
      <c r="B86" s="1884" t="s">
        <v>922</v>
      </c>
      <c r="C86" s="1885" t="s">
        <v>923</v>
      </c>
      <c r="D86" s="700">
        <v>165344.63099999999</v>
      </c>
      <c r="E86" s="180">
        <v>168049.321</v>
      </c>
      <c r="F86" s="222" t="str">
        <f>IF(E86=0,"Belopp saknas","")</f>
        <v/>
      </c>
      <c r="G86" s="4"/>
      <c r="H86" s="4"/>
      <c r="I86" s="4"/>
      <c r="J86" s="4"/>
      <c r="K86" s="192"/>
      <c r="L86" s="4"/>
      <c r="M86" s="695">
        <f t="shared" si="0"/>
        <v>1.6357894318322241E-2</v>
      </c>
      <c r="N86" s="694">
        <f t="shared" si="1"/>
        <v>15872.112194232748</v>
      </c>
      <c r="O86" s="1185"/>
      <c r="Q86" s="1176"/>
      <c r="R86" s="1176"/>
    </row>
    <row r="87" spans="1:18" ht="15" customHeight="1" thickBot="1">
      <c r="A87" s="546" t="s">
        <v>335</v>
      </c>
      <c r="B87" s="701" t="s">
        <v>660</v>
      </c>
      <c r="C87" s="702"/>
      <c r="D87" s="703">
        <f>SUM(D82:D86)</f>
        <v>485062.02600000001</v>
      </c>
      <c r="E87" s="325">
        <f>SUM(E82:E86)</f>
        <v>484648.72200000001</v>
      </c>
      <c r="F87" s="222"/>
      <c r="G87" s="1319" t="s">
        <v>871</v>
      </c>
      <c r="H87" s="1320"/>
      <c r="I87" s="697" t="s">
        <v>867</v>
      </c>
      <c r="J87" s="274">
        <v>293535.72499999998</v>
      </c>
      <c r="K87" s="135"/>
      <c r="L87" s="4"/>
      <c r="M87" s="696">
        <f t="shared" si="0"/>
        <v>-8.5206422652428504E-4</v>
      </c>
      <c r="N87" s="596">
        <f t="shared" si="1"/>
        <v>45774.650231258696</v>
      </c>
      <c r="O87" s="1185"/>
      <c r="Q87" s="1176"/>
      <c r="R87" s="1176"/>
    </row>
    <row r="88" spans="1:18">
      <c r="A88" s="11"/>
      <c r="B88" s="1"/>
      <c r="C88" s="1"/>
      <c r="D88" s="1"/>
      <c r="E88" s="1"/>
      <c r="F88" s="1160"/>
      <c r="G88" s="1408" t="s">
        <v>872</v>
      </c>
      <c r="H88" s="1315"/>
      <c r="I88" s="1377" t="s">
        <v>869</v>
      </c>
      <c r="J88" s="273">
        <v>205410.285</v>
      </c>
      <c r="K88" s="135" t="str">
        <f>IF(AND(J87=0,J88=0),"",IF(J88="","rad 162: skriv belopp eller 0",IF(SUM(J88)&gt;J87,"Varav-rad 162 &gt; rad 161 ",IF(J88&gt;SUM(E82+E84),"varför är rad 162   " &amp;" "&amp;(ROUND(J88-SUM(E82+E84),0))&amp; "tkr större än summan av raderna 121 och 130 (offentligt ägda bolag)?",""))))</f>
        <v/>
      </c>
      <c r="L88" s="4"/>
      <c r="M88" s="4"/>
      <c r="N88" s="4"/>
      <c r="O88" s="1185"/>
      <c r="Q88" s="136"/>
      <c r="R88" s="136"/>
    </row>
    <row r="89" spans="1:18">
      <c r="A89" s="11"/>
      <c r="B89" s="1"/>
      <c r="C89" s="1"/>
      <c r="D89" s="1"/>
      <c r="E89" s="1"/>
      <c r="F89" s="1160"/>
      <c r="G89" s="1248"/>
      <c r="H89" s="1427"/>
      <c r="I89" s="1176"/>
      <c r="J89" s="1367"/>
      <c r="K89" s="135"/>
      <c r="L89" s="4"/>
      <c r="M89" s="4"/>
      <c r="N89" s="4"/>
      <c r="O89" s="1185"/>
      <c r="Q89" s="136"/>
      <c r="R89" s="136"/>
    </row>
    <row r="90" spans="1:18"/>
    <row r="91" spans="1:18" ht="15" customHeight="1">
      <c r="A91" s="34"/>
      <c r="B91" s="165"/>
      <c r="C91" s="165"/>
      <c r="D91" s="165"/>
      <c r="E91" s="165"/>
      <c r="F91" s="1160"/>
      <c r="G91" s="4"/>
      <c r="H91" s="4"/>
      <c r="I91" s="4"/>
      <c r="J91" s="135"/>
      <c r="K91" s="1579"/>
      <c r="L91" s="308"/>
      <c r="M91" s="4"/>
      <c r="N91" s="4"/>
    </row>
    <row r="92" spans="1:18">
      <c r="A92" s="1248"/>
      <c r="B92" s="140"/>
      <c r="C92" s="140"/>
      <c r="E92" s="1579"/>
      <c r="F92" s="222"/>
      <c r="G92" s="4"/>
      <c r="H92" s="4"/>
      <c r="I92" s="4"/>
      <c r="J92" s="4"/>
      <c r="K92" s="4"/>
      <c r="L92" s="4"/>
      <c r="M92" s="4"/>
      <c r="N92" s="4"/>
      <c r="Q92" s="1176"/>
      <c r="R92" s="1176"/>
    </row>
    <row r="93" spans="1:18">
      <c r="A93" s="2141"/>
      <c r="B93" s="2141"/>
      <c r="C93" s="2141"/>
      <c r="D93" s="2141"/>
      <c r="E93" s="2141"/>
      <c r="F93" s="192"/>
      <c r="G93" s="4"/>
      <c r="H93" s="4"/>
      <c r="I93" s="4"/>
      <c r="J93" s="4"/>
      <c r="K93" s="4"/>
      <c r="L93" s="4"/>
      <c r="M93" s="4"/>
      <c r="N93" s="4"/>
      <c r="Q93" s="163"/>
      <c r="R93" s="163"/>
    </row>
    <row r="94" spans="1:18">
      <c r="A94" s="2141"/>
      <c r="B94" s="2141"/>
      <c r="C94" s="2141"/>
      <c r="D94" s="2141"/>
      <c r="E94" s="2141"/>
      <c r="F94" s="192"/>
      <c r="G94" s="4"/>
      <c r="H94" s="4"/>
      <c r="I94" s="4"/>
      <c r="J94" s="4"/>
      <c r="K94" s="4"/>
      <c r="L94" s="4"/>
      <c r="M94" s="4"/>
      <c r="N94" s="4"/>
    </row>
    <row r="95" spans="1:18">
      <c r="A95" s="2141"/>
      <c r="B95" s="2141"/>
      <c r="C95" s="2141"/>
      <c r="D95" s="2141"/>
      <c r="E95" s="2141"/>
      <c r="F95" s="192"/>
      <c r="G95" s="4"/>
      <c r="H95" s="4"/>
      <c r="I95" s="4"/>
      <c r="J95" s="4"/>
      <c r="K95" s="4"/>
      <c r="L95" s="4"/>
      <c r="M95" s="4"/>
      <c r="N95" s="4"/>
      <c r="P95" s="165"/>
      <c r="Q95" s="163"/>
      <c r="R95" s="163"/>
    </row>
    <row r="96" spans="1:18">
      <c r="A96" s="2141"/>
      <c r="B96" s="2141"/>
      <c r="C96" s="2141"/>
      <c r="D96" s="2141"/>
      <c r="E96" s="2141"/>
      <c r="F96" s="192"/>
      <c r="G96" s="4"/>
      <c r="H96" s="4"/>
      <c r="I96" s="4"/>
      <c r="J96" s="4"/>
      <c r="K96" s="4"/>
      <c r="L96" s="4"/>
      <c r="M96" s="4"/>
      <c r="N96" s="4"/>
      <c r="P96" s="165"/>
      <c r="Q96" s="163"/>
      <c r="R96" s="163"/>
    </row>
    <row r="97" spans="1:18">
      <c r="A97" s="2141"/>
      <c r="B97" s="2141"/>
      <c r="C97" s="2141"/>
      <c r="D97" s="2141"/>
      <c r="E97" s="2141"/>
      <c r="K97" s="4"/>
      <c r="L97" s="4"/>
      <c r="P97" s="165"/>
      <c r="Q97" s="163"/>
      <c r="R97" s="163"/>
    </row>
    <row r="98" spans="1:18">
      <c r="L98" s="4"/>
      <c r="Q98" s="163"/>
      <c r="R98" s="163"/>
    </row>
    <row r="99" spans="1:18"/>
    <row r="102" spans="1:18"/>
    <row r="103" spans="1:18"/>
    <row r="113"/>
    <row r="114"/>
    <row r="115"/>
    <row r="116"/>
    <row r="117"/>
    <row r="118"/>
    <row r="120"/>
    <row r="121"/>
    <row r="122"/>
  </sheetData>
  <customSheetViews>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1"/>
      <headerFooter>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3"/>
      <headerFooter alignWithMargins="0">
        <oddHeader>&amp;L&amp;8Statistiska Centralbyrån
Offentlig ekonomi&amp;R&amp;P</oddHeader>
      </headerFooter>
    </customSheetView>
  </customSheetViews>
  <mergeCells count="6">
    <mergeCell ref="Q78:S79"/>
    <mergeCell ref="B5:B6"/>
    <mergeCell ref="M4:N4"/>
    <mergeCell ref="M43:N43"/>
    <mergeCell ref="T5:T6"/>
    <mergeCell ref="S5:S6"/>
  </mergeCells>
  <phoneticPr fontId="89" type="noConversion"/>
  <conditionalFormatting sqref="D22:D25">
    <cfRule type="cellIs" dxfId="56" priority="23" stopIfTrue="1" operator="lessThan">
      <formula>-500</formula>
    </cfRule>
  </conditionalFormatting>
  <conditionalFormatting sqref="D51:D54">
    <cfRule type="cellIs" dxfId="55" priority="3" stopIfTrue="1" operator="lessThan">
      <formula>-500</formula>
    </cfRule>
  </conditionalFormatting>
  <conditionalFormatting sqref="D56:D62">
    <cfRule type="cellIs" dxfId="54" priority="4" stopIfTrue="1" operator="lessThan">
      <formula>-500</formula>
    </cfRule>
  </conditionalFormatting>
  <conditionalFormatting sqref="D19:E19 E92 E9 D9:D11 E12 J13:K13 D13:D15 J15:K15 E17 D21:E21 J22 J27:K27 D27:D30 E31:E32 D32 E56 D64:D73 J70 K71 E74 E82:E86">
    <cfRule type="cellIs" dxfId="53" priority="25" stopIfTrue="1" operator="lessThan">
      <formula>-500</formula>
    </cfRule>
  </conditionalFormatting>
  <conditionalFormatting sqref="D19:E19">
    <cfRule type="cellIs" dxfId="52" priority="20" stopIfTrue="1" operator="lessThan">
      <formula>0</formula>
    </cfRule>
  </conditionalFormatting>
  <conditionalFormatting sqref="E51">
    <cfRule type="cellIs" dxfId="51" priority="1" stopIfTrue="1" operator="lessThan">
      <formula>-500</formula>
    </cfRule>
  </conditionalFormatting>
  <conditionalFormatting sqref="E92">
    <cfRule type="cellIs" dxfId="50" priority="19" stopIfTrue="1" operator="lessThan">
      <formula>0</formula>
    </cfRule>
  </conditionalFormatting>
  <conditionalFormatting sqref="J24:J26">
    <cfRule type="cellIs" dxfId="49" priority="5" stopIfTrue="1" operator="lessThan">
      <formula>-500</formula>
    </cfRule>
  </conditionalFormatting>
  <conditionalFormatting sqref="J87:J89 K91">
    <cfRule type="cellIs" dxfId="48" priority="18" stopIfTrue="1" operator="lessThan">
      <formula>0</formula>
    </cfRule>
    <cfRule type="cellIs" dxfId="47" priority="22" stopIfTrue="1" operator="lessThan">
      <formula>-500</formula>
    </cfRule>
  </conditionalFormatting>
  <conditionalFormatting sqref="J20:K20">
    <cfRule type="cellIs" dxfId="46" priority="21" stopIfTrue="1" operator="lessThan">
      <formula>-500</formula>
    </cfRule>
  </conditionalFormatting>
  <conditionalFormatting sqref="J55:K56">
    <cfRule type="cellIs" dxfId="45" priority="17" stopIfTrue="1" operator="lessThan">
      <formula>-500</formula>
    </cfRule>
  </conditionalFormatting>
  <conditionalFormatting sqref="J60:K60">
    <cfRule type="cellIs" dxfId="44" priority="14" stopIfTrue="1" operator="lessThan">
      <formula>-500</formula>
    </cfRule>
  </conditionalFormatting>
  <conditionalFormatting sqref="J62:K68">
    <cfRule type="cellIs" dxfId="43" priority="12" stopIfTrue="1" operator="lessThan">
      <formula>-500</formula>
    </cfRule>
  </conditionalFormatting>
  <conditionalFormatting sqref="M24:N24">
    <cfRule type="cellIs" dxfId="42" priority="8" stopIfTrue="1" operator="lessThan">
      <formula>-500</formula>
    </cfRule>
  </conditionalFormatting>
  <dataValidations count="5">
    <dataValidation type="decimal" operator="lessThan" allowBlank="1" showInputMessage="1" showErrorMessage="1" error="Beloppet ska vara i 1000 tal kronor" sqref="D9:E9 E82:E86 J55:K56 J13 J20 E74 J15 D56:D62 E56:E58 J22 D64:D73 D32 E31:E32 D21:E21 D19:E19 E17 D13:D16 E12 D10:D11 D22:D30 K62:K63 K68 K74:K75 J87:J89 E26 E60:E62 J62:J68 M24 J24 E91:E92 J70 K71 D42:E47 D49:D54 E49:E51" xr:uid="{00000000-0002-0000-0200-000000000000}">
      <formula1>999999999</formula1>
    </dataValidation>
    <dataValidation type="decimal" operator="lessThan" allowBlank="1" showInputMessage="1" showErrorMessage="1" error="Beloppet ska vara i 1000-tal kronor" sqref="J60:K60"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2"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6" max="16383" man="1"/>
  </rowBreaks>
  <ignoredErrors>
    <ignoredError sqref="B15:B16 A22:B23 A9:A21 B19 B25 B31 A31:A34 H13 G15:H15 G20:H20 G22 A50 A57:A66 B61:B62 B64:B65 A68:A75 B69 B71:B72 G55:H55 G60 H64:H65 G74:G75 H75 A82:A87 G62:G66 A24:A30 B27:B29"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Normal="100" workbookViewId="0">
      <pane ySplit="1" topLeftCell="A2" activePane="bottomLeft" state="frozen"/>
      <selection activeCell="F36" sqref="F36"/>
      <selection pane="bottomLeft"/>
    </sheetView>
  </sheetViews>
  <sheetFormatPr defaultColWidth="0" defaultRowHeight="0" customHeight="1" zeroHeight="1"/>
  <cols>
    <col min="1" max="1" width="4" style="163" customWidth="1"/>
    <col min="2" max="2" width="14.42578125" style="163" customWidth="1"/>
    <col min="3" max="3" width="40.42578125" style="163" customWidth="1"/>
    <col min="4" max="4" width="11.5703125" style="163" customWidth="1"/>
    <col min="5" max="5" width="26.28515625" style="163" customWidth="1"/>
    <col min="6" max="6" width="4" style="163" customWidth="1"/>
    <col min="7" max="7" width="8.42578125" style="163" customWidth="1"/>
    <col min="8" max="8" width="30.5703125" style="163" customWidth="1"/>
    <col min="9" max="9" width="9.42578125" style="163" customWidth="1"/>
    <col min="10" max="10" width="29.42578125" style="163" customWidth="1"/>
    <col min="11" max="11" width="1.5703125" style="163" customWidth="1"/>
    <col min="12" max="12" width="4.42578125" style="163" customWidth="1"/>
    <col min="13" max="13" width="9.42578125" style="163" customWidth="1"/>
    <col min="14" max="14" width="9.140625" style="163" customWidth="1"/>
    <col min="15" max="15" width="15" style="163" customWidth="1"/>
    <col min="16" max="16" width="1.5703125" style="163" customWidth="1"/>
    <col min="17" max="17" width="3.5703125" style="163" customWidth="1"/>
    <col min="18" max="18" width="13.5703125" style="388" customWidth="1"/>
    <col min="19" max="19" width="4.42578125" style="388" customWidth="1"/>
    <col min="20" max="20" width="8.42578125" style="163" customWidth="1"/>
    <col min="21" max="21" width="8" style="163" customWidth="1"/>
    <col min="22" max="22" width="16" style="163" customWidth="1"/>
    <col min="23" max="25" width="9.42578125" style="163" customWidth="1"/>
    <col min="26" max="16384" width="0" style="163" hidden="1"/>
  </cols>
  <sheetData>
    <row r="1" spans="1:20" s="192" customFormat="1" ht="20.25">
      <c r="A1" s="89" t="str">
        <f>"Verksamhetens intäkter och kostnader "&amp;År&amp;", miljoner kr"</f>
        <v>Verksamhetens intäkter och kostnader 2024, miljoner kr</v>
      </c>
      <c r="B1" s="162"/>
      <c r="C1" s="162"/>
      <c r="D1" s="162"/>
      <c r="E1" s="162"/>
      <c r="F1" s="162"/>
      <c r="G1" s="162"/>
      <c r="H1" s="477"/>
      <c r="I1" s="473" t="s">
        <v>446</v>
      </c>
      <c r="J1" s="474" t="str">
        <f>Information!A2</f>
        <v>RIKSTOTAL</v>
      </c>
      <c r="K1" s="474"/>
      <c r="L1" s="474"/>
      <c r="M1" s="474"/>
      <c r="N1" s="474"/>
      <c r="O1" s="474"/>
      <c r="P1" s="1233"/>
      <c r="Q1" s="163"/>
      <c r="R1" s="163"/>
      <c r="S1" s="163"/>
      <c r="T1" s="163"/>
    </row>
    <row r="2" spans="1:20" s="192" customFormat="1" ht="12.75" customHeight="1">
      <c r="A2" s="2141"/>
      <c r="B2" s="2141"/>
      <c r="C2" s="2141"/>
      <c r="D2" s="2141"/>
      <c r="E2" s="2141"/>
      <c r="F2" s="2141"/>
      <c r="G2" s="2141"/>
      <c r="H2" s="2141"/>
      <c r="I2" s="2141"/>
      <c r="J2" s="2141"/>
      <c r="K2" s="2141"/>
      <c r="L2" s="2141"/>
      <c r="M2" s="2141"/>
      <c r="N2" s="2141"/>
      <c r="O2" s="2141"/>
      <c r="Q2" s="163"/>
      <c r="R2" s="163"/>
      <c r="S2" s="163"/>
      <c r="T2" s="163"/>
    </row>
    <row r="3" spans="1:20" s="192" customFormat="1" ht="12.75" customHeight="1">
      <c r="A3" s="2141"/>
      <c r="B3" s="2141"/>
      <c r="C3" s="2141"/>
      <c r="D3" s="2141"/>
      <c r="E3" s="2141"/>
      <c r="F3" s="2141"/>
      <c r="G3" s="2141"/>
      <c r="H3" s="2141"/>
      <c r="I3" s="2141"/>
      <c r="J3" s="2141"/>
      <c r="K3" s="2141"/>
      <c r="L3" s="2141"/>
      <c r="M3" s="2141"/>
      <c r="N3" s="2141"/>
      <c r="O3" s="2141"/>
      <c r="Q3" s="163"/>
      <c r="R3" s="163"/>
      <c r="S3" s="163"/>
      <c r="T3" s="163"/>
    </row>
    <row r="4" spans="1:20" s="192" customFormat="1" ht="16.5" customHeight="1" thickBot="1">
      <c r="A4" s="70" t="s">
        <v>353</v>
      </c>
      <c r="B4" s="4"/>
      <c r="C4" s="4"/>
      <c r="D4" s="4"/>
      <c r="E4" s="75"/>
      <c r="H4" s="4"/>
      <c r="I4" s="4"/>
      <c r="J4" s="4"/>
      <c r="K4" s="4"/>
      <c r="L4" s="1178" t="str">
        <f>"Kontroller av förändring mellan "&amp;År-1&amp;" och "&amp;År&amp;""</f>
        <v>Kontroller av förändring mellan 2023 och 2024</v>
      </c>
      <c r="O4" s="2141"/>
      <c r="Q4" s="163"/>
      <c r="R4" s="163"/>
      <c r="S4" s="163"/>
      <c r="T4" s="163"/>
    </row>
    <row r="5" spans="1:20" s="192" customFormat="1" ht="12.75" customHeight="1">
      <c r="A5" s="559" t="s">
        <v>603</v>
      </c>
      <c r="B5" s="2057" t="str">
        <f>"BAS "&amp;År-2000&amp;""</f>
        <v>BAS 24</v>
      </c>
      <c r="C5" s="558"/>
      <c r="D5" s="718"/>
      <c r="E5" s="4"/>
      <c r="H5" s="4"/>
      <c r="I5" s="4"/>
      <c r="J5" s="4"/>
      <c r="K5" s="4"/>
      <c r="L5" s="559" t="s">
        <v>603</v>
      </c>
      <c r="M5" s="2194" t="s">
        <v>1244</v>
      </c>
      <c r="N5" s="2203" t="s">
        <v>718</v>
      </c>
      <c r="O5" s="2141"/>
      <c r="P5" s="1234"/>
      <c r="Q5" s="85"/>
      <c r="R5" s="395"/>
      <c r="S5" s="85"/>
      <c r="T5" s="1177"/>
    </row>
    <row r="6" spans="1:20" s="192" customFormat="1" ht="15.75" customHeight="1">
      <c r="A6" s="704" t="s">
        <v>605</v>
      </c>
      <c r="B6" s="2547"/>
      <c r="C6" s="706"/>
      <c r="D6" s="719"/>
      <c r="E6" s="4"/>
      <c r="H6" s="63"/>
      <c r="I6" s="63"/>
      <c r="J6" s="4"/>
      <c r="K6" s="4"/>
      <c r="L6" s="704" t="s">
        <v>605</v>
      </c>
      <c r="M6" s="2195">
        <f>År-1</f>
        <v>2023</v>
      </c>
      <c r="N6" s="2204" t="str">
        <f>År-1&amp;-År</f>
        <v>2023-2024</v>
      </c>
      <c r="O6" s="2141"/>
      <c r="P6" s="1234"/>
      <c r="Q6" s="1423"/>
      <c r="R6" s="1237"/>
      <c r="S6" s="249"/>
      <c r="T6" s="1902"/>
    </row>
    <row r="7" spans="1:20" s="192" customFormat="1" ht="15" customHeight="1">
      <c r="A7" s="707"/>
      <c r="B7" s="2548"/>
      <c r="C7" s="708"/>
      <c r="D7" s="642"/>
      <c r="E7" s="4"/>
      <c r="H7" s="63"/>
      <c r="I7" s="63"/>
      <c r="J7" s="4"/>
      <c r="K7" s="4"/>
      <c r="L7" s="707"/>
      <c r="M7" s="2196"/>
      <c r="N7" s="2205" t="s">
        <v>719</v>
      </c>
      <c r="O7" s="2141"/>
      <c r="P7" s="1234"/>
      <c r="Q7" s="83"/>
      <c r="R7" s="1424"/>
      <c r="S7" s="1211"/>
      <c r="T7" s="1425"/>
    </row>
    <row r="8" spans="1:20" s="192" customFormat="1" ht="12.75" customHeight="1" thickBot="1">
      <c r="A8" s="508">
        <v>130</v>
      </c>
      <c r="B8" s="2054" t="s">
        <v>727</v>
      </c>
      <c r="C8" s="2053" t="s">
        <v>1142</v>
      </c>
      <c r="D8" s="211">
        <v>12029.762000000001</v>
      </c>
      <c r="E8" s="172"/>
      <c r="F8" s="4"/>
      <c r="G8" s="4"/>
      <c r="H8" s="63"/>
      <c r="I8" s="63"/>
      <c r="J8" s="4"/>
      <c r="K8" s="4"/>
      <c r="L8" s="508">
        <v>130</v>
      </c>
      <c r="M8" s="2197">
        <v>11414.755999999999</v>
      </c>
      <c r="N8" s="2206">
        <f>IF(ISERROR((D8-M8)/M8),0,((D8-M8)/M8))</f>
        <v>5.3878155608407335E-2</v>
      </c>
      <c r="O8" s="2141"/>
      <c r="P8" s="1235"/>
      <c r="Q8" s="1237"/>
      <c r="R8" s="1237"/>
      <c r="S8" s="1237"/>
      <c r="T8" s="163"/>
    </row>
    <row r="9" spans="1:20" s="192" customFormat="1" ht="12.75" customHeight="1">
      <c r="A9" s="710">
        <v>200</v>
      </c>
      <c r="B9" s="711">
        <v>311</v>
      </c>
      <c r="C9" s="712" t="s">
        <v>661</v>
      </c>
      <c r="D9" s="170">
        <v>3740.0889999999999</v>
      </c>
      <c r="E9" s="172"/>
      <c r="F9" s="4"/>
      <c r="G9" s="4"/>
      <c r="H9" s="63"/>
      <c r="I9" s="63"/>
      <c r="J9" s="4"/>
      <c r="K9" s="4"/>
      <c r="L9" s="1140"/>
      <c r="M9" s="2198"/>
      <c r="N9" s="2187"/>
      <c r="O9" s="2141"/>
      <c r="P9" s="1235"/>
      <c r="Q9" s="1197"/>
      <c r="R9" s="1197"/>
      <c r="S9" s="1197"/>
      <c r="T9" s="163"/>
    </row>
    <row r="10" spans="1:20" s="192" customFormat="1" ht="12.75" customHeight="1">
      <c r="A10" s="713">
        <v>210</v>
      </c>
      <c r="B10" s="622">
        <v>312</v>
      </c>
      <c r="C10" s="716" t="s">
        <v>1050</v>
      </c>
      <c r="D10" s="170">
        <v>1119.0319999999999</v>
      </c>
      <c r="E10" s="172"/>
      <c r="F10" s="4"/>
      <c r="G10" s="4"/>
      <c r="H10" s="63"/>
      <c r="I10" s="63"/>
      <c r="J10" s="4"/>
      <c r="K10" s="4"/>
      <c r="L10" s="1141"/>
      <c r="M10" s="2199"/>
      <c r="N10" s="2188"/>
      <c r="O10" s="2141"/>
      <c r="P10" s="1235"/>
      <c r="Q10" s="1197"/>
      <c r="R10" s="1197"/>
      <c r="S10" s="1197"/>
      <c r="T10" s="163"/>
    </row>
    <row r="11" spans="1:20" s="192" customFormat="1" ht="12.75" customHeight="1">
      <c r="A11" s="713">
        <v>280</v>
      </c>
      <c r="B11" s="2209">
        <v>313</v>
      </c>
      <c r="C11" s="712" t="s">
        <v>662</v>
      </c>
      <c r="D11" s="170">
        <v>42897.898000000001</v>
      </c>
      <c r="E11" s="172"/>
      <c r="F11" s="4"/>
      <c r="G11" s="4"/>
      <c r="H11" s="63"/>
      <c r="I11" s="63"/>
      <c r="J11" s="4"/>
      <c r="K11" s="4"/>
      <c r="L11" s="710"/>
      <c r="M11" s="2200"/>
      <c r="N11" s="2189"/>
      <c r="O11" s="2141"/>
      <c r="P11" s="1235"/>
      <c r="Q11" s="1197"/>
      <c r="R11" s="1426"/>
      <c r="S11" s="1426"/>
      <c r="T11" s="163"/>
    </row>
    <row r="12" spans="1:20" s="192" customFormat="1" ht="12.75" customHeight="1" thickBot="1">
      <c r="A12" s="714">
        <v>290</v>
      </c>
      <c r="B12" s="2055"/>
      <c r="C12" s="715" t="s">
        <v>663</v>
      </c>
      <c r="D12" s="326">
        <f>SUM(D9:D11)</f>
        <v>47757.019</v>
      </c>
      <c r="E12" s="172"/>
      <c r="F12" s="164"/>
      <c r="G12" s="4"/>
      <c r="H12" s="63"/>
      <c r="I12" s="63"/>
      <c r="J12" s="4"/>
      <c r="K12" s="4"/>
      <c r="L12" s="714">
        <v>290</v>
      </c>
      <c r="M12" s="2201">
        <v>44651.11</v>
      </c>
      <c r="N12" s="2190">
        <f>IF(ISERROR((D12-M12)/M12),0,((D12-M12)/M12))</f>
        <v>6.9559502552120192E-2</v>
      </c>
      <c r="O12" s="2141"/>
      <c r="P12" s="1235"/>
      <c r="Q12" s="1197"/>
      <c r="R12" s="1197"/>
      <c r="S12" s="1197"/>
      <c r="T12" s="163"/>
    </row>
    <row r="13" spans="1:20" s="192" customFormat="1" ht="12.75" customHeight="1">
      <c r="A13" s="512">
        <v>400</v>
      </c>
      <c r="B13" s="507">
        <v>341</v>
      </c>
      <c r="C13" s="716" t="s">
        <v>664</v>
      </c>
      <c r="D13" s="170">
        <v>15592.054</v>
      </c>
      <c r="E13" s="172"/>
      <c r="F13" s="4"/>
      <c r="G13" s="4"/>
      <c r="H13" s="63"/>
      <c r="I13" s="63"/>
      <c r="J13" s="4"/>
      <c r="K13" s="4"/>
      <c r="L13" s="512">
        <v>400</v>
      </c>
      <c r="M13" s="2200">
        <v>14923.293</v>
      </c>
      <c r="N13" s="2189">
        <f>IF(ISERROR((D13-M13)/M13),0,((D13-M13)/M13))</f>
        <v>4.4813232575410832E-2</v>
      </c>
      <c r="O13" s="2141"/>
      <c r="P13" s="1235"/>
      <c r="Q13" s="1237"/>
      <c r="R13" s="1237"/>
      <c r="S13" s="1237"/>
      <c r="T13" s="163"/>
    </row>
    <row r="14" spans="1:20" s="192" customFormat="1" ht="12.75" customHeight="1">
      <c r="A14" s="510">
        <v>420</v>
      </c>
      <c r="B14" s="622">
        <v>342</v>
      </c>
      <c r="C14" s="716" t="s">
        <v>665</v>
      </c>
      <c r="D14" s="170">
        <v>6822.1840000000002</v>
      </c>
      <c r="E14" s="172"/>
      <c r="F14" s="4"/>
      <c r="G14" s="4"/>
      <c r="H14" s="63"/>
      <c r="I14" s="63"/>
      <c r="J14" s="4"/>
      <c r="K14" s="4"/>
      <c r="L14" s="514"/>
      <c r="M14" s="1130"/>
      <c r="N14" s="2192"/>
      <c r="O14" s="2141"/>
      <c r="P14" s="1235"/>
      <c r="Q14" s="1237"/>
      <c r="R14" s="1237"/>
      <c r="S14" s="1237"/>
      <c r="T14" s="163"/>
    </row>
    <row r="15" spans="1:20" s="192" customFormat="1" ht="12.75" customHeight="1">
      <c r="A15" s="510">
        <v>480</v>
      </c>
      <c r="B15" s="622" t="s">
        <v>666</v>
      </c>
      <c r="C15" s="716" t="s">
        <v>728</v>
      </c>
      <c r="D15" s="170">
        <v>2216.078</v>
      </c>
      <c r="E15" s="172"/>
      <c r="G15" s="165"/>
      <c r="H15" s="207"/>
      <c r="I15" s="207"/>
      <c r="J15" s="4"/>
      <c r="K15" s="4"/>
      <c r="L15" s="727"/>
      <c r="M15" s="2199"/>
      <c r="N15" s="2188"/>
      <c r="O15" s="2141"/>
      <c r="P15" s="1235"/>
      <c r="Q15" s="1237"/>
      <c r="R15" s="1237"/>
      <c r="S15" s="1237"/>
      <c r="T15" s="163"/>
    </row>
    <row r="16" spans="1:20" s="192" customFormat="1" ht="12.75" customHeight="1" thickBot="1">
      <c r="A16" s="521">
        <v>490</v>
      </c>
      <c r="B16" s="709"/>
      <c r="C16" s="717" t="s">
        <v>667</v>
      </c>
      <c r="D16" s="326">
        <f>SUM(D13:D15)</f>
        <v>24630.316000000003</v>
      </c>
      <c r="E16" s="172"/>
      <c r="F16" s="71" t="s">
        <v>729</v>
      </c>
      <c r="G16" s="43"/>
      <c r="H16" s="284"/>
      <c r="I16" s="207"/>
      <c r="J16" s="4"/>
      <c r="K16" s="4"/>
      <c r="L16" s="508">
        <v>490</v>
      </c>
      <c r="M16" s="1132">
        <v>23584.455000000002</v>
      </c>
      <c r="N16" s="2193">
        <f>IF(ISERROR((D16-M16)/M16),0,((D16-M16)/M16))</f>
        <v>4.4345353751019508E-2</v>
      </c>
      <c r="O16" s="2141"/>
      <c r="P16" s="1235"/>
      <c r="Q16" s="1237"/>
      <c r="R16" s="1237"/>
      <c r="S16" s="1237"/>
      <c r="T16" s="163"/>
    </row>
    <row r="17" spans="1:22" s="192" customFormat="1" ht="12.75" customHeight="1">
      <c r="A17" s="710">
        <v>500</v>
      </c>
      <c r="B17" s="711">
        <v>351</v>
      </c>
      <c r="C17" s="716" t="s">
        <v>1064</v>
      </c>
      <c r="D17" s="170">
        <v>40380.946000000004</v>
      </c>
      <c r="E17" s="221"/>
      <c r="F17" s="1248"/>
      <c r="G17" s="1248"/>
      <c r="H17" s="1249"/>
      <c r="I17" s="68"/>
      <c r="J17" s="266"/>
      <c r="K17" s="4"/>
      <c r="L17" s="1140"/>
      <c r="M17" s="2198"/>
      <c r="N17" s="2187"/>
      <c r="O17" s="2141"/>
      <c r="P17" s="1235"/>
      <c r="Q17" s="1197"/>
      <c r="R17" s="1197"/>
      <c r="S17" s="1197"/>
      <c r="T17" s="163"/>
    </row>
    <row r="18" spans="1:22" s="192" customFormat="1" ht="12.75" customHeight="1">
      <c r="A18" s="713">
        <v>510</v>
      </c>
      <c r="B18" s="503">
        <v>351</v>
      </c>
      <c r="C18" s="716" t="s">
        <v>1062</v>
      </c>
      <c r="D18" s="170">
        <v>3767.2919999999999</v>
      </c>
      <c r="E18" s="172"/>
      <c r="G18" s="1246"/>
      <c r="H18" s="85"/>
      <c r="I18" s="141"/>
      <c r="J18" s="4"/>
      <c r="K18" s="4"/>
      <c r="L18" s="1141"/>
      <c r="M18" s="2199"/>
      <c r="N18" s="2188"/>
      <c r="O18" s="2141"/>
      <c r="P18" s="1235"/>
      <c r="Q18" s="1197"/>
      <c r="R18" s="1197"/>
      <c r="S18" s="1197"/>
      <c r="T18" s="163"/>
    </row>
    <row r="19" spans="1:22" s="192" customFormat="1" ht="12.75" customHeight="1">
      <c r="A19" s="713">
        <v>520</v>
      </c>
      <c r="B19" s="503">
        <v>351</v>
      </c>
      <c r="C19" s="716" t="s">
        <v>1063</v>
      </c>
      <c r="D19" s="170">
        <v>2115.3409999999999</v>
      </c>
      <c r="E19" s="172" t="str">
        <f>IF((D19-I19)&gt;10000, "Vad ingår på rad 520? Kommentera beloppet", "")</f>
        <v/>
      </c>
      <c r="F19" s="1316" t="s">
        <v>1040</v>
      </c>
      <c r="G19" s="1317" t="s">
        <v>370</v>
      </c>
      <c r="H19" s="1196" t="s">
        <v>1153</v>
      </c>
      <c r="I19" s="272">
        <v>1019.649</v>
      </c>
      <c r="J19" s="1161"/>
      <c r="K19" s="4"/>
      <c r="L19" s="1141"/>
      <c r="M19" s="2199"/>
      <c r="N19" s="2188"/>
      <c r="O19" s="2141"/>
      <c r="P19" s="1235"/>
      <c r="Q19" s="1197"/>
      <c r="R19" s="1197"/>
      <c r="S19" s="1197"/>
      <c r="T19" s="163"/>
    </row>
    <row r="20" spans="1:22" s="192" customFormat="1" ht="12.75" customHeight="1">
      <c r="A20" s="2207">
        <v>521</v>
      </c>
      <c r="B20" s="2210">
        <v>351</v>
      </c>
      <c r="C20" s="2214" t="s">
        <v>1109</v>
      </c>
      <c r="D20" s="170">
        <v>391.97500000000002</v>
      </c>
      <c r="E20" s="172"/>
      <c r="F20" s="1248"/>
      <c r="G20" s="1248"/>
      <c r="H20" s="1176"/>
      <c r="I20" s="1367"/>
      <c r="J20" s="1161"/>
      <c r="K20" s="4"/>
      <c r="L20" s="1141"/>
      <c r="M20" s="2199"/>
      <c r="N20" s="2188"/>
      <c r="O20" s="2141"/>
      <c r="P20" s="1235"/>
      <c r="Q20" s="1197"/>
      <c r="R20" s="1197"/>
      <c r="S20" s="1197"/>
      <c r="T20" s="163"/>
    </row>
    <row r="21" spans="1:22" s="192" customFormat="1" ht="12.75" customHeight="1">
      <c r="A21" s="713">
        <v>525</v>
      </c>
      <c r="B21" s="503">
        <v>354</v>
      </c>
      <c r="C21" s="716" t="s">
        <v>1089</v>
      </c>
      <c r="D21" s="2519">
        <v>5005.4880000000003</v>
      </c>
      <c r="E21" s="172"/>
      <c r="F21" s="1237"/>
      <c r="G21" s="1246"/>
      <c r="H21" s="1247"/>
      <c r="I21" s="141"/>
      <c r="J21" s="4"/>
      <c r="K21" s="4"/>
      <c r="L21" s="710"/>
      <c r="M21" s="2200"/>
      <c r="N21" s="2189"/>
      <c r="O21" s="2141"/>
      <c r="P21" s="1235"/>
      <c r="Q21" s="1197"/>
      <c r="R21" s="1197"/>
      <c r="S21" s="1197"/>
      <c r="T21" s="163"/>
      <c r="V21" s="163"/>
    </row>
    <row r="22" spans="1:22" s="192" customFormat="1" ht="12.75" customHeight="1">
      <c r="A22" s="713">
        <v>527</v>
      </c>
      <c r="B22" s="503">
        <v>356</v>
      </c>
      <c r="C22" s="716" t="s">
        <v>1143</v>
      </c>
      <c r="D22" s="212">
        <v>8527.2860000000001</v>
      </c>
      <c r="E22" s="172" t="str">
        <f>IF(D22="","Ange belopp eller 0","")</f>
        <v/>
      </c>
      <c r="F22" s="4"/>
      <c r="G22" s="63"/>
      <c r="H22" s="63"/>
      <c r="I22" s="63"/>
      <c r="J22" s="4"/>
      <c r="K22" s="4"/>
      <c r="L22" s="713">
        <v>527</v>
      </c>
      <c r="M22" s="2202">
        <v>8091.49</v>
      </c>
      <c r="N22" s="2191">
        <f>IF(ISERROR((D22-M22)/M22),0,((D22-M22)/M22))</f>
        <v>5.3858560042711577E-2</v>
      </c>
      <c r="O22" s="2141"/>
      <c r="P22" s="1235"/>
      <c r="Q22" s="1197"/>
      <c r="R22" s="1197"/>
      <c r="S22" s="1197"/>
      <c r="T22" s="163"/>
      <c r="V22" s="163"/>
    </row>
    <row r="23" spans="1:22" s="192" customFormat="1" ht="12.75" customHeight="1">
      <c r="A23" s="713">
        <v>550</v>
      </c>
      <c r="B23" s="503">
        <v>358</v>
      </c>
      <c r="C23" s="716" t="s">
        <v>187</v>
      </c>
      <c r="D23" s="212">
        <v>709.24</v>
      </c>
      <c r="E23" s="222"/>
      <c r="F23" s="4"/>
      <c r="G23" s="4"/>
      <c r="H23" s="63"/>
      <c r="I23" s="63"/>
      <c r="J23" s="4"/>
      <c r="K23" s="4"/>
      <c r="L23" s="1142"/>
      <c r="M23" s="1130"/>
      <c r="N23" s="2192"/>
      <c r="O23" s="2141"/>
      <c r="P23" s="1235"/>
      <c r="Q23" s="1197"/>
      <c r="R23" s="1197"/>
      <c r="S23" s="1197"/>
      <c r="T23" s="163"/>
      <c r="V23" s="163"/>
    </row>
    <row r="24" spans="1:22" s="192" customFormat="1" ht="12.75" customHeight="1">
      <c r="A24" s="713">
        <v>560</v>
      </c>
      <c r="B24" s="2210">
        <v>357</v>
      </c>
      <c r="C24" s="2215" t="s">
        <v>1051</v>
      </c>
      <c r="D24" s="212">
        <v>661.62900000000002</v>
      </c>
      <c r="E24" s="222"/>
      <c r="F24" s="1248"/>
      <c r="G24" s="2220"/>
      <c r="H24" s="2224"/>
      <c r="I24" s="141"/>
      <c r="J24" s="1179"/>
      <c r="K24" s="4"/>
      <c r="L24" s="710"/>
      <c r="M24" s="2200"/>
      <c r="N24" s="2189"/>
      <c r="O24" s="2141"/>
      <c r="P24" s="1235"/>
      <c r="Q24" s="1197"/>
      <c r="R24" s="1427"/>
      <c r="S24" s="1428"/>
      <c r="T24" s="1429"/>
      <c r="V24" s="1237"/>
    </row>
    <row r="25" spans="1:22" s="192" customFormat="1" ht="12.75" customHeight="1">
      <c r="A25" s="1142">
        <v>570</v>
      </c>
      <c r="B25" s="622" t="s">
        <v>1073</v>
      </c>
      <c r="C25" s="2019" t="s">
        <v>1138</v>
      </c>
      <c r="D25" s="97">
        <v>1654.2260000000001</v>
      </c>
      <c r="E25" s="1972"/>
      <c r="F25" s="1316" t="s">
        <v>1045</v>
      </c>
      <c r="G25" s="1317" t="s">
        <v>1072</v>
      </c>
      <c r="H25" s="1196" t="s">
        <v>1084</v>
      </c>
      <c r="I25" s="2007">
        <v>849.69299999999998</v>
      </c>
      <c r="J25" s="1161" t="str">
        <f>IF(SUM(I25)&gt;D25,"Däravrad 577 &gt; rad 570",IF(D25=0,"",IF(I25="","Skriv belopp eller 0","")))</f>
        <v/>
      </c>
      <c r="K25" s="4"/>
      <c r="L25" s="1141"/>
      <c r="M25" s="2199"/>
      <c r="N25" s="2188"/>
      <c r="O25" s="2141"/>
      <c r="P25" s="1235"/>
      <c r="Q25" s="1197"/>
      <c r="R25" s="1427"/>
      <c r="S25" s="1428"/>
      <c r="T25" s="1429"/>
      <c r="V25" s="1237"/>
    </row>
    <row r="26" spans="1:22" s="192" customFormat="1" ht="12.75" customHeight="1" thickBot="1">
      <c r="A26" s="714">
        <v>590</v>
      </c>
      <c r="B26" s="509"/>
      <c r="C26" s="2042" t="s">
        <v>668</v>
      </c>
      <c r="D26" s="326">
        <f>SUM(D17:D25)</f>
        <v>63213.423000000003</v>
      </c>
      <c r="E26" s="1972" t="str">
        <f>IF(D25=0,"",IF(OR(SUM(D25-I25)&gt;2000,SUM(D25-I25)/D26&gt;2%),"OBS! Kostn.ers./bidrag från stat. myndigheter, t.ex. Migrationsverket eller Skolverket redovisas på rad 500!",""))</f>
        <v/>
      </c>
      <c r="F26" s="4"/>
      <c r="G26" s="43"/>
      <c r="H26" s="63"/>
      <c r="I26" s="63"/>
      <c r="J26" s="4"/>
      <c r="K26" s="4"/>
      <c r="L26" s="714">
        <v>590</v>
      </c>
      <c r="M26" s="2201">
        <v>63347.851999999999</v>
      </c>
      <c r="N26" s="2190">
        <f>IF(ISERROR((D26-M26)/M26),0,((D26-M26)/M26))</f>
        <v>-2.1220766885670637E-3</v>
      </c>
      <c r="O26" s="2141"/>
      <c r="P26" s="1235"/>
      <c r="Q26" s="1197"/>
      <c r="R26" s="1197"/>
      <c r="S26" s="1197"/>
      <c r="T26" s="163"/>
      <c r="V26" s="1237"/>
    </row>
    <row r="27" spans="1:22" s="192" customFormat="1" ht="12.75" customHeight="1">
      <c r="A27" s="512">
        <v>310</v>
      </c>
      <c r="B27" s="507" t="s">
        <v>772</v>
      </c>
      <c r="C27" s="716" t="s">
        <v>1013</v>
      </c>
      <c r="D27" s="212">
        <v>15737.295</v>
      </c>
      <c r="E27" s="222"/>
      <c r="F27" s="1319" t="s">
        <v>778</v>
      </c>
      <c r="G27" s="1320" t="s">
        <v>773</v>
      </c>
      <c r="H27" s="697" t="s">
        <v>730</v>
      </c>
      <c r="I27" s="274">
        <v>15384.358</v>
      </c>
      <c r="J27" s="1161"/>
      <c r="K27" s="4"/>
      <c r="L27" s="1143"/>
      <c r="M27" s="2198"/>
      <c r="N27" s="2187"/>
      <c r="O27" s="2141"/>
      <c r="P27" s="1235"/>
      <c r="Q27" s="1237"/>
      <c r="R27" s="1237"/>
      <c r="S27" s="1237"/>
      <c r="T27" s="1246"/>
      <c r="V27" s="1237"/>
    </row>
    <row r="28" spans="1:22" s="192" customFormat="1" ht="12.75" customHeight="1">
      <c r="A28" s="512">
        <v>320</v>
      </c>
      <c r="B28" s="671" t="s">
        <v>772</v>
      </c>
      <c r="C28" s="716" t="s">
        <v>1042</v>
      </c>
      <c r="D28" s="212">
        <v>503.74400000000003</v>
      </c>
      <c r="E28" s="222"/>
      <c r="F28" s="1912" t="s">
        <v>779</v>
      </c>
      <c r="G28" s="517">
        <v>361</v>
      </c>
      <c r="H28" s="1913" t="s">
        <v>1015</v>
      </c>
      <c r="I28" s="1881">
        <v>452.024</v>
      </c>
      <c r="J28" s="1161"/>
      <c r="K28" s="4"/>
      <c r="L28" s="727"/>
      <c r="M28" s="2199"/>
      <c r="N28" s="2188"/>
      <c r="O28" s="2141"/>
      <c r="P28" s="1235"/>
      <c r="Q28" s="1237"/>
      <c r="R28" s="1237"/>
      <c r="S28" s="1237"/>
      <c r="T28" s="1246"/>
      <c r="V28" s="1237"/>
    </row>
    <row r="29" spans="1:22" s="192" customFormat="1" ht="12.75" customHeight="1">
      <c r="A29" s="512">
        <v>321</v>
      </c>
      <c r="B29" s="671" t="s">
        <v>772</v>
      </c>
      <c r="C29" s="716" t="s">
        <v>1014</v>
      </c>
      <c r="D29" s="212">
        <v>511.25900000000001</v>
      </c>
      <c r="E29" s="222"/>
      <c r="F29" s="2218" t="s">
        <v>1041</v>
      </c>
      <c r="G29" s="2221">
        <v>361</v>
      </c>
      <c r="H29" s="2225" t="s">
        <v>1141</v>
      </c>
      <c r="I29" s="2001">
        <v>367.53899999999999</v>
      </c>
      <c r="J29" s="1161" t="str">
        <f>IF(SUM(I29)&gt;D29,"Däravrad 328 &gt; rad 321",IF(D29=0,"",IF(I29="","Skriv belopp eller 0","")))</f>
        <v/>
      </c>
      <c r="K29" s="4"/>
      <c r="L29" s="727"/>
      <c r="M29" s="2199"/>
      <c r="N29" s="2188"/>
      <c r="O29" s="2141"/>
      <c r="P29" s="1235"/>
      <c r="Q29" s="1237"/>
      <c r="R29" s="1237"/>
      <c r="S29" s="1237"/>
      <c r="T29" s="1246"/>
      <c r="V29" s="163"/>
    </row>
    <row r="30" spans="1:22" s="192" customFormat="1" ht="12.75" customHeight="1">
      <c r="A30" s="510">
        <v>380</v>
      </c>
      <c r="B30" s="1318" t="s">
        <v>763</v>
      </c>
      <c r="C30" s="716" t="s">
        <v>1144</v>
      </c>
      <c r="D30" s="212">
        <v>5429.3819999999996</v>
      </c>
      <c r="E30" s="222"/>
      <c r="F30" s="1409" t="s">
        <v>1081</v>
      </c>
      <c r="G30" s="2020">
        <v>365</v>
      </c>
      <c r="H30" s="2021" t="s">
        <v>1074</v>
      </c>
      <c r="I30" s="2002">
        <v>203.75299999999999</v>
      </c>
      <c r="J30" s="1179" t="str">
        <f>IF(SUM(I30)&gt;D30,"Däravrad 329 &gt; rad 380",IF(D30=0,"",IF(I30="","Skriv belopp eller 0","")))</f>
        <v/>
      </c>
      <c r="K30" s="4"/>
      <c r="L30" s="512"/>
      <c r="M30" s="2200"/>
      <c r="N30" s="2189"/>
      <c r="O30" s="2141"/>
      <c r="P30" s="1235"/>
      <c r="Q30" s="1237"/>
      <c r="R30" s="1237"/>
      <c r="S30" s="1237"/>
      <c r="T30" s="163"/>
    </row>
    <row r="31" spans="1:22" s="192" customFormat="1" ht="12.75" customHeight="1" thickBot="1">
      <c r="A31" s="514">
        <v>390</v>
      </c>
      <c r="B31" s="504"/>
      <c r="C31" s="2216" t="s">
        <v>732</v>
      </c>
      <c r="D31" s="327">
        <f>SUM(D27:D30)</f>
        <v>22181.68</v>
      </c>
      <c r="E31" s="222"/>
      <c r="F31" s="2219"/>
      <c r="G31" s="2222"/>
      <c r="H31" s="2226"/>
      <c r="I31" s="2000"/>
      <c r="J31" s="4"/>
      <c r="K31" s="4"/>
      <c r="L31" s="521">
        <v>390</v>
      </c>
      <c r="M31" s="2201">
        <v>21176.502</v>
      </c>
      <c r="N31" s="2190">
        <f>IF(ISERROR((D31-M31)/M31),0,((D31-M31)/M31))</f>
        <v>4.7466668479997302E-2</v>
      </c>
      <c r="O31" s="2141"/>
      <c r="P31" s="1235"/>
      <c r="Q31" s="1237"/>
      <c r="R31" s="1237"/>
      <c r="S31" s="1237"/>
      <c r="T31" s="163"/>
    </row>
    <row r="32" spans="1:22" s="192" customFormat="1" ht="12.75" customHeight="1" thickBot="1">
      <c r="A32" s="501">
        <v>891</v>
      </c>
      <c r="B32" s="2211">
        <v>37</v>
      </c>
      <c r="C32" s="2023" t="s">
        <v>1075</v>
      </c>
      <c r="D32" s="213">
        <v>7763.5029999999997</v>
      </c>
      <c r="E32" s="222"/>
      <c r="F32" s="1316" t="s">
        <v>225</v>
      </c>
      <c r="G32" s="2022">
        <v>373</v>
      </c>
      <c r="H32" s="889" t="s">
        <v>1078</v>
      </c>
      <c r="I32" s="1968">
        <v>1994.9870000000001</v>
      </c>
      <c r="J32" s="1179" t="str">
        <f>IF(SUM(I32)&gt;D32,"Däravrad 330 &gt; rad 891",IF(D32=0,"",IF(I32="","Skriv belopp eller 0","")))</f>
        <v/>
      </c>
      <c r="K32" s="4"/>
      <c r="L32" s="1143"/>
      <c r="M32" s="2198"/>
      <c r="N32" s="2187"/>
      <c r="O32" s="2141"/>
      <c r="P32" s="1235"/>
      <c r="Q32" s="1427"/>
      <c r="R32" s="1430"/>
      <c r="S32" s="1430"/>
      <c r="T32" s="163"/>
    </row>
    <row r="33" spans="1:25" s="192" customFormat="1" ht="12.75" customHeight="1">
      <c r="A33" s="502">
        <v>892</v>
      </c>
      <c r="B33" s="2032">
        <v>38</v>
      </c>
      <c r="C33" s="716" t="s">
        <v>862</v>
      </c>
      <c r="D33" s="213">
        <v>1684.4269999999999</v>
      </c>
      <c r="E33" s="222"/>
      <c r="F33" s="1999"/>
      <c r="G33" s="1999"/>
      <c r="H33" s="1998"/>
      <c r="I33" s="63"/>
      <c r="J33" s="4"/>
      <c r="K33" s="4"/>
      <c r="L33" s="727"/>
      <c r="M33" s="2199"/>
      <c r="N33" s="2188"/>
      <c r="O33" s="2141"/>
      <c r="P33" s="1235"/>
      <c r="Q33" s="1427"/>
      <c r="R33" s="1431"/>
      <c r="S33" s="1431"/>
      <c r="T33" s="163"/>
    </row>
    <row r="34" spans="1:25" s="192" customFormat="1" ht="12.75" customHeight="1" thickBot="1">
      <c r="A34" s="500">
        <v>894</v>
      </c>
      <c r="B34" s="509"/>
      <c r="C34" s="505" t="s">
        <v>442</v>
      </c>
      <c r="D34" s="286">
        <v>6.0449999999999999</v>
      </c>
      <c r="E34" s="222" t="str">
        <f>IF(D34&lt;50,"","Vad avser övr.periodiseringar?")</f>
        <v/>
      </c>
      <c r="F34" s="2141"/>
      <c r="G34" s="2141"/>
      <c r="H34" s="2141"/>
      <c r="I34" s="2141"/>
      <c r="J34" s="2141"/>
      <c r="K34" s="4"/>
      <c r="L34" s="727"/>
      <c r="M34" s="2199"/>
      <c r="N34" s="2188"/>
      <c r="O34" s="2141"/>
      <c r="P34" s="1235"/>
      <c r="Q34" s="1427"/>
      <c r="R34" s="1237"/>
      <c r="S34" s="1237"/>
      <c r="T34" s="163"/>
    </row>
    <row r="35" spans="1:25" s="192" customFormat="1" ht="16.5" customHeight="1" thickBot="1">
      <c r="A35" s="506">
        <v>886</v>
      </c>
      <c r="B35" s="507"/>
      <c r="C35" s="2056" t="s">
        <v>1139</v>
      </c>
      <c r="D35" s="328">
        <f>SUM(D8+D12+D16+D26+D31+D32+D33+D34)</f>
        <v>179266.17500000002</v>
      </c>
      <c r="E35" s="1880"/>
      <c r="F35" s="2141"/>
      <c r="G35" s="2141"/>
      <c r="H35" s="2141"/>
      <c r="I35" s="2141"/>
      <c r="J35" s="2141"/>
      <c r="K35" s="4"/>
      <c r="L35" s="508"/>
      <c r="M35" s="1132"/>
      <c r="N35" s="2193"/>
      <c r="O35" s="2141"/>
      <c r="P35" s="1235"/>
      <c r="Q35" s="1237"/>
      <c r="R35" s="1237"/>
      <c r="S35" s="1237"/>
      <c r="T35" s="163"/>
    </row>
    <row r="36" spans="1:25" s="192" customFormat="1" ht="13.5" thickBot="1">
      <c r="A36" s="508">
        <v>896</v>
      </c>
      <c r="B36" s="509"/>
      <c r="C36" s="565" t="s">
        <v>89</v>
      </c>
      <c r="D36" s="287">
        <f>RR!C7</f>
        <v>179266.177</v>
      </c>
      <c r="F36" s="2141"/>
      <c r="G36" s="2141"/>
      <c r="H36" s="2141"/>
      <c r="I36" s="2141"/>
      <c r="J36" s="2141"/>
      <c r="K36" s="4"/>
      <c r="M36" s="17"/>
      <c r="N36" s="163"/>
      <c r="O36" s="2141"/>
      <c r="Q36" s="1237"/>
      <c r="R36" s="1197"/>
      <c r="S36" s="1197"/>
      <c r="T36" s="163"/>
    </row>
    <row r="37" spans="1:25" s="192" customFormat="1" ht="45" customHeight="1" thickBot="1">
      <c r="A37" s="1882" t="s">
        <v>354</v>
      </c>
      <c r="B37" s="4"/>
      <c r="C37" s="4"/>
      <c r="D37" s="1920" t="str">
        <f>IF(ABS(D35-D36)&lt;50,"",IF(OR(D35=0,D36=0),"",IF((SUM(D35)/(D36))&lt;&gt;1,(ROUND(D35-D36,0))&amp;" Mnkr diff. mellan verks. intäkter i RR och verks.intäkter här - måste rättas!","")))</f>
        <v/>
      </c>
      <c r="E37" s="222"/>
      <c r="F37" s="164"/>
      <c r="G37" s="165"/>
      <c r="H37" s="207"/>
      <c r="I37" s="63"/>
      <c r="J37" s="4"/>
      <c r="K37" s="4"/>
      <c r="L37" s="1178" t="str">
        <f>"Kontroller av förändring mellan "&amp;År-1&amp;" och "&amp;År&amp;""</f>
        <v>Kontroller av förändring mellan 2023 och 2024</v>
      </c>
      <c r="N37" s="2160"/>
      <c r="O37" s="2141"/>
      <c r="Q37" s="163"/>
      <c r="R37" s="163"/>
      <c r="S37" s="163"/>
      <c r="T37" s="163"/>
    </row>
    <row r="38" spans="1:25" s="192" customFormat="1" ht="45" customHeight="1" thickBot="1">
      <c r="A38" s="2060" t="s">
        <v>941</v>
      </c>
      <c r="B38" s="2057" t="str">
        <f>"BAS "&amp;År-2000&amp;""</f>
        <v>BAS 24</v>
      </c>
      <c r="C38" s="2058"/>
      <c r="D38" s="718"/>
      <c r="E38" s="222"/>
      <c r="F38" s="71" t="s">
        <v>717</v>
      </c>
      <c r="G38" s="198"/>
      <c r="H38" s="199"/>
      <c r="I38" s="209"/>
      <c r="J38" s="174"/>
      <c r="K38" s="174"/>
      <c r="L38" s="2073" t="s">
        <v>941</v>
      </c>
      <c r="M38" s="2072" t="str">
        <f>"Värde Mnkr "&amp;År-1&amp;""</f>
        <v>Värde Mnkr 2023</v>
      </c>
      <c r="N38" s="2185" t="str">
        <f>"Förändring "&amp;År-1&amp;" - "&amp;År&amp;" procent"</f>
        <v>Förändring 2023 - 2024 procent</v>
      </c>
      <c r="O38" s="2141"/>
      <c r="P38" s="1234"/>
      <c r="Q38" s="85"/>
      <c r="R38" s="1238"/>
      <c r="S38" s="85"/>
      <c r="T38" s="1177"/>
      <c r="U38" s="191"/>
      <c r="V38" s="191"/>
      <c r="W38" s="191"/>
      <c r="X38" s="191"/>
      <c r="Y38" s="191"/>
    </row>
    <row r="39" spans="1:25" s="191" customFormat="1" ht="13.5" hidden="1" thickBot="1">
      <c r="A39" s="723" t="s">
        <v>605</v>
      </c>
      <c r="B39" s="2030"/>
      <c r="C39" s="725"/>
      <c r="D39" s="719"/>
      <c r="E39" s="222"/>
      <c r="F39" s="200"/>
      <c r="G39" s="6"/>
      <c r="H39" s="1888"/>
      <c r="I39" s="207"/>
      <c r="J39" s="174"/>
      <c r="K39" s="174"/>
      <c r="L39" s="728" t="s">
        <v>605</v>
      </c>
      <c r="M39" s="729">
        <f>År-1</f>
        <v>2023</v>
      </c>
      <c r="N39" s="2186" t="str">
        <f>År-1&amp;-År</f>
        <v>2023-2024</v>
      </c>
      <c r="O39" s="2141"/>
      <c r="P39" s="1234"/>
      <c r="Q39" s="249"/>
      <c r="R39" s="1247"/>
      <c r="S39" s="1211"/>
      <c r="T39" s="1425"/>
    </row>
    <row r="40" spans="1:25" s="192" customFormat="1" ht="12.75" customHeight="1" thickBot="1">
      <c r="A40" s="727">
        <v>600</v>
      </c>
      <c r="B40" s="2059">
        <v>451</v>
      </c>
      <c r="C40" s="1894" t="s">
        <v>669</v>
      </c>
      <c r="D40" s="1368">
        <v>12323.029</v>
      </c>
      <c r="E40" s="222"/>
      <c r="F40" s="658">
        <v>602</v>
      </c>
      <c r="G40" s="659">
        <v>4513</v>
      </c>
      <c r="H40" s="660" t="s">
        <v>150</v>
      </c>
      <c r="I40" s="2036">
        <v>102.91800000000001</v>
      </c>
      <c r="J40" s="135"/>
      <c r="K40" s="135"/>
      <c r="L40" s="1143"/>
      <c r="M40" s="1139"/>
      <c r="N40" s="2187"/>
      <c r="O40" s="2141"/>
      <c r="P40" s="1232"/>
      <c r="Q40" s="1237"/>
      <c r="R40" s="1246"/>
      <c r="S40" s="1246"/>
      <c r="T40" s="1237"/>
    </row>
    <row r="41" spans="1:25" s="192" customFormat="1" ht="12.75">
      <c r="A41" s="519">
        <v>610</v>
      </c>
      <c r="B41" s="520">
        <v>452</v>
      </c>
      <c r="C41" s="513" t="s">
        <v>670</v>
      </c>
      <c r="D41" s="95">
        <v>1073.702</v>
      </c>
      <c r="E41" s="222"/>
      <c r="F41" s="730">
        <v>630</v>
      </c>
      <c r="G41" s="731">
        <v>4538</v>
      </c>
      <c r="H41" s="2227" t="s">
        <v>1091</v>
      </c>
      <c r="I41" s="1187">
        <v>4596.5010000000002</v>
      </c>
      <c r="J41" s="278"/>
      <c r="K41" s="278"/>
      <c r="L41" s="727"/>
      <c r="M41" s="705"/>
      <c r="N41" s="2188"/>
      <c r="O41" s="2141"/>
      <c r="P41" s="1232"/>
      <c r="Q41" s="1237"/>
      <c r="R41" s="1246"/>
      <c r="S41" s="1246"/>
      <c r="T41" s="1237"/>
    </row>
    <row r="42" spans="1:25" s="192" customFormat="1" ht="18" customHeight="1" thickBot="1">
      <c r="A42" s="519">
        <v>620</v>
      </c>
      <c r="B42" s="517">
        <v>453</v>
      </c>
      <c r="C42" s="2173" t="s">
        <v>1090</v>
      </c>
      <c r="D42" s="171">
        <v>15145.081</v>
      </c>
      <c r="E42" s="222"/>
      <c r="F42" s="536">
        <v>631</v>
      </c>
      <c r="G42" s="1686" t="s">
        <v>966</v>
      </c>
      <c r="H42" s="1906" t="s">
        <v>970</v>
      </c>
      <c r="I42" s="220">
        <v>2035.673</v>
      </c>
      <c r="J42" s="135"/>
      <c r="K42" s="135"/>
      <c r="L42" s="512"/>
      <c r="M42" s="720"/>
      <c r="N42" s="2189"/>
      <c r="O42" s="2141"/>
      <c r="P42" s="1232"/>
      <c r="Q42" s="1237"/>
      <c r="R42" s="1246"/>
      <c r="S42" s="1246"/>
      <c r="T42" s="1237"/>
    </row>
    <row r="43" spans="1:25" s="192" customFormat="1" ht="12.75" customHeight="1">
      <c r="A43" s="622">
        <v>650</v>
      </c>
      <c r="B43" s="517">
        <v>454</v>
      </c>
      <c r="C43" s="518" t="s">
        <v>889</v>
      </c>
      <c r="D43" s="171">
        <v>1626.479</v>
      </c>
      <c r="E43" s="222"/>
      <c r="F43" s="1325" t="s">
        <v>777</v>
      </c>
      <c r="G43" s="1326" t="s">
        <v>731</v>
      </c>
      <c r="H43" s="1245" t="s">
        <v>890</v>
      </c>
      <c r="I43" s="1187">
        <v>1307.03</v>
      </c>
      <c r="J43" s="2079"/>
      <c r="K43" s="135"/>
      <c r="L43" s="727"/>
      <c r="M43" s="705"/>
      <c r="N43" s="2188"/>
      <c r="O43" s="2141"/>
      <c r="P43" s="1232"/>
      <c r="Q43" s="1237"/>
      <c r="R43" s="1246"/>
      <c r="S43" s="1246"/>
      <c r="T43" s="1237"/>
    </row>
    <row r="44" spans="1:25" s="192" customFormat="1" ht="13.5" thickBot="1">
      <c r="A44" s="508">
        <v>690</v>
      </c>
      <c r="B44" s="522"/>
      <c r="C44" s="499" t="s">
        <v>733</v>
      </c>
      <c r="D44" s="329">
        <f>SUM(D40,D41,D42,D43)</f>
        <v>30168.290999999997</v>
      </c>
      <c r="E44" s="222"/>
      <c r="F44" s="1327">
        <v>652</v>
      </c>
      <c r="G44" s="1328">
        <v>4542</v>
      </c>
      <c r="H44" s="1255" t="s">
        <v>891</v>
      </c>
      <c r="I44" s="1188">
        <v>312.45100000000002</v>
      </c>
      <c r="J44" s="2079"/>
      <c r="L44" s="521">
        <v>690</v>
      </c>
      <c r="M44" s="1134">
        <v>28997.053</v>
      </c>
      <c r="N44" s="2190">
        <f>IF(ISERROR((D44-M44)/M44),0,((D44-M44)/M44))</f>
        <v>4.0391621865849527E-2</v>
      </c>
      <c r="O44" s="2141"/>
      <c r="P44" s="1236"/>
      <c r="Q44" s="1237"/>
      <c r="R44" s="1238"/>
      <c r="S44" s="1246"/>
      <c r="T44" s="1237"/>
      <c r="V44" s="1231"/>
    </row>
    <row r="45" spans="1:25" s="192" customFormat="1" ht="23.25" customHeight="1">
      <c r="A45" s="523">
        <v>100</v>
      </c>
      <c r="B45" s="1322" t="s">
        <v>1052</v>
      </c>
      <c r="C45" s="525" t="s">
        <v>671</v>
      </c>
      <c r="D45" s="95">
        <v>333595.94099999999</v>
      </c>
      <c r="E45" s="222"/>
      <c r="F45" s="1189">
        <v>102</v>
      </c>
      <c r="G45" s="1190">
        <v>512</v>
      </c>
      <c r="H45" s="1191" t="s">
        <v>151</v>
      </c>
      <c r="I45" s="1192">
        <v>7041.5429999999997</v>
      </c>
      <c r="J45" s="135"/>
      <c r="K45" s="135"/>
      <c r="L45" s="710">
        <v>100</v>
      </c>
      <c r="M45" s="1133">
        <v>323333.21000000002</v>
      </c>
      <c r="N45" s="2189">
        <f>IF(ISERROR((D45-M45)/M45),0,((D45-M45)/M45))</f>
        <v>3.1740417261808554E-2</v>
      </c>
      <c r="O45" s="2141"/>
      <c r="P45" s="1232"/>
      <c r="Q45" s="1197"/>
      <c r="R45" s="1903"/>
      <c r="S45" s="1432"/>
      <c r="T45" s="1237"/>
    </row>
    <row r="46" spans="1:25" s="192" customFormat="1" ht="21" customHeight="1">
      <c r="A46" s="510">
        <v>110</v>
      </c>
      <c r="B46" s="1922" t="s">
        <v>1053</v>
      </c>
      <c r="C46" s="511" t="str">
        <f>"Sociala avg. enl. lag o. avtal (inkl. lönesk för "&amp;År&amp;"), exkl särskild löneskatt på avsättning för pensioner"</f>
        <v>Sociala avg. enl. lag o. avtal (inkl. lönesk för 2024), exkl särskild löneskatt på avsättning för pensioner</v>
      </c>
      <c r="D46" s="293">
        <v>114321.868</v>
      </c>
      <c r="E46" s="222"/>
      <c r="F46" s="538">
        <v>111</v>
      </c>
      <c r="G46" s="1174" t="s">
        <v>724</v>
      </c>
      <c r="H46" s="539" t="s">
        <v>1163</v>
      </c>
      <c r="I46" s="276">
        <v>10352.314</v>
      </c>
      <c r="J46" s="135"/>
      <c r="K46" s="135"/>
      <c r="L46" s="1141"/>
      <c r="M46" s="988"/>
      <c r="N46" s="2188"/>
      <c r="O46" s="2141"/>
      <c r="P46" s="1232"/>
      <c r="Q46" s="1197"/>
      <c r="R46" s="1925"/>
      <c r="S46" s="1432"/>
      <c r="T46" s="1237"/>
    </row>
    <row r="47" spans="1:25" s="192" customFormat="1" ht="13.5" customHeight="1">
      <c r="A47" s="1982">
        <v>103</v>
      </c>
      <c r="B47" s="1926">
        <v>591</v>
      </c>
      <c r="C47" s="513" t="s">
        <v>1145</v>
      </c>
      <c r="D47" s="95">
        <v>-1731.0509999999999</v>
      </c>
      <c r="E47" s="222"/>
      <c r="F47" s="1928"/>
      <c r="G47" s="1929"/>
      <c r="H47" s="1930"/>
      <c r="I47" s="1960"/>
      <c r="J47" s="135"/>
      <c r="K47" s="135"/>
      <c r="L47" s="1141"/>
      <c r="M47" s="988"/>
      <c r="N47" s="2188"/>
      <c r="O47" s="2141"/>
      <c r="P47" s="1232"/>
      <c r="Q47" s="1197"/>
      <c r="R47" s="1925"/>
      <c r="S47" s="1432"/>
      <c r="T47" s="1237"/>
    </row>
    <row r="48" spans="1:25" s="192" customFormat="1" ht="13.5" customHeight="1">
      <c r="A48" s="2142">
        <v>104</v>
      </c>
      <c r="B48" s="2212" t="s">
        <v>1202</v>
      </c>
      <c r="C48" s="2217" t="s">
        <v>1203</v>
      </c>
      <c r="D48" s="95">
        <v>-106.78</v>
      </c>
      <c r="E48" s="222"/>
      <c r="F48" s="1237"/>
      <c r="G48" s="2080"/>
      <c r="H48" s="1247"/>
      <c r="I48" s="29"/>
      <c r="J48" s="135"/>
      <c r="K48" s="135"/>
      <c r="L48" s="1141"/>
      <c r="M48" s="988"/>
      <c r="N48" s="2188"/>
      <c r="O48" s="2141"/>
      <c r="P48" s="1232"/>
      <c r="Q48" s="1197"/>
      <c r="R48" s="2080"/>
      <c r="S48" s="1432"/>
      <c r="T48" s="1237"/>
    </row>
    <row r="49" spans="1:20" s="192" customFormat="1" ht="12.75" customHeight="1">
      <c r="A49" s="512">
        <v>115</v>
      </c>
      <c r="B49" s="1923" t="s">
        <v>1054</v>
      </c>
      <c r="C49" s="513" t="s">
        <v>1146</v>
      </c>
      <c r="D49" s="95">
        <v>14669.683999999999</v>
      </c>
      <c r="E49" s="222" t="str">
        <f>IF(ABS(D49-Drift!P119)&gt;50,"beloppet avviker med" &amp;" "&amp;(ROUND(D49-Drift!P119,0))&amp;" tkr från beloppet på rad 980 i driften - rätta eller kommentera","")</f>
        <v/>
      </c>
      <c r="F49" s="1931"/>
      <c r="G49" s="1932"/>
      <c r="H49" s="1933"/>
      <c r="I49" s="1927"/>
      <c r="J49" s="135"/>
      <c r="L49" s="512">
        <v>115</v>
      </c>
      <c r="M49" s="1133">
        <v>8279.9220000000005</v>
      </c>
      <c r="N49" s="2189">
        <f>IF(ISERROR((D49-M49)/M49),0,((D49-M49)/M49))</f>
        <v>0.77171765627743816</v>
      </c>
      <c r="O49" s="2141"/>
      <c r="P49" s="1232"/>
      <c r="Q49" s="1237"/>
      <c r="R49" s="1237"/>
      <c r="S49" s="1237"/>
      <c r="T49" s="1237"/>
    </row>
    <row r="50" spans="1:20" s="192" customFormat="1" ht="13.5" customHeight="1">
      <c r="A50" s="514">
        <v>120</v>
      </c>
      <c r="B50" s="515">
        <v>573</v>
      </c>
      <c r="C50" s="513" t="s">
        <v>884</v>
      </c>
      <c r="D50" s="215">
        <v>12763.734</v>
      </c>
      <c r="E50" s="222"/>
      <c r="F50" s="658">
        <v>121</v>
      </c>
      <c r="G50" s="659" t="s">
        <v>535</v>
      </c>
      <c r="H50" s="697" t="s">
        <v>766</v>
      </c>
      <c r="I50" s="274">
        <v>1995.098</v>
      </c>
      <c r="J50" s="1161"/>
      <c r="L50" s="510">
        <v>120</v>
      </c>
      <c r="M50" s="1127">
        <v>11543.96</v>
      </c>
      <c r="N50" s="2191">
        <f>IF(ISERROR((D50-M50)/M50),0,((D50-M50)/M50))</f>
        <v>0.10566339453705673</v>
      </c>
      <c r="O50" s="2141"/>
      <c r="P50" s="1235"/>
      <c r="Q50" s="1237"/>
      <c r="R50" s="1246"/>
      <c r="S50" s="1246"/>
      <c r="T50" s="1237"/>
    </row>
    <row r="51" spans="1:20" s="192" customFormat="1" ht="12.75">
      <c r="A51" s="514">
        <v>180</v>
      </c>
      <c r="B51" s="517">
        <v>571</v>
      </c>
      <c r="C51" s="513" t="s">
        <v>734</v>
      </c>
      <c r="D51" s="171">
        <v>7783.3850000000002</v>
      </c>
      <c r="E51" s="222"/>
      <c r="F51" s="661">
        <v>122</v>
      </c>
      <c r="G51" s="623" t="s">
        <v>536</v>
      </c>
      <c r="H51" s="699" t="s">
        <v>1154</v>
      </c>
      <c r="I51" s="275">
        <v>10555.174000000001</v>
      </c>
      <c r="J51" s="1865"/>
      <c r="K51" s="4"/>
      <c r="L51" s="514"/>
      <c r="M51" s="997"/>
      <c r="N51" s="2192"/>
      <c r="O51" s="2141"/>
      <c r="P51" s="1232"/>
      <c r="Q51" s="1237"/>
      <c r="R51" s="1246"/>
      <c r="S51" s="1246"/>
      <c r="T51" s="1237"/>
    </row>
    <row r="52" spans="1:20" s="192" customFormat="1" ht="12.75">
      <c r="A52" s="519">
        <v>186</v>
      </c>
      <c r="B52" s="520">
        <v>574</v>
      </c>
      <c r="C52" s="513" t="s">
        <v>3</v>
      </c>
      <c r="D52" s="95">
        <v>108.59699999999999</v>
      </c>
      <c r="E52" s="222"/>
      <c r="F52" s="663">
        <v>123</v>
      </c>
      <c r="G52" s="734">
        <v>5733</v>
      </c>
      <c r="H52" s="537" t="s">
        <v>1155</v>
      </c>
      <c r="I52" s="276">
        <v>213.45400000000001</v>
      </c>
      <c r="J52" s="1865" t="str">
        <f>IF(I52="","Ange belopp eller 0",IF((SUM(I50:I52)-D50)&gt;1,"Däravraderna 121+122+123 &gt; rad 120",""))</f>
        <v/>
      </c>
      <c r="K52" s="150"/>
      <c r="L52" s="727"/>
      <c r="M52" s="988"/>
      <c r="N52" s="2188"/>
      <c r="O52" s="2141"/>
      <c r="P52" s="1232"/>
      <c r="Q52" s="1237"/>
      <c r="R52" s="1246"/>
      <c r="S52" s="1246"/>
      <c r="T52" s="1237"/>
    </row>
    <row r="53" spans="1:20" s="192" customFormat="1" ht="12.75">
      <c r="A53" s="519">
        <v>185</v>
      </c>
      <c r="B53" s="517">
        <v>575</v>
      </c>
      <c r="C53" s="518" t="str">
        <f>"Pensionskostnad, avgiftsbestämd ålderspension"</f>
        <v>Pensionskostnad, avgiftsbestämd ålderspension</v>
      </c>
      <c r="D53" s="171">
        <v>22906.182000000001</v>
      </c>
      <c r="E53" s="1844"/>
      <c r="F53" s="4"/>
      <c r="G53" s="4"/>
      <c r="H53" s="63"/>
      <c r="K53" s="4"/>
      <c r="L53" s="727"/>
      <c r="M53" s="988"/>
      <c r="N53" s="2188"/>
      <c r="O53" s="2141"/>
      <c r="P53" s="1232"/>
      <c r="Q53" s="1237"/>
      <c r="R53" s="1246"/>
      <c r="S53" s="1246"/>
      <c r="T53" s="163"/>
    </row>
    <row r="54" spans="1:20" s="192" customFormat="1" ht="13.5" thickBot="1">
      <c r="A54" s="521">
        <v>189</v>
      </c>
      <c r="B54" s="522"/>
      <c r="C54" s="499" t="s">
        <v>672</v>
      </c>
      <c r="D54" s="329">
        <f>SUM(D45:D53)</f>
        <v>504311.56000000006</v>
      </c>
      <c r="E54" s="222"/>
      <c r="F54" s="4"/>
      <c r="G54" s="4"/>
      <c r="H54" s="63"/>
      <c r="I54" s="63"/>
      <c r="L54" s="521"/>
      <c r="M54" s="1134"/>
      <c r="N54" s="2190"/>
      <c r="O54" s="2141"/>
      <c r="P54" s="1236"/>
      <c r="Q54" s="1237"/>
      <c r="R54" s="1238"/>
      <c r="S54" s="1238"/>
      <c r="T54" s="163"/>
    </row>
    <row r="55" spans="1:20" s="192" customFormat="1" ht="12.75">
      <c r="A55" s="523">
        <v>300</v>
      </c>
      <c r="B55" s="520" t="s">
        <v>762</v>
      </c>
      <c r="C55" s="513" t="s">
        <v>1147</v>
      </c>
      <c r="D55" s="95">
        <v>12312.721</v>
      </c>
      <c r="E55" s="222"/>
      <c r="F55" s="655">
        <v>318</v>
      </c>
      <c r="G55" s="732">
        <v>628</v>
      </c>
      <c r="H55" s="733" t="s">
        <v>152</v>
      </c>
      <c r="I55" s="219">
        <v>802.976</v>
      </c>
      <c r="J55" s="135" t="str">
        <f>IF(SUM(I55)&gt;D55,"Däravrad 318 &gt; rad 300",IF(I55="","Belopp saknas",""))</f>
        <v/>
      </c>
      <c r="K55" s="135"/>
      <c r="L55" s="1143"/>
      <c r="M55" s="1164"/>
      <c r="N55" s="2187"/>
      <c r="O55" s="2141"/>
      <c r="P55" s="1232"/>
      <c r="Q55" s="1197"/>
      <c r="R55" s="1262"/>
      <c r="S55" s="1246"/>
      <c r="T55" s="1237"/>
    </row>
    <row r="56" spans="1:20" s="192" customFormat="1" ht="12.75">
      <c r="A56" s="519">
        <v>325</v>
      </c>
      <c r="B56" s="520">
        <v>644</v>
      </c>
      <c r="C56" s="513" t="s">
        <v>673</v>
      </c>
      <c r="D56" s="95">
        <v>9599.1769999999997</v>
      </c>
      <c r="E56" s="222"/>
      <c r="F56" s="4"/>
      <c r="G56" s="4"/>
      <c r="H56" s="63"/>
      <c r="K56" s="4"/>
      <c r="L56" s="727"/>
      <c r="M56" s="988"/>
      <c r="N56" s="2188"/>
      <c r="O56" s="2141"/>
      <c r="P56" s="1232"/>
      <c r="Q56" s="1237"/>
      <c r="R56" s="1246"/>
      <c r="S56" s="1246"/>
      <c r="T56" s="163"/>
    </row>
    <row r="57" spans="1:20" s="192" customFormat="1" ht="12.75">
      <c r="A57" s="519">
        <v>330</v>
      </c>
      <c r="B57" s="520">
        <v>651</v>
      </c>
      <c r="C57" s="513" t="s">
        <v>674</v>
      </c>
      <c r="D57" s="95">
        <v>379.30700000000002</v>
      </c>
      <c r="E57" s="222"/>
      <c r="F57" s="4"/>
      <c r="G57" s="4"/>
      <c r="H57" s="63"/>
      <c r="I57" s="63"/>
      <c r="L57" s="727"/>
      <c r="M57" s="988"/>
      <c r="N57" s="2188"/>
      <c r="O57" s="2141"/>
      <c r="P57" s="1232"/>
      <c r="Q57" s="1237"/>
      <c r="R57" s="1246"/>
      <c r="S57" s="1246"/>
      <c r="T57" s="163"/>
    </row>
    <row r="58" spans="1:20" s="192" customFormat="1" ht="12.75">
      <c r="A58" s="519">
        <v>340</v>
      </c>
      <c r="B58" s="524" t="s">
        <v>650</v>
      </c>
      <c r="C58" s="525" t="s">
        <v>675</v>
      </c>
      <c r="D58" s="95">
        <v>19685.847000000002</v>
      </c>
      <c r="E58" s="222"/>
      <c r="F58" s="1319" t="s">
        <v>776</v>
      </c>
      <c r="G58" s="2223">
        <v>641</v>
      </c>
      <c r="H58" s="2228" t="s">
        <v>741</v>
      </c>
      <c r="I58" s="1564">
        <v>4024.6460000000002</v>
      </c>
      <c r="J58" s="135"/>
      <c r="K58" s="4"/>
      <c r="L58" s="512"/>
      <c r="M58" s="1133"/>
      <c r="N58" s="2189"/>
      <c r="O58" s="2141"/>
      <c r="P58" s="1232"/>
      <c r="Q58" s="1237"/>
      <c r="R58" s="1262"/>
      <c r="S58" s="1246"/>
      <c r="T58" s="1262"/>
    </row>
    <row r="59" spans="1:20" s="192" customFormat="1" ht="13.5" thickBot="1">
      <c r="A59" s="521">
        <v>360</v>
      </c>
      <c r="B59" s="526"/>
      <c r="C59" s="527" t="s">
        <v>676</v>
      </c>
      <c r="D59" s="329">
        <f>SUM(D55,D56,D57,D58)</f>
        <v>41977.052000000003</v>
      </c>
      <c r="E59" s="222"/>
      <c r="F59" s="1321" t="s">
        <v>919</v>
      </c>
      <c r="G59" s="2024">
        <v>418</v>
      </c>
      <c r="H59" s="2033" t="s">
        <v>1092</v>
      </c>
      <c r="I59" s="1220">
        <v>1082.8050000000001</v>
      </c>
      <c r="J59" s="135" t="str">
        <f>IF(I59="","Ange belopp eller 0","")</f>
        <v/>
      </c>
      <c r="K59" s="4"/>
      <c r="L59" s="521">
        <v>360</v>
      </c>
      <c r="M59" s="1134">
        <v>42109</v>
      </c>
      <c r="N59" s="2190">
        <f>IF(ISERROR((D59-M59)/M59),0,((D59-M59)/M59))</f>
        <v>-3.1334869030372765E-3</v>
      </c>
      <c r="O59" s="2141"/>
      <c r="P59" s="1236"/>
      <c r="Q59" s="1237"/>
      <c r="R59" s="15"/>
      <c r="S59" s="1246"/>
      <c r="T59" s="1262"/>
    </row>
    <row r="60" spans="1:20" s="192" customFormat="1" ht="12.75" customHeight="1">
      <c r="A60" s="519">
        <v>345</v>
      </c>
      <c r="B60" s="520" t="s">
        <v>770</v>
      </c>
      <c r="C60" s="513" t="s">
        <v>1148</v>
      </c>
      <c r="D60" s="95">
        <v>9767.0990000000002</v>
      </c>
      <c r="E60" s="222"/>
      <c r="F60" s="4"/>
      <c r="G60" s="4"/>
      <c r="H60" s="63"/>
      <c r="I60" s="63"/>
      <c r="K60" s="4"/>
      <c r="L60" s="1143"/>
      <c r="M60" s="1164"/>
      <c r="N60" s="2187"/>
      <c r="O60" s="2141"/>
      <c r="P60" s="1232"/>
      <c r="Q60" s="1237"/>
      <c r="R60" s="1246"/>
      <c r="S60" s="1246"/>
      <c r="T60" s="163"/>
    </row>
    <row r="61" spans="1:20" s="192" customFormat="1" ht="12.75">
      <c r="A61" s="519">
        <v>401</v>
      </c>
      <c r="B61" s="520">
        <v>46</v>
      </c>
      <c r="C61" s="513" t="s">
        <v>735</v>
      </c>
      <c r="D61" s="95">
        <v>167544.24799999999</v>
      </c>
      <c r="E61" s="222"/>
      <c r="F61" s="4"/>
      <c r="G61" s="4"/>
      <c r="H61" s="63"/>
      <c r="I61" s="63"/>
      <c r="K61" s="4"/>
      <c r="L61" s="510">
        <v>401</v>
      </c>
      <c r="M61" s="1127">
        <v>159615.02100000001</v>
      </c>
      <c r="N61" s="2191">
        <f>IF(ISERROR((D61-M61)/M61),0,((D61-M61)/M61))</f>
        <v>4.9677197987525144E-2</v>
      </c>
      <c r="O61" s="2141"/>
      <c r="P61" s="1232"/>
      <c r="Q61" s="1237"/>
      <c r="R61" s="1246"/>
      <c r="S61" s="1246"/>
      <c r="T61" s="163"/>
    </row>
    <row r="62" spans="1:20" s="192" customFormat="1" ht="12.75">
      <c r="A62" s="519">
        <v>410</v>
      </c>
      <c r="B62" s="520">
        <v>74</v>
      </c>
      <c r="C62" s="513" t="s">
        <v>764</v>
      </c>
      <c r="D62" s="95">
        <v>29037.335999999999</v>
      </c>
      <c r="E62" s="222"/>
      <c r="F62" s="4"/>
      <c r="G62" s="4"/>
      <c r="H62" s="63"/>
      <c r="I62" s="63"/>
      <c r="K62" s="4"/>
      <c r="L62" s="727"/>
      <c r="M62" s="988"/>
      <c r="N62" s="2188"/>
      <c r="O62" s="2141"/>
      <c r="P62" s="1232"/>
      <c r="Q62" s="1237"/>
      <c r="R62" s="1425"/>
      <c r="S62" s="1246"/>
      <c r="T62" s="163"/>
    </row>
    <row r="63" spans="1:20" s="192" customFormat="1" ht="17.25" customHeight="1">
      <c r="A63" s="519">
        <v>411</v>
      </c>
      <c r="B63" s="520">
        <v>75</v>
      </c>
      <c r="C63" s="513" t="s">
        <v>1020</v>
      </c>
      <c r="D63" s="95">
        <v>2957.5709999999999</v>
      </c>
      <c r="E63" s="222"/>
      <c r="F63" s="4"/>
      <c r="G63" s="4"/>
      <c r="H63" s="63"/>
      <c r="I63" s="63"/>
      <c r="K63" s="4"/>
      <c r="L63" s="727"/>
      <c r="M63" s="988"/>
      <c r="N63" s="2188"/>
      <c r="O63" s="2141"/>
      <c r="P63" s="1232"/>
      <c r="Q63" s="1237"/>
      <c r="R63" s="1246"/>
      <c r="S63" s="1246"/>
      <c r="T63" s="163"/>
    </row>
    <row r="64" spans="1:20" s="192" customFormat="1" ht="12.75">
      <c r="A64" s="519">
        <v>415</v>
      </c>
      <c r="B64" s="520" t="s">
        <v>771</v>
      </c>
      <c r="C64" s="513" t="s">
        <v>1149</v>
      </c>
      <c r="D64" s="95">
        <v>5112.4840000000004</v>
      </c>
      <c r="E64" s="222"/>
      <c r="F64" s="4"/>
      <c r="G64" s="4"/>
      <c r="H64" s="63"/>
      <c r="I64" s="63"/>
      <c r="K64" s="4"/>
      <c r="L64" s="727"/>
      <c r="M64" s="988"/>
      <c r="N64" s="2188"/>
      <c r="O64" s="2141"/>
      <c r="P64" s="1232"/>
      <c r="Q64" s="1237"/>
      <c r="R64" s="1262"/>
      <c r="S64" s="1246"/>
      <c r="T64" s="163"/>
    </row>
    <row r="65" spans="1:25" s="192" customFormat="1" ht="12.75">
      <c r="A65" s="519">
        <v>416</v>
      </c>
      <c r="B65" s="524">
        <v>68</v>
      </c>
      <c r="C65" s="513" t="s">
        <v>1150</v>
      </c>
      <c r="D65" s="95">
        <v>2060.7579999999998</v>
      </c>
      <c r="E65" s="222"/>
      <c r="F65" s="4"/>
      <c r="G65" s="4"/>
      <c r="H65" s="63"/>
      <c r="I65" s="63"/>
      <c r="K65" s="4"/>
      <c r="L65" s="727"/>
      <c r="M65" s="988"/>
      <c r="N65" s="2188"/>
      <c r="O65" s="2141"/>
      <c r="P65" s="1232"/>
      <c r="Q65" s="1237"/>
      <c r="R65" s="1262"/>
      <c r="S65" s="1262"/>
      <c r="T65" s="163"/>
    </row>
    <row r="66" spans="1:25" s="192" customFormat="1" ht="12.75">
      <c r="A66" s="519">
        <v>430</v>
      </c>
      <c r="B66" s="524">
        <v>66</v>
      </c>
      <c r="C66" s="513" t="s">
        <v>736</v>
      </c>
      <c r="D66" s="95">
        <v>2404.279</v>
      </c>
      <c r="E66" s="222"/>
      <c r="F66" s="4"/>
      <c r="G66" s="4"/>
      <c r="H66" s="63"/>
      <c r="I66" s="63"/>
      <c r="K66" s="4"/>
      <c r="L66" s="727"/>
      <c r="M66" s="988"/>
      <c r="N66" s="2188"/>
      <c r="O66" s="2141"/>
      <c r="P66" s="1232"/>
      <c r="Q66" s="1237"/>
      <c r="R66" s="1262"/>
      <c r="S66" s="1262"/>
      <c r="T66" s="163"/>
    </row>
    <row r="67" spans="1:25" s="192" customFormat="1" ht="12.75">
      <c r="A67" s="519">
        <v>440</v>
      </c>
      <c r="B67" s="524">
        <v>701</v>
      </c>
      <c r="C67" s="513" t="s">
        <v>1018</v>
      </c>
      <c r="D67" s="95">
        <v>8937.4480000000003</v>
      </c>
      <c r="E67" s="222"/>
      <c r="F67" s="4"/>
      <c r="G67" s="4"/>
      <c r="H67" s="63"/>
      <c r="I67" s="63"/>
      <c r="K67" s="4"/>
      <c r="L67" s="512"/>
      <c r="M67" s="1133"/>
      <c r="N67" s="2189"/>
      <c r="O67" s="2141"/>
      <c r="P67" s="1232"/>
      <c r="Q67" s="1237"/>
      <c r="R67" s="1246"/>
      <c r="S67" s="1262"/>
      <c r="T67" s="163"/>
    </row>
    <row r="68" spans="1:25" s="192" customFormat="1" ht="18.75">
      <c r="A68" s="519">
        <v>450</v>
      </c>
      <c r="B68" s="524">
        <v>601</v>
      </c>
      <c r="C68" s="513" t="s">
        <v>1019</v>
      </c>
      <c r="D68" s="95">
        <v>39082.627999999997</v>
      </c>
      <c r="E68" s="222"/>
      <c r="F68" s="1600">
        <v>469</v>
      </c>
      <c r="G68" s="1601" t="s">
        <v>893</v>
      </c>
      <c r="H68" s="1436" t="s">
        <v>1156</v>
      </c>
      <c r="I68" s="1434">
        <v>3662.9920000000002</v>
      </c>
      <c r="K68" s="4"/>
      <c r="L68" s="510">
        <v>450</v>
      </c>
      <c r="M68" s="1127">
        <v>38153.366999999998</v>
      </c>
      <c r="N68" s="2191">
        <f>IF(ISERROR((D68-M68)/M68),0,((D68-M68)/M68))</f>
        <v>2.4355936921635218E-2</v>
      </c>
      <c r="O68" s="2141"/>
      <c r="P68" s="1232"/>
      <c r="Q68" s="1237"/>
      <c r="R68" s="1262"/>
      <c r="S68" s="1262"/>
      <c r="T68" s="163"/>
    </row>
    <row r="69" spans="1:25" s="192" customFormat="1" ht="12.75">
      <c r="A69" s="519">
        <v>460</v>
      </c>
      <c r="B69" s="524">
        <v>602</v>
      </c>
      <c r="C69" s="525" t="s">
        <v>677</v>
      </c>
      <c r="D69" s="95">
        <v>90.825999999999993</v>
      </c>
      <c r="E69" s="222"/>
      <c r="F69" s="661">
        <v>472</v>
      </c>
      <c r="G69" s="662">
        <v>731</v>
      </c>
      <c r="H69" s="1907" t="s">
        <v>1021</v>
      </c>
      <c r="I69" s="1435">
        <v>1506.4010000000001</v>
      </c>
      <c r="K69" s="4"/>
      <c r="L69" s="514"/>
      <c r="M69" s="997"/>
      <c r="N69" s="2192"/>
      <c r="O69" s="2141"/>
      <c r="P69" s="1232"/>
      <c r="Q69" s="1237"/>
      <c r="R69" s="1262"/>
      <c r="S69" s="1262"/>
      <c r="T69" s="1237"/>
    </row>
    <row r="70" spans="1:25" s="192" customFormat="1" ht="20.25" customHeight="1">
      <c r="A70" s="519">
        <v>470</v>
      </c>
      <c r="B70" s="1322" t="s">
        <v>1022</v>
      </c>
      <c r="C70" s="550" t="s">
        <v>1151</v>
      </c>
      <c r="D70" s="216">
        <v>9765.4609999999993</v>
      </c>
      <c r="E70" s="222"/>
      <c r="F70" s="661">
        <v>474</v>
      </c>
      <c r="G70" s="623">
        <v>732</v>
      </c>
      <c r="H70" s="699" t="s">
        <v>993</v>
      </c>
      <c r="I70" s="275">
        <v>94.804000000000002</v>
      </c>
      <c r="K70" s="4"/>
      <c r="L70" s="727"/>
      <c r="M70" s="988"/>
      <c r="N70" s="2188"/>
      <c r="O70" s="2141"/>
      <c r="P70" s="1232"/>
      <c r="Q70" s="1237"/>
      <c r="R70" s="1246"/>
      <c r="S70" s="1246"/>
      <c r="T70" s="1237"/>
    </row>
    <row r="71" spans="1:25" s="192" customFormat="1" ht="18.75" customHeight="1">
      <c r="A71" s="519">
        <v>471</v>
      </c>
      <c r="B71" s="520" t="s">
        <v>651</v>
      </c>
      <c r="C71" s="513" t="s">
        <v>678</v>
      </c>
      <c r="D71" s="96">
        <v>13818.111000000001</v>
      </c>
      <c r="E71" s="222"/>
      <c r="F71" s="1852">
        <v>476</v>
      </c>
      <c r="G71" s="1856" t="s">
        <v>1003</v>
      </c>
      <c r="H71" s="1817" t="s">
        <v>1157</v>
      </c>
      <c r="I71" s="275">
        <v>1195.068</v>
      </c>
      <c r="K71" s="4"/>
      <c r="L71" s="512"/>
      <c r="M71" s="1133"/>
      <c r="N71" s="2189"/>
      <c r="O71" s="2141"/>
      <c r="P71" s="1232"/>
      <c r="Q71" s="1237"/>
      <c r="R71" s="1246"/>
      <c r="S71" s="1246"/>
      <c r="T71" s="1237"/>
    </row>
    <row r="72" spans="1:25" s="192" customFormat="1" ht="13.5" thickBot="1">
      <c r="A72" s="528">
        <v>479</v>
      </c>
      <c r="B72" s="529"/>
      <c r="C72" s="530" t="s">
        <v>679</v>
      </c>
      <c r="D72" s="330">
        <f>SUM(D60:D71)</f>
        <v>290578.24900000001</v>
      </c>
      <c r="E72" s="222"/>
      <c r="F72" s="661">
        <v>477</v>
      </c>
      <c r="G72" s="623">
        <v>737</v>
      </c>
      <c r="H72" s="699" t="s">
        <v>994</v>
      </c>
      <c r="I72" s="275">
        <v>0.499</v>
      </c>
      <c r="K72" s="4"/>
      <c r="L72" s="521">
        <v>479</v>
      </c>
      <c r="M72" s="1134">
        <v>279040.58500000002</v>
      </c>
      <c r="N72" s="2190">
        <f>IF(ISERROR((D72-M72)/M72),0,((D72-M72)/M72))</f>
        <v>4.1347619737824116E-2</v>
      </c>
      <c r="O72" s="2141"/>
      <c r="P72" s="1236"/>
      <c r="Q72" s="1237"/>
      <c r="R72" s="1238"/>
      <c r="S72" s="1246"/>
      <c r="T72" s="1237"/>
    </row>
    <row r="73" spans="1:25" s="192" customFormat="1" ht="12.75" customHeight="1">
      <c r="A73" s="531">
        <v>897</v>
      </c>
      <c r="B73" s="1322" t="s">
        <v>765</v>
      </c>
      <c r="C73" s="513" t="s">
        <v>1152</v>
      </c>
      <c r="D73" s="217">
        <v>963.60799999999995</v>
      </c>
      <c r="E73" s="1845"/>
      <c r="F73" s="2126">
        <v>475</v>
      </c>
      <c r="G73" s="623"/>
      <c r="H73" s="2125" t="s">
        <v>1210</v>
      </c>
      <c r="I73" s="275">
        <v>10.161</v>
      </c>
      <c r="K73" s="4"/>
      <c r="L73" s="1143"/>
      <c r="M73" s="1164"/>
      <c r="N73" s="2187"/>
      <c r="O73" s="2141"/>
      <c r="P73" s="1232"/>
      <c r="Q73" s="1237"/>
      <c r="R73" s="1433"/>
      <c r="S73" s="1246"/>
      <c r="T73" s="1237"/>
    </row>
    <row r="74" spans="1:25" s="192" customFormat="1" ht="12.75" customHeight="1" thickBot="1">
      <c r="A74" s="528">
        <v>900</v>
      </c>
      <c r="B74" s="532">
        <v>789</v>
      </c>
      <c r="C74" s="533" t="s">
        <v>442</v>
      </c>
      <c r="D74" s="218">
        <v>19.457000000000001</v>
      </c>
      <c r="E74" s="291"/>
      <c r="F74" s="735">
        <v>478</v>
      </c>
      <c r="G74" s="623" t="s">
        <v>739</v>
      </c>
      <c r="H74" s="699" t="s">
        <v>995</v>
      </c>
      <c r="I74" s="275">
        <v>2346.3780000000002</v>
      </c>
      <c r="K74" s="135"/>
      <c r="L74" s="727"/>
      <c r="M74" s="988"/>
      <c r="N74" s="2188"/>
      <c r="O74" s="2141"/>
      <c r="P74" s="1232"/>
      <c r="Q74" s="1237"/>
      <c r="R74" s="1237"/>
      <c r="S74" s="1237"/>
      <c r="T74" s="1237"/>
    </row>
    <row r="75" spans="1:25" s="192" customFormat="1" ht="16.5" customHeight="1" thickBot="1">
      <c r="A75" s="523">
        <v>887</v>
      </c>
      <c r="B75" s="2213"/>
      <c r="C75" s="534" t="s">
        <v>1140</v>
      </c>
      <c r="D75" s="331">
        <f>SUM(D44+D54+D59+D72+D73+D74)</f>
        <v>868018.21700000006</v>
      </c>
      <c r="F75" s="536">
        <v>473</v>
      </c>
      <c r="G75" s="1324" t="s">
        <v>783</v>
      </c>
      <c r="H75" s="1256" t="s">
        <v>1158</v>
      </c>
      <c r="I75" s="2085">
        <v>550.40300000000002</v>
      </c>
      <c r="J75" s="135"/>
      <c r="K75" s="4"/>
      <c r="L75" s="508"/>
      <c r="M75" s="1165"/>
      <c r="N75" s="2193"/>
      <c r="O75" s="2141"/>
      <c r="P75" s="1236"/>
      <c r="Q75" s="1197"/>
      <c r="R75" s="1262"/>
      <c r="S75" s="1262"/>
      <c r="T75" s="1237"/>
    </row>
    <row r="76" spans="1:25" s="192" customFormat="1" ht="18" customHeight="1" thickBot="1">
      <c r="A76" s="535" t="s">
        <v>443</v>
      </c>
      <c r="B76" s="522"/>
      <c r="C76" s="499" t="s">
        <v>90</v>
      </c>
      <c r="D76" s="287">
        <f>RR!C8</f>
        <v>868018.21400000004</v>
      </c>
      <c r="E76" s="222"/>
      <c r="F76" s="2141"/>
      <c r="G76" s="2141"/>
      <c r="H76" s="2141"/>
      <c r="I76" s="2141"/>
      <c r="J76" s="2141"/>
      <c r="L76" s="1144"/>
      <c r="M76" s="1145"/>
      <c r="N76" s="2184"/>
      <c r="O76" s="2141"/>
      <c r="P76" s="1232"/>
      <c r="Q76" s="163"/>
      <c r="R76" s="1238"/>
      <c r="S76" s="1238"/>
      <c r="T76" s="163"/>
    </row>
    <row r="77" spans="1:25" s="192" customFormat="1" ht="15.75" customHeight="1">
      <c r="A77" s="2208" t="s">
        <v>1184</v>
      </c>
      <c r="B77" s="1323"/>
      <c r="C77" s="1323"/>
      <c r="D77" s="1573"/>
      <c r="F77" s="2141"/>
      <c r="G77" s="2141"/>
      <c r="H77" s="2141"/>
      <c r="I77" s="2141"/>
      <c r="J77" s="2141"/>
      <c r="K77" s="4"/>
      <c r="O77" s="2141"/>
      <c r="Q77" s="163"/>
      <c r="R77" s="1243"/>
      <c r="S77" s="1243"/>
      <c r="T77" s="163"/>
    </row>
    <row r="78" spans="1:25" s="192" customFormat="1" ht="21" customHeight="1">
      <c r="A78" s="139" t="s">
        <v>1185</v>
      </c>
      <c r="B78" s="75"/>
      <c r="C78" s="75"/>
      <c r="D78" s="4"/>
      <c r="F78" s="2141"/>
      <c r="G78" s="2141"/>
      <c r="H78" s="2141"/>
      <c r="I78" s="2141"/>
      <c r="J78" s="2141"/>
      <c r="K78" s="4"/>
      <c r="Q78" s="163"/>
      <c r="R78" s="2549"/>
      <c r="S78" s="2549"/>
      <c r="T78" s="2549"/>
    </row>
    <row r="79" spans="1:25" s="192" customFormat="1" ht="12.75" customHeight="1">
      <c r="A79" s="163"/>
      <c r="B79" s="163"/>
      <c r="C79" s="163"/>
      <c r="D79" s="163"/>
      <c r="F79" s="2141"/>
      <c r="G79" s="2141"/>
      <c r="H79" s="2141"/>
      <c r="I79" s="2141"/>
      <c r="J79" s="2141"/>
      <c r="K79" s="4"/>
      <c r="L79" s="163"/>
      <c r="M79" s="163"/>
      <c r="N79" s="163"/>
      <c r="O79" s="163"/>
      <c r="P79" s="163"/>
      <c r="Q79" s="163"/>
      <c r="R79" s="2549"/>
      <c r="S79" s="2549"/>
      <c r="T79" s="2549"/>
      <c r="U79" s="163"/>
      <c r="V79" s="163"/>
    </row>
    <row r="80" spans="1:25" s="192" customFormat="1" ht="12.75">
      <c r="A80" s="163"/>
      <c r="B80" s="163"/>
      <c r="C80" s="163"/>
      <c r="D80" s="163"/>
      <c r="E80" s="163"/>
      <c r="F80" s="4"/>
      <c r="G80" s="4"/>
      <c r="H80" s="4"/>
      <c r="I80" s="4"/>
      <c r="J80" s="4"/>
      <c r="K80" s="163"/>
      <c r="L80" s="163"/>
      <c r="M80" s="163"/>
      <c r="N80" s="163"/>
      <c r="O80" s="163"/>
      <c r="P80" s="163"/>
      <c r="Q80" s="163"/>
      <c r="R80" s="388"/>
      <c r="S80" s="388"/>
      <c r="T80" s="163"/>
      <c r="U80" s="163"/>
      <c r="V80" s="163"/>
      <c r="W80" s="163"/>
      <c r="X80" s="163"/>
      <c r="Y80" s="163"/>
    </row>
    <row r="81" ht="12.75"/>
    <row r="82" ht="12.75"/>
    <row r="83" ht="12.75"/>
    <row r="84" ht="12.75"/>
    <row r="85" ht="12.75" hidden="1"/>
    <row r="86" ht="12.75" hidden="1"/>
    <row r="87" ht="12.75" hidden="1"/>
    <row r="88" ht="12.75" hidden="1"/>
    <row r="89" ht="12.75" hidden="1"/>
    <row r="90" ht="12.75" hidden="1"/>
    <row r="91" ht="12.75" hidden="1"/>
    <row r="92" ht="12.75"/>
    <row r="93" ht="12.75" hidden="1"/>
  </sheetData>
  <mergeCells count="2">
    <mergeCell ref="B6:B7"/>
    <mergeCell ref="R78:T79"/>
  </mergeCells>
  <conditionalFormatting sqref="D8:D11 D13:D15 D17:D25 D27:D30 D32:D34 D40:D43 D50:D53 I55 D55:D58 D60:D71 D73:D74">
    <cfRule type="cellIs" dxfId="41" priority="17" stopIfTrue="1" operator="lessThan">
      <formula>-500</formula>
    </cfRule>
  </conditionalFormatting>
  <conditionalFormatting sqref="D43 I43:I44">
    <cfRule type="cellIs" dxfId="40" priority="20" stopIfTrue="1" operator="lessThan">
      <formula>0</formula>
    </cfRule>
  </conditionalFormatting>
  <conditionalFormatting sqref="D45:D46">
    <cfRule type="cellIs" dxfId="39" priority="9" stopIfTrue="1" operator="lessThan">
      <formula>-500</formula>
    </cfRule>
  </conditionalFormatting>
  <conditionalFormatting sqref="I17:I21">
    <cfRule type="cellIs" dxfId="38" priority="14" stopIfTrue="1" operator="lessThan">
      <formula>-500</formula>
    </cfRule>
  </conditionalFormatting>
  <conditionalFormatting sqref="I19:I20">
    <cfRule type="cellIs" dxfId="37" priority="13" stopIfTrue="1" operator="lessThan">
      <formula>-500</formula>
    </cfRule>
  </conditionalFormatting>
  <conditionalFormatting sqref="I24:I25">
    <cfRule type="cellIs" dxfId="36" priority="11" stopIfTrue="1" operator="lessThan">
      <formula>-500</formula>
    </cfRule>
    <cfRule type="cellIs" dxfId="35" priority="12" stopIfTrue="1" operator="lessThan">
      <formula>-500</formula>
    </cfRule>
  </conditionalFormatting>
  <conditionalFormatting sqref="I27:I30">
    <cfRule type="cellIs" dxfId="34" priority="6" stopIfTrue="1" operator="lessThan">
      <formula>-500</formula>
    </cfRule>
    <cfRule type="cellIs" dxfId="33" priority="7" stopIfTrue="1" operator="lessThan">
      <formula>-500</formula>
    </cfRule>
  </conditionalFormatting>
  <conditionalFormatting sqref="I32">
    <cfRule type="cellIs" dxfId="32" priority="4" stopIfTrue="1" operator="lessThan">
      <formula>-500</formula>
    </cfRule>
    <cfRule type="cellIs" dxfId="31" priority="5" stopIfTrue="1" operator="lessThan">
      <formula>-500</formula>
    </cfRule>
  </conditionalFormatting>
  <conditionalFormatting sqref="I40:I52">
    <cfRule type="cellIs" dxfId="30" priority="8" stopIfTrue="1" operator="lessThan">
      <formula>-500</formula>
    </cfRule>
  </conditionalFormatting>
  <conditionalFormatting sqref="I58:I59">
    <cfRule type="cellIs" dxfId="29" priority="15" stopIfTrue="1" operator="lessThan">
      <formula>-500</formula>
    </cfRule>
    <cfRule type="cellIs" dxfId="28" priority="16" stopIfTrue="1" operator="lessThan">
      <formula>-500</formula>
    </cfRule>
  </conditionalFormatting>
  <conditionalFormatting sqref="I68">
    <cfRule type="cellIs" dxfId="27" priority="3" stopIfTrue="1" operator="lessThan">
      <formula>-500</formula>
    </cfRule>
  </conditionalFormatting>
  <conditionalFormatting sqref="I68:I75">
    <cfRule type="cellIs" dxfId="26" priority="1" stopIfTrue="1" operator="lessThan">
      <formula>-500</formula>
    </cfRule>
  </conditionalFormatting>
  <dataValidations count="4">
    <dataValidation type="decimal" operator="lessThan" allowBlank="1" showInputMessage="1" showErrorMessage="1" error="beloppet ska vara 1000tal kr" sqref="I68" xr:uid="{5E3C84FA-3272-499F-8AE4-C2919C259F0D}">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5:D58 D40:D43 D17:D25 D27:D30 D13:D15 D8:D11 I55 I58:I59 D32:D34 D60:D71 D49:D53 I24:I25 D45:D46 I27:I30 I32 I40:I52 D73:D74 I69:I75" xr:uid="{00000000-0002-0000-0300-000002000000}">
      <formula1>99999999</formula1>
    </dataValidation>
    <dataValidation type="decimal" operator="lessThanOrEqual" allowBlank="1" showInputMessage="1" showErrorMessage="1" error="Beloppet ska redovisas med minustecken" sqref="D47:D48"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50:G51 A76 G74 F58:F59"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sheetView>
  </sheetViews>
  <sheetFormatPr defaultColWidth="9.42578125" defaultRowHeight="0" customHeight="1" zeroHeight="1"/>
  <cols>
    <col min="1" max="1" width="4" style="163" customWidth="1"/>
    <col min="2" max="2" width="9.42578125" style="163" customWidth="1"/>
    <col min="3" max="3" width="30.5703125" style="163" customWidth="1"/>
    <col min="4" max="4" width="10.5703125" style="163" customWidth="1"/>
    <col min="5" max="5" width="22" style="163" customWidth="1"/>
    <col min="6" max="6" width="5" style="163" customWidth="1"/>
    <col min="7" max="7" width="27.5703125" style="163" customWidth="1"/>
    <col min="8" max="8" width="4" style="163" customWidth="1"/>
    <col min="9" max="9" width="8.42578125" style="163" customWidth="1"/>
    <col min="10" max="10" width="31.42578125" style="163" customWidth="1"/>
    <col min="11" max="12" width="10.5703125" style="163" customWidth="1"/>
    <col min="13" max="13" width="13.42578125" style="163" customWidth="1"/>
    <col min="14" max="14" width="4.42578125" style="163" customWidth="1"/>
    <col min="15" max="15" width="3.5703125" style="163" customWidth="1"/>
    <col min="16" max="16" width="19.5703125" style="163" customWidth="1"/>
    <col min="17" max="17" width="7" style="163" customWidth="1"/>
    <col min="18" max="18" width="3.5703125" style="163" customWidth="1"/>
    <col min="19" max="19" width="1.5703125" style="163" customWidth="1"/>
    <col min="20" max="20" width="21.5703125" style="163" customWidth="1"/>
    <col min="21" max="16383" width="0" style="163" hidden="1" customWidth="1"/>
    <col min="16384" max="16384" width="4.42578125" style="163" hidden="1" customWidth="1"/>
  </cols>
  <sheetData>
    <row r="1" spans="1:20" ht="18">
      <c r="A1" s="1391" t="str">
        <f>"Skatteintäkter, utjämningssystem o. generella statliga bidrag samt finansiella poster "&amp;År&amp;", miljoner kr"</f>
        <v>Skatteintäkter, utjämningssystem o. generella statliga bidrag samt finansiella poster 2024, miljoner kr</v>
      </c>
      <c r="B1" s="478"/>
      <c r="C1" s="478"/>
      <c r="D1" s="478"/>
      <c r="E1" s="478"/>
      <c r="F1" s="478"/>
      <c r="G1" s="478"/>
      <c r="H1" s="478"/>
      <c r="I1" s="478"/>
      <c r="J1" s="478"/>
      <c r="K1" s="478"/>
      <c r="L1" s="478"/>
      <c r="M1" s="478"/>
      <c r="N1" s="480" t="s">
        <v>446</v>
      </c>
      <c r="O1" s="480"/>
      <c r="P1" s="480"/>
      <c r="Q1" s="480"/>
      <c r="R1" s="480"/>
      <c r="S1" s="480"/>
      <c r="T1" s="481" t="str">
        <f>Information!A2</f>
        <v>RIKSTOTAL</v>
      </c>
    </row>
    <row r="2" spans="1:20" ht="12.75" customHeight="1">
      <c r="A2" s="2141"/>
      <c r="B2" s="2141"/>
      <c r="C2" s="2141"/>
      <c r="D2" s="2141"/>
      <c r="E2" s="2141"/>
      <c r="F2" s="2141"/>
      <c r="G2" s="2141"/>
      <c r="H2" s="2141"/>
      <c r="I2" s="2141"/>
      <c r="J2" s="2141"/>
      <c r="K2" s="2141"/>
      <c r="L2" s="2141"/>
      <c r="M2" s="2141"/>
      <c r="N2" s="2141"/>
      <c r="O2" s="2141"/>
      <c r="P2" s="2141"/>
      <c r="Q2" s="2141"/>
      <c r="R2" s="2141"/>
      <c r="S2" s="2141"/>
      <c r="T2" s="2141"/>
    </row>
    <row r="3" spans="1:20" ht="12.75" customHeight="1">
      <c r="A3" s="2141"/>
      <c r="B3" s="2141"/>
      <c r="C3" s="2141"/>
      <c r="D3" s="2141"/>
      <c r="E3" s="2141"/>
      <c r="F3" s="2141"/>
      <c r="G3" s="2141"/>
      <c r="H3" s="2141"/>
      <c r="I3" s="2141"/>
      <c r="J3" s="2141"/>
      <c r="K3" s="2141"/>
      <c r="L3" s="2141"/>
      <c r="M3" s="2141"/>
      <c r="N3" s="2141"/>
      <c r="O3" s="2141"/>
      <c r="P3" s="2141"/>
      <c r="Q3" s="2141"/>
      <c r="R3" s="2141"/>
      <c r="S3" s="2141"/>
      <c r="T3" s="2141"/>
    </row>
    <row r="4" spans="1:20" ht="17.25" customHeight="1" thickBot="1">
      <c r="A4" s="70" t="s">
        <v>607</v>
      </c>
      <c r="B4" s="4"/>
      <c r="C4" s="4"/>
      <c r="D4" s="33"/>
      <c r="G4" s="4"/>
      <c r="H4" s="70" t="s">
        <v>608</v>
      </c>
      <c r="I4" s="164"/>
      <c r="J4" s="164"/>
      <c r="K4" s="164"/>
      <c r="L4" s="164"/>
      <c r="M4" s="4"/>
      <c r="N4" s="4"/>
      <c r="O4" s="4"/>
      <c r="P4" s="4"/>
      <c r="Q4" s="4"/>
      <c r="R4" s="4"/>
      <c r="S4" s="165"/>
      <c r="T4" s="4"/>
    </row>
    <row r="5" spans="1:20" s="175" customFormat="1" ht="12.75">
      <c r="A5" s="559" t="s">
        <v>603</v>
      </c>
      <c r="B5" s="2049" t="str">
        <f>"BAS "&amp;År-2000&amp;""</f>
        <v>BAS 24</v>
      </c>
      <c r="C5" s="736"/>
      <c r="D5" s="742"/>
      <c r="E5" s="174"/>
      <c r="F5" s="174"/>
      <c r="G5" s="174"/>
      <c r="H5" s="559" t="s">
        <v>603</v>
      </c>
      <c r="I5" s="2049" t="str">
        <f>"BAS "&amp;År-2000&amp;""</f>
        <v>BAS 24</v>
      </c>
      <c r="J5" s="736"/>
      <c r="K5" s="570" t="s">
        <v>604</v>
      </c>
      <c r="L5" s="1803" t="s">
        <v>705</v>
      </c>
      <c r="M5" s="1264"/>
      <c r="N5" s="209" t="s">
        <v>892</v>
      </c>
      <c r="O5" s="174"/>
      <c r="P5" s="174"/>
      <c r="Q5" s="174"/>
      <c r="S5" s="395"/>
      <c r="T5" s="174"/>
    </row>
    <row r="6" spans="1:20" s="175" customFormat="1" ht="12.75">
      <c r="A6" s="561" t="s">
        <v>605</v>
      </c>
      <c r="B6" s="724"/>
      <c r="C6" s="737"/>
      <c r="D6" s="741"/>
      <c r="E6" s="174"/>
      <c r="F6" s="174"/>
      <c r="G6" s="174"/>
      <c r="H6" s="561" t="s">
        <v>605</v>
      </c>
      <c r="I6" s="572"/>
      <c r="J6" s="737"/>
      <c r="K6" s="572" t="s">
        <v>1244</v>
      </c>
      <c r="L6" s="962" t="s">
        <v>1244</v>
      </c>
      <c r="M6" s="1265"/>
      <c r="N6" s="174"/>
      <c r="O6" s="174"/>
      <c r="P6" s="174"/>
      <c r="Q6" s="174"/>
      <c r="S6" s="85"/>
      <c r="T6" s="174"/>
    </row>
    <row r="7" spans="1:20" ht="15">
      <c r="A7" s="2061"/>
      <c r="B7" s="2062"/>
      <c r="C7" s="738"/>
      <c r="D7" s="743"/>
      <c r="E7" s="4"/>
      <c r="F7" s="4"/>
      <c r="G7" s="4"/>
      <c r="H7" s="744"/>
      <c r="I7" s="554"/>
      <c r="J7" s="554"/>
      <c r="K7" s="554"/>
      <c r="L7" s="745"/>
      <c r="M7" s="1266"/>
      <c r="N7" s="4"/>
      <c r="O7" s="4"/>
      <c r="P7" s="4"/>
      <c r="Q7" s="4"/>
      <c r="S7" s="16"/>
      <c r="T7" s="4"/>
    </row>
    <row r="8" spans="1:20" ht="12.75">
      <c r="A8" s="713">
        <v>600</v>
      </c>
      <c r="B8" s="524">
        <v>801</v>
      </c>
      <c r="C8" s="525" t="s">
        <v>680</v>
      </c>
      <c r="D8" s="332">
        <v>591682</v>
      </c>
      <c r="E8" s="4"/>
      <c r="F8" s="4"/>
      <c r="G8" s="4"/>
      <c r="H8" s="710">
        <v>800</v>
      </c>
      <c r="I8" s="524">
        <v>841</v>
      </c>
      <c r="J8" s="525" t="s">
        <v>693</v>
      </c>
      <c r="K8" s="1591">
        <v>6522.5249999999996</v>
      </c>
      <c r="L8" s="1592">
        <v>737.26</v>
      </c>
      <c r="M8" s="1847"/>
      <c r="N8" s="538">
        <v>801</v>
      </c>
      <c r="O8" s="1593">
        <v>8411</v>
      </c>
      <c r="P8" s="1488" t="s">
        <v>1166</v>
      </c>
      <c r="Q8" s="1489">
        <v>5573.277</v>
      </c>
      <c r="R8" s="1565" t="str">
        <f>IF(Q8&gt;K8,"däravrad 801&gt;rad 800",IF(AND(K8&gt;1,Q8=""),"skriv belopp eller 0",""))</f>
        <v/>
      </c>
      <c r="S8" s="1262"/>
      <c r="T8" s="4"/>
    </row>
    <row r="9" spans="1:20" ht="12.75">
      <c r="A9" s="713">
        <v>620</v>
      </c>
      <c r="B9" s="622">
        <v>8052</v>
      </c>
      <c r="C9" s="518" t="str">
        <f>"Slutavräkning, prognos för "&amp;År&amp;""</f>
        <v>Slutavräkning, prognos för 2024</v>
      </c>
      <c r="D9" s="332">
        <v>1976</v>
      </c>
      <c r="E9" s="4"/>
      <c r="F9" s="4"/>
      <c r="G9" s="4"/>
      <c r="H9" s="713">
        <v>810</v>
      </c>
      <c r="I9" s="739">
        <v>844</v>
      </c>
      <c r="J9" s="740" t="s">
        <v>694</v>
      </c>
      <c r="K9" s="21">
        <v>15113.478999999999</v>
      </c>
      <c r="L9" s="97">
        <v>6077.1450000000004</v>
      </c>
      <c r="M9" s="1847"/>
      <c r="N9" s="4"/>
      <c r="O9" s="4"/>
      <c r="P9" s="4"/>
      <c r="Q9" s="4"/>
      <c r="S9" s="1262"/>
      <c r="T9" s="4"/>
    </row>
    <row r="10" spans="1:20" ht="12.75">
      <c r="A10" s="713">
        <v>625</v>
      </c>
      <c r="B10" s="622">
        <v>8051</v>
      </c>
      <c r="C10" s="518" t="str">
        <f>"Justering slutavräkning "&amp;År-1&amp;""</f>
        <v>Justering slutavräkning 2023</v>
      </c>
      <c r="D10" s="332">
        <v>-2686</v>
      </c>
      <c r="E10" s="4"/>
      <c r="F10" s="4"/>
      <c r="G10" s="4"/>
      <c r="H10" s="713">
        <v>880</v>
      </c>
      <c r="I10" s="524">
        <v>845</v>
      </c>
      <c r="J10" s="525" t="s">
        <v>695</v>
      </c>
      <c r="K10" s="21">
        <v>132.648</v>
      </c>
      <c r="L10" s="854"/>
      <c r="M10" s="1847"/>
      <c r="N10" s="4"/>
      <c r="O10" s="4"/>
      <c r="P10" s="4"/>
      <c r="Q10" s="4"/>
      <c r="S10" s="1262"/>
      <c r="T10" s="4"/>
    </row>
    <row r="11" spans="1:20" ht="12.75">
      <c r="A11" s="713">
        <v>630</v>
      </c>
      <c r="B11" s="622"/>
      <c r="C11" s="518" t="str">
        <f>"Justeringspost slutavräkning "&amp;År&amp;""</f>
        <v>Justeringspost slutavräkning 2024</v>
      </c>
      <c r="D11" s="217">
        <v>5.2560000000000002</v>
      </c>
      <c r="E11" s="172"/>
      <c r="F11" s="4"/>
      <c r="G11" s="4"/>
      <c r="H11" s="713">
        <v>885</v>
      </c>
      <c r="I11" s="524">
        <v>8481</v>
      </c>
      <c r="J11" s="525" t="s">
        <v>468</v>
      </c>
      <c r="K11" s="21">
        <v>1.958</v>
      </c>
      <c r="L11" s="854"/>
      <c r="M11" s="1847"/>
      <c r="N11" s="4"/>
      <c r="O11" s="4"/>
      <c r="P11" s="4"/>
      <c r="Q11" s="4"/>
      <c r="S11" s="1262"/>
      <c r="T11" s="4"/>
    </row>
    <row r="12" spans="1:20" ht="12.75">
      <c r="A12" s="713">
        <v>640</v>
      </c>
      <c r="B12" s="520" t="s">
        <v>907</v>
      </c>
      <c r="C12" s="513" t="s">
        <v>1167</v>
      </c>
      <c r="D12" s="217">
        <v>17.626000000000001</v>
      </c>
      <c r="E12" s="1287"/>
      <c r="F12" s="4"/>
      <c r="G12" s="4"/>
      <c r="H12" s="713">
        <v>886</v>
      </c>
      <c r="I12" s="524">
        <v>8482</v>
      </c>
      <c r="J12" s="525" t="s">
        <v>706</v>
      </c>
      <c r="K12" s="21">
        <v>86.617000000000004</v>
      </c>
      <c r="L12" s="854"/>
      <c r="M12" s="1847"/>
      <c r="N12" s="1237"/>
      <c r="O12" s="1237"/>
      <c r="P12" s="140"/>
      <c r="Q12" s="1578"/>
      <c r="S12" s="1262"/>
      <c r="T12" s="4"/>
    </row>
    <row r="13" spans="1:20" ht="13.5" thickBot="1">
      <c r="A13" s="714">
        <v>680</v>
      </c>
      <c r="B13" s="1260"/>
      <c r="C13" s="1261" t="s">
        <v>898</v>
      </c>
      <c r="D13" s="329">
        <v>241</v>
      </c>
      <c r="E13" s="33"/>
      <c r="F13" s="4"/>
      <c r="G13" s="4"/>
      <c r="H13" s="713">
        <v>884</v>
      </c>
      <c r="I13" s="520">
        <v>843</v>
      </c>
      <c r="J13" s="513" t="s">
        <v>1087</v>
      </c>
      <c r="K13" s="21">
        <v>384.05900000000003</v>
      </c>
      <c r="L13" s="97">
        <v>1720.81</v>
      </c>
      <c r="M13" s="1847"/>
      <c r="N13" s="1237"/>
      <c r="O13" s="1237"/>
      <c r="P13" s="140"/>
      <c r="Q13" s="1578"/>
      <c r="S13" s="1262"/>
      <c r="T13" s="4"/>
    </row>
    <row r="14" spans="1:20" ht="21.75" customHeight="1" thickBot="1">
      <c r="A14" s="521">
        <v>690</v>
      </c>
      <c r="B14" s="526"/>
      <c r="C14" s="527" t="s">
        <v>607</v>
      </c>
      <c r="D14" s="329">
        <f>SUM(D8:D13)</f>
        <v>591235.8820000001</v>
      </c>
      <c r="E14" s="4"/>
      <c r="F14" s="4"/>
      <c r="G14" s="4"/>
      <c r="H14" s="510">
        <v>882</v>
      </c>
      <c r="I14" s="1322">
        <v>846</v>
      </c>
      <c r="J14" s="513" t="s">
        <v>1086</v>
      </c>
      <c r="K14" s="21">
        <v>6291.7430000000004</v>
      </c>
      <c r="L14" s="854"/>
      <c r="M14" s="1847"/>
      <c r="N14" s="1237"/>
      <c r="O14" s="1237"/>
      <c r="P14" s="140"/>
      <c r="Q14" s="1578"/>
      <c r="R14" s="1287"/>
      <c r="S14" s="1246"/>
      <c r="T14" s="4"/>
    </row>
    <row r="15" spans="1:20" ht="13.5" thickBot="1">
      <c r="A15" s="4"/>
      <c r="B15" s="4"/>
      <c r="C15" s="178"/>
      <c r="D15" s="4"/>
      <c r="E15" s="4"/>
      <c r="F15" s="4"/>
      <c r="G15" s="4"/>
      <c r="H15" s="521">
        <v>888</v>
      </c>
      <c r="I15" s="1924">
        <v>849</v>
      </c>
      <c r="J15" s="533" t="s">
        <v>1036</v>
      </c>
      <c r="K15" s="104">
        <v>2555.7310000000002</v>
      </c>
      <c r="L15" s="1911"/>
      <c r="M15" s="1847"/>
      <c r="N15" s="1410">
        <v>889</v>
      </c>
      <c r="O15" s="1410">
        <v>8491</v>
      </c>
      <c r="P15" s="1894" t="s">
        <v>1010</v>
      </c>
      <c r="Q15" s="1388">
        <v>1419.047</v>
      </c>
      <c r="R15" s="1287" t="str">
        <f>IF(SUM(Q15+Q16)&gt;K15,"däravrader 889+891&gt;rad888",IF(AND(K15&gt;1,Q15=""),"skriv belopp eller 0",""))</f>
        <v/>
      </c>
      <c r="S15" s="1237"/>
      <c r="T15" s="4"/>
    </row>
    <row r="16" spans="1:20" ht="16.5" thickBot="1">
      <c r="A16" s="70" t="s">
        <v>711</v>
      </c>
      <c r="B16" s="4"/>
      <c r="C16" s="4"/>
      <c r="D16" s="4"/>
      <c r="E16" s="4"/>
      <c r="F16" s="4"/>
      <c r="G16" s="4"/>
      <c r="H16" s="508">
        <v>890</v>
      </c>
      <c r="I16" s="522"/>
      <c r="J16" s="499" t="s">
        <v>7</v>
      </c>
      <c r="K16" s="1590">
        <f>RR!C14</f>
        <v>31088.76</v>
      </c>
      <c r="L16" s="1594"/>
      <c r="M16" s="1560"/>
      <c r="N16" s="1411">
        <v>891</v>
      </c>
      <c r="O16" s="1411"/>
      <c r="P16" s="1256" t="s">
        <v>870</v>
      </c>
      <c r="Q16" s="1389">
        <v>1.728</v>
      </c>
      <c r="R16" s="1287" t="str">
        <f>IF(AND(K15&gt;1,Q16=""),"skriv belopp eller 0","")</f>
        <v/>
      </c>
      <c r="T16" s="4"/>
    </row>
    <row r="17" spans="1:20" ht="16.5" thickBot="1">
      <c r="A17" s="70" t="s">
        <v>712</v>
      </c>
      <c r="B17" s="4"/>
      <c r="C17" s="4"/>
      <c r="D17" s="33"/>
      <c r="E17" s="4"/>
      <c r="F17" s="4"/>
      <c r="G17" s="4"/>
      <c r="H17" s="7"/>
      <c r="I17" s="1267" t="s">
        <v>992</v>
      </c>
      <c r="J17" s="120"/>
      <c r="K17" s="1267">
        <f>(K16-SUM(K8:K15))*-1</f>
        <v>3.637978807091713E-12</v>
      </c>
      <c r="L17" s="1595"/>
      <c r="M17" s="1161"/>
      <c r="N17" s="4"/>
      <c r="O17" s="4"/>
      <c r="P17" s="4"/>
      <c r="Q17" s="4"/>
      <c r="R17" s="4"/>
      <c r="T17" s="4"/>
    </row>
    <row r="18" spans="1:20" ht="16.5" thickBot="1">
      <c r="A18" s="559" t="s">
        <v>603</v>
      </c>
      <c r="B18" s="2049" t="str">
        <f>"BAS "&amp;År-2000&amp;""</f>
        <v>BAS 24</v>
      </c>
      <c r="C18" s="736"/>
      <c r="D18" s="742"/>
      <c r="E18" s="4"/>
      <c r="F18" s="4"/>
      <c r="G18" s="4"/>
      <c r="H18" s="70" t="s">
        <v>609</v>
      </c>
      <c r="I18" s="165"/>
      <c r="J18" s="165"/>
      <c r="K18" s="165"/>
      <c r="L18" s="165"/>
      <c r="N18" s="2550"/>
      <c r="O18" s="2550"/>
      <c r="P18" s="2550"/>
      <c r="Q18" s="2551"/>
      <c r="R18" s="4"/>
      <c r="T18" s="4"/>
    </row>
    <row r="19" spans="1:20" ht="12.75">
      <c r="A19" s="561" t="s">
        <v>605</v>
      </c>
      <c r="B19" s="724"/>
      <c r="C19" s="569"/>
      <c r="D19" s="746"/>
      <c r="E19" s="4"/>
      <c r="F19" s="4"/>
      <c r="G19" s="4"/>
      <c r="H19" s="559" t="s">
        <v>603</v>
      </c>
      <c r="I19" s="2049" t="str">
        <f>"BAS "&amp;År-2000&amp;""</f>
        <v>BAS 24</v>
      </c>
      <c r="J19" s="736"/>
      <c r="K19" s="1598" t="s">
        <v>604</v>
      </c>
      <c r="L19" s="1801" t="s">
        <v>705</v>
      </c>
      <c r="M19" s="1237"/>
      <c r="N19" s="2552"/>
      <c r="O19" s="2552"/>
      <c r="P19" s="2552"/>
      <c r="Q19" s="2551"/>
      <c r="S19" s="395"/>
      <c r="T19" s="4"/>
    </row>
    <row r="20" spans="1:20" s="175" customFormat="1" ht="15">
      <c r="A20" s="766"/>
      <c r="B20" s="726"/>
      <c r="C20" s="554"/>
      <c r="D20" s="747"/>
      <c r="E20" s="174"/>
      <c r="F20" s="174"/>
      <c r="G20" s="174"/>
      <c r="H20" s="561" t="s">
        <v>605</v>
      </c>
      <c r="I20" s="748"/>
      <c r="J20" s="737"/>
      <c r="K20" s="1599" t="s">
        <v>1244</v>
      </c>
      <c r="L20" s="1802" t="s">
        <v>1244</v>
      </c>
      <c r="M20" s="85"/>
      <c r="Q20" s="198"/>
      <c r="S20" s="85"/>
      <c r="T20" s="174"/>
    </row>
    <row r="21" spans="1:20" s="175" customFormat="1" ht="14.25" customHeight="1">
      <c r="A21" s="510">
        <v>711</v>
      </c>
      <c r="B21" s="622">
        <v>821</v>
      </c>
      <c r="C21" s="518" t="s">
        <v>686</v>
      </c>
      <c r="D21" s="332">
        <v>99537</v>
      </c>
      <c r="E21" s="174"/>
      <c r="F21" s="1858"/>
      <c r="G21" s="1859"/>
      <c r="H21" s="749"/>
      <c r="I21" s="750"/>
      <c r="J21" s="738"/>
      <c r="K21" s="1596"/>
      <c r="L21" s="751"/>
      <c r="M21" s="16"/>
      <c r="N21" s="178"/>
      <c r="O21" s="178"/>
      <c r="P21" s="178"/>
      <c r="Q21" s="165"/>
      <c r="S21" s="16"/>
      <c r="T21" s="174"/>
    </row>
    <row r="22" spans="1:20" ht="14.25" customHeight="1">
      <c r="A22" s="510">
        <v>713</v>
      </c>
      <c r="B22" s="622">
        <v>822</v>
      </c>
      <c r="C22" s="518" t="s">
        <v>687</v>
      </c>
      <c r="D22" s="332">
        <v>1130</v>
      </c>
      <c r="E22" s="4"/>
      <c r="F22" s="1860"/>
      <c r="G22" s="1859"/>
      <c r="H22" s="510">
        <v>900</v>
      </c>
      <c r="I22" s="524">
        <v>852</v>
      </c>
      <c r="J22" s="513" t="s">
        <v>742</v>
      </c>
      <c r="K22" s="416">
        <v>17155.847000000002</v>
      </c>
      <c r="L22" s="96">
        <v>21843.759999999998</v>
      </c>
      <c r="M22" s="1847"/>
      <c r="N22" s="1237"/>
      <c r="O22" s="140"/>
      <c r="P22" s="248"/>
      <c r="Q22" s="120"/>
      <c r="S22" s="1262"/>
      <c r="T22" s="4"/>
    </row>
    <row r="23" spans="1:20" ht="14.25" customHeight="1">
      <c r="A23" s="510">
        <v>715</v>
      </c>
      <c r="B23" s="622">
        <v>823</v>
      </c>
      <c r="C23" s="518" t="s">
        <v>688</v>
      </c>
      <c r="D23" s="332">
        <v>0</v>
      </c>
      <c r="E23" s="192"/>
      <c r="F23" s="1860"/>
      <c r="G23" s="1859"/>
      <c r="H23" s="510">
        <v>910</v>
      </c>
      <c r="I23" s="520">
        <v>853</v>
      </c>
      <c r="J23" s="513" t="s">
        <v>1164</v>
      </c>
      <c r="K23" s="416">
        <v>6117.2489999999998</v>
      </c>
      <c r="L23" s="97">
        <v>6068.2030000000004</v>
      </c>
      <c r="M23" s="1847"/>
      <c r="N23" s="4"/>
      <c r="O23" s="4"/>
      <c r="P23" s="4"/>
      <c r="Q23" s="165"/>
      <c r="S23" s="1246"/>
      <c r="T23" s="4"/>
    </row>
    <row r="24" spans="1:20" ht="14.25" customHeight="1">
      <c r="A24" s="510">
        <v>717</v>
      </c>
      <c r="B24" s="622">
        <v>824</v>
      </c>
      <c r="C24" s="518" t="s">
        <v>689</v>
      </c>
      <c r="D24" s="332">
        <v>32302</v>
      </c>
      <c r="E24" s="192"/>
      <c r="F24" s="1860"/>
      <c r="G24" s="1859"/>
      <c r="H24" s="510">
        <v>920</v>
      </c>
      <c r="I24" s="2229">
        <v>855</v>
      </c>
      <c r="J24" s="2169" t="s">
        <v>1186</v>
      </c>
      <c r="K24" s="416">
        <v>87.2</v>
      </c>
      <c r="L24" s="854"/>
      <c r="M24" s="1847"/>
      <c r="N24" s="4"/>
      <c r="O24" s="4"/>
      <c r="P24" s="4"/>
      <c r="Q24" s="165"/>
      <c r="S24" s="1262"/>
      <c r="T24" s="4"/>
    </row>
    <row r="25" spans="1:20" ht="21" customHeight="1">
      <c r="A25" s="510">
        <v>719</v>
      </c>
      <c r="B25" s="622">
        <v>825</v>
      </c>
      <c r="C25" s="518" t="s">
        <v>690</v>
      </c>
      <c r="D25" s="332">
        <v>11257</v>
      </c>
      <c r="E25" s="192"/>
      <c r="F25" s="2553" t="s">
        <v>1085</v>
      </c>
      <c r="G25" s="2554"/>
      <c r="H25" s="510">
        <v>985</v>
      </c>
      <c r="I25" s="520">
        <v>8581</v>
      </c>
      <c r="J25" s="513" t="s">
        <v>713</v>
      </c>
      <c r="K25" s="416">
        <v>1.851</v>
      </c>
      <c r="L25" s="854"/>
      <c r="M25" s="1847"/>
      <c r="N25" s="1237"/>
      <c r="O25" s="1237"/>
      <c r="P25" s="140"/>
      <c r="Q25" s="243"/>
      <c r="S25" s="1246"/>
      <c r="T25" s="4"/>
    </row>
    <row r="26" spans="1:20" ht="22.5" customHeight="1">
      <c r="A26" s="510">
        <v>785</v>
      </c>
      <c r="B26" s="622">
        <v>826</v>
      </c>
      <c r="C26" s="518" t="s">
        <v>691</v>
      </c>
      <c r="D26" s="332">
        <v>5827</v>
      </c>
      <c r="E26" s="1853"/>
      <c r="F26" s="2555"/>
      <c r="G26" s="2554"/>
      <c r="H26" s="510">
        <v>996</v>
      </c>
      <c r="I26" s="520">
        <v>8582</v>
      </c>
      <c r="J26" s="513" t="s">
        <v>714</v>
      </c>
      <c r="K26" s="416">
        <v>7.8959999999999999</v>
      </c>
      <c r="L26" s="854"/>
      <c r="M26" s="1847"/>
      <c r="N26" s="1237"/>
      <c r="O26" s="1237"/>
      <c r="P26" s="140"/>
      <c r="Q26" s="243"/>
      <c r="S26" s="1246"/>
      <c r="T26" s="165"/>
    </row>
    <row r="27" spans="1:20" ht="15.75" customHeight="1">
      <c r="A27" s="510">
        <v>740</v>
      </c>
      <c r="B27" s="520">
        <v>829</v>
      </c>
      <c r="C27" s="2173" t="s">
        <v>1208</v>
      </c>
      <c r="D27" s="217">
        <v>4419.125</v>
      </c>
      <c r="E27" s="1866"/>
      <c r="F27" s="2556"/>
      <c r="G27" s="2554"/>
      <c r="H27" s="510">
        <v>984</v>
      </c>
      <c r="I27" s="520">
        <v>851</v>
      </c>
      <c r="J27" s="513" t="s">
        <v>1165</v>
      </c>
      <c r="K27" s="416">
        <v>400.51900000000001</v>
      </c>
      <c r="L27" s="97">
        <v>440.72500000000002</v>
      </c>
      <c r="M27" s="1847"/>
      <c r="N27" s="1237"/>
      <c r="O27" s="1237"/>
      <c r="P27" s="140"/>
      <c r="Q27" s="243"/>
      <c r="S27" s="1246"/>
      <c r="T27" s="165"/>
    </row>
    <row r="28" spans="1:20" ht="20.25" customHeight="1" thickBot="1">
      <c r="A28" s="521">
        <v>750</v>
      </c>
      <c r="B28" s="522">
        <v>82</v>
      </c>
      <c r="C28" s="1257" t="s">
        <v>692</v>
      </c>
      <c r="D28" s="329">
        <f>SUM(D21:D27)</f>
        <v>154472.125</v>
      </c>
      <c r="E28" s="1846"/>
      <c r="F28" s="1987"/>
      <c r="G28" s="1988"/>
      <c r="H28" s="2015">
        <v>992</v>
      </c>
      <c r="I28" s="1877">
        <v>856</v>
      </c>
      <c r="J28" s="513" t="s">
        <v>1038</v>
      </c>
      <c r="K28" s="416">
        <v>1433.9829999999999</v>
      </c>
      <c r="L28" s="854"/>
      <c r="M28" s="1847"/>
      <c r="N28" s="1237"/>
      <c r="O28" s="1237"/>
      <c r="P28" s="140"/>
      <c r="Q28" s="243"/>
      <c r="S28" s="1263"/>
      <c r="T28" s="165"/>
    </row>
    <row r="29" spans="1:20" ht="18" customHeight="1" thickBot="1">
      <c r="A29" s="4"/>
      <c r="B29" s="4"/>
      <c r="C29" s="4"/>
      <c r="D29" s="4"/>
      <c r="E29" s="1867"/>
      <c r="F29" s="1987"/>
      <c r="G29" s="1988"/>
      <c r="H29" s="1327">
        <v>998</v>
      </c>
      <c r="I29" s="1260">
        <v>859</v>
      </c>
      <c r="J29" s="1261" t="s">
        <v>1037</v>
      </c>
      <c r="K29" s="1597">
        <v>1073.6669999999999</v>
      </c>
      <c r="L29" s="1961"/>
      <c r="M29" s="1847"/>
      <c r="N29" s="165"/>
      <c r="O29" s="165"/>
      <c r="P29" s="165"/>
      <c r="Q29" s="165"/>
      <c r="S29" s="1237"/>
      <c r="T29" s="165"/>
    </row>
    <row r="30" spans="1:20" ht="19.5" customHeight="1" thickBot="1">
      <c r="A30" s="4"/>
      <c r="B30" s="4"/>
      <c r="C30" s="4"/>
      <c r="D30" s="4"/>
      <c r="E30" s="1868"/>
      <c r="F30" s="2141"/>
      <c r="G30" s="2141"/>
      <c r="H30" s="521">
        <v>990</v>
      </c>
      <c r="I30" s="526"/>
      <c r="J30" s="527" t="s">
        <v>8</v>
      </c>
      <c r="K30" s="1378">
        <f>RR!C15</f>
        <v>26278.212</v>
      </c>
      <c r="L30" s="17"/>
      <c r="N30" s="4"/>
      <c r="O30" s="4"/>
      <c r="P30" s="4"/>
      <c r="Q30" s="4"/>
      <c r="R30" s="165"/>
      <c r="T30" s="165"/>
    </row>
    <row r="31" spans="1:20" ht="16.5" customHeight="1" thickBot="1">
      <c r="A31" s="70" t="s">
        <v>886</v>
      </c>
      <c r="B31" s="4"/>
      <c r="C31" s="4"/>
      <c r="D31" s="33"/>
      <c r="E31" s="192"/>
      <c r="F31" s="2141"/>
      <c r="G31" s="2141"/>
      <c r="H31" s="4"/>
      <c r="I31" s="1268" t="s">
        <v>784</v>
      </c>
      <c r="J31" s="172"/>
      <c r="K31" s="1574">
        <f>(K30-SUM(K22:K29))*-1</f>
        <v>3.637978807091713E-12</v>
      </c>
      <c r="L31" s="1179"/>
      <c r="M31" s="1179"/>
      <c r="N31" s="4"/>
      <c r="O31" s="4"/>
      <c r="P31" s="4"/>
      <c r="Q31" s="4"/>
      <c r="R31" s="4"/>
      <c r="T31" s="4"/>
    </row>
    <row r="32" spans="1:20" ht="12.75">
      <c r="A32" s="559" t="s">
        <v>603</v>
      </c>
      <c r="B32" s="2049" t="str">
        <f>"BAS "&amp;År-2000&amp;""</f>
        <v>BAS 24</v>
      </c>
      <c r="C32" s="736"/>
      <c r="D32" s="742"/>
      <c r="E32" s="192"/>
      <c r="F32" s="2141"/>
      <c r="G32" s="2141"/>
      <c r="H32" s="4"/>
      <c r="I32" s="4"/>
      <c r="J32" s="4"/>
      <c r="K32" s="4"/>
      <c r="L32" s="4"/>
      <c r="M32" s="4"/>
      <c r="N32" s="4"/>
      <c r="O32" s="4"/>
      <c r="P32" s="4"/>
      <c r="Q32" s="4"/>
      <c r="R32" s="4"/>
      <c r="S32" s="4"/>
      <c r="T32" s="4"/>
    </row>
    <row r="33" spans="1:20" ht="12.75">
      <c r="A33" s="561" t="s">
        <v>605</v>
      </c>
      <c r="B33" s="724"/>
      <c r="C33" s="569"/>
      <c r="D33" s="746"/>
      <c r="E33" s="4"/>
      <c r="F33" s="2141"/>
      <c r="G33" s="2141"/>
      <c r="H33" s="4"/>
      <c r="I33" s="4"/>
      <c r="J33" s="4"/>
      <c r="K33" s="4"/>
      <c r="L33" s="4"/>
      <c r="M33" s="4"/>
      <c r="N33" s="4"/>
      <c r="O33" s="4"/>
      <c r="P33" s="4"/>
      <c r="Q33" s="4"/>
      <c r="R33" s="4"/>
      <c r="S33" s="4"/>
      <c r="T33" s="4"/>
    </row>
    <row r="34" spans="1:20" ht="15">
      <c r="A34" s="766"/>
      <c r="B34" s="726"/>
      <c r="C34" s="554"/>
      <c r="D34" s="747"/>
      <c r="E34" s="4"/>
      <c r="F34" s="2141"/>
      <c r="G34" s="2141"/>
      <c r="H34" s="2141"/>
      <c r="I34" s="2141"/>
      <c r="J34" s="2141"/>
      <c r="K34" s="2141"/>
      <c r="L34" s="4"/>
      <c r="M34" s="4"/>
      <c r="R34" s="4"/>
      <c r="S34" s="4"/>
      <c r="T34" s="4"/>
    </row>
    <row r="35" spans="1:20" ht="12.75">
      <c r="A35" s="713">
        <v>760</v>
      </c>
      <c r="B35" s="524">
        <v>831</v>
      </c>
      <c r="C35" s="525" t="s">
        <v>681</v>
      </c>
      <c r="D35" s="332">
        <v>13118</v>
      </c>
      <c r="E35" s="4"/>
      <c r="F35" s="4"/>
      <c r="G35" s="4"/>
      <c r="H35" s="2141"/>
      <c r="I35" s="2141"/>
      <c r="J35" s="2141"/>
      <c r="K35" s="2141"/>
      <c r="L35" s="1910"/>
    </row>
    <row r="36" spans="1:20" ht="12.75">
      <c r="A36" s="713">
        <v>770</v>
      </c>
      <c r="B36" s="524">
        <v>834</v>
      </c>
      <c r="C36" s="525" t="s">
        <v>682</v>
      </c>
      <c r="D36" s="332">
        <v>0</v>
      </c>
      <c r="E36" s="4"/>
      <c r="F36" s="4"/>
      <c r="G36" s="4"/>
      <c r="H36" s="2141"/>
      <c r="I36" s="2141"/>
      <c r="J36" s="2141"/>
      <c r="K36" s="2141"/>
      <c r="L36" s="1910"/>
      <c r="N36" s="4"/>
      <c r="O36" s="4"/>
      <c r="P36" s="4"/>
      <c r="Q36" s="4"/>
    </row>
    <row r="37" spans="1:20" ht="12.75">
      <c r="A37" s="713">
        <v>780</v>
      </c>
      <c r="B37" s="524">
        <v>835</v>
      </c>
      <c r="C37" s="525" t="s">
        <v>683</v>
      </c>
      <c r="D37" s="333">
        <v>11175</v>
      </c>
      <c r="E37" s="4"/>
      <c r="F37" s="4"/>
      <c r="G37" s="4"/>
      <c r="H37" s="2141"/>
      <c r="I37" s="2141"/>
      <c r="J37" s="2141"/>
      <c r="K37" s="2141"/>
      <c r="L37" s="1910"/>
      <c r="M37" s="4"/>
      <c r="N37" s="4"/>
      <c r="O37" s="4"/>
      <c r="P37" s="4"/>
      <c r="Q37" s="4"/>
      <c r="R37" s="4"/>
      <c r="S37" s="4"/>
      <c r="T37" s="4"/>
    </row>
    <row r="38" spans="1:20" ht="12.75">
      <c r="A38" s="713">
        <v>786</v>
      </c>
      <c r="B38" s="524">
        <v>836</v>
      </c>
      <c r="C38" s="525" t="s">
        <v>684</v>
      </c>
      <c r="D38" s="333">
        <v>5827</v>
      </c>
      <c r="E38" s="4"/>
      <c r="F38" s="4"/>
      <c r="G38" s="4"/>
      <c r="H38" s="2141"/>
      <c r="I38" s="2141"/>
      <c r="J38" s="2141"/>
      <c r="K38" s="2141"/>
      <c r="L38" s="1910"/>
      <c r="M38" s="4"/>
      <c r="N38" s="4"/>
      <c r="O38" s="4"/>
      <c r="P38" s="4"/>
      <c r="Q38" s="4"/>
      <c r="R38" s="4"/>
      <c r="S38" s="4"/>
      <c r="T38" s="4"/>
    </row>
    <row r="39" spans="1:20" ht="13.5" thickBot="1">
      <c r="A39" s="714">
        <v>790</v>
      </c>
      <c r="B39" s="752"/>
      <c r="C39" s="1258" t="s">
        <v>685</v>
      </c>
      <c r="D39" s="330">
        <f>SUM(D35:D38)</f>
        <v>30120</v>
      </c>
      <c r="E39" s="33"/>
      <c r="F39" s="4"/>
      <c r="G39" s="4"/>
      <c r="H39" s="4"/>
      <c r="I39" s="4"/>
      <c r="J39" s="4"/>
      <c r="K39" s="4"/>
      <c r="L39" s="4"/>
      <c r="M39" s="4"/>
      <c r="N39" s="4"/>
      <c r="O39" s="4"/>
      <c r="P39" s="4"/>
      <c r="Q39" s="4"/>
      <c r="R39" s="4"/>
      <c r="S39" s="4"/>
      <c r="T39" s="4"/>
    </row>
    <row r="40" spans="1:20" ht="13.5" thickBot="1">
      <c r="A40" s="223"/>
      <c r="B40" s="15"/>
      <c r="C40" s="16"/>
      <c r="D40" s="17"/>
      <c r="E40" s="33"/>
      <c r="F40" s="4"/>
      <c r="G40" s="4"/>
      <c r="H40" s="4"/>
      <c r="I40" s="4"/>
      <c r="J40" s="4"/>
      <c r="K40" s="4"/>
      <c r="L40" s="4"/>
      <c r="M40" s="4"/>
      <c r="N40" s="4"/>
      <c r="O40" s="4"/>
      <c r="P40" s="4"/>
      <c r="Q40" s="4"/>
      <c r="R40" s="4"/>
      <c r="S40" s="4"/>
      <c r="T40" s="4"/>
    </row>
    <row r="41" spans="1:20" ht="13.5" thickBot="1">
      <c r="A41" s="721">
        <v>765</v>
      </c>
      <c r="B41" s="753">
        <v>828</v>
      </c>
      <c r="C41" s="1259" t="s">
        <v>740</v>
      </c>
      <c r="D41" s="224">
        <v>24051.401000000002</v>
      </c>
      <c r="E41" s="2028" t="str">
        <f>IF(OR(D41="",D41=0),"Kontrollera Kommunal fastighetsavgift","")</f>
        <v/>
      </c>
      <c r="F41" s="4"/>
      <c r="G41" s="4"/>
      <c r="H41" s="4"/>
      <c r="I41" s="4"/>
      <c r="J41" s="4"/>
      <c r="K41" s="4"/>
      <c r="L41" s="4"/>
      <c r="M41" s="4"/>
      <c r="N41" s="4"/>
      <c r="O41" s="4"/>
      <c r="P41" s="4"/>
      <c r="Q41" s="4"/>
      <c r="R41" s="4"/>
      <c r="S41" s="4"/>
      <c r="T41" s="4"/>
    </row>
    <row r="42" spans="1:20" ht="12.75">
      <c r="A42" s="4"/>
      <c r="B42" s="4"/>
      <c r="C42" s="4"/>
      <c r="D42" s="4"/>
      <c r="E42" s="4"/>
      <c r="F42" s="4"/>
      <c r="G42" s="4"/>
      <c r="H42" s="4"/>
      <c r="I42" s="4"/>
      <c r="J42" s="4"/>
      <c r="K42" s="4"/>
      <c r="L42" s="4"/>
      <c r="M42" s="4"/>
      <c r="N42" s="4"/>
      <c r="O42" s="4"/>
      <c r="P42" s="4"/>
      <c r="Q42" s="4"/>
      <c r="R42" s="4"/>
      <c r="S42" s="4"/>
      <c r="T42" s="4"/>
    </row>
    <row r="43" spans="1:20" ht="12.75">
      <c r="A43" s="4"/>
      <c r="B43" s="4"/>
      <c r="C43" s="4"/>
      <c r="D43" s="4"/>
      <c r="E43" s="4"/>
      <c r="F43" s="4"/>
      <c r="G43" s="4"/>
      <c r="H43" s="4"/>
      <c r="I43" s="4"/>
      <c r="J43" s="4"/>
      <c r="K43" s="4"/>
      <c r="L43" s="4"/>
      <c r="M43" s="4"/>
      <c r="N43" s="4"/>
      <c r="O43" s="4"/>
      <c r="P43" s="4"/>
      <c r="Q43" s="4"/>
      <c r="R43" s="4"/>
      <c r="S43" s="4"/>
      <c r="T43" s="4"/>
    </row>
    <row r="44" spans="1:20" ht="12.75" hidden="1">
      <c r="A44" s="4"/>
      <c r="B44" s="4"/>
      <c r="C44" s="4"/>
      <c r="D44" s="4"/>
      <c r="E44" s="4"/>
      <c r="H44" s="4"/>
      <c r="I44" s="4"/>
      <c r="J44" s="4"/>
      <c r="K44" s="4"/>
      <c r="L44" s="4"/>
      <c r="M44" s="4"/>
      <c r="R44" s="4"/>
      <c r="S44" s="4"/>
      <c r="T44" s="4"/>
    </row>
    <row r="45" spans="1:20" ht="12.75" hidden="1" customHeight="1"/>
    <row r="49" s="163" customFormat="1" ht="0" hidden="1" customHeight="1"/>
    <row r="50" s="163" customFormat="1" ht="0" hidden="1" customHeight="1"/>
    <row r="51" s="163" customFormat="1" ht="0" hidden="1" customHeight="1"/>
    <row r="52" s="163" customFormat="1" ht="0" hidden="1" customHeight="1"/>
    <row r="53" s="163" customFormat="1" ht="0" hidden="1" customHeight="1"/>
    <row r="54" s="163" customFormat="1" ht="0" hidden="1" customHeight="1"/>
    <row r="55" s="163" customFormat="1" ht="0" hidden="1" customHeight="1"/>
    <row r="56" s="163" customFormat="1" ht="0" hidden="1" customHeight="1"/>
    <row r="57" s="163" customFormat="1" ht="0" hidden="1" customHeight="1"/>
    <row r="58" s="163" customFormat="1" ht="0" hidden="1" customHeight="1"/>
    <row r="59" s="163" customFormat="1" ht="0" hidden="1" customHeight="1"/>
    <row r="60" s="163" customFormat="1" ht="0" hidden="1" customHeight="1"/>
    <row r="61" s="163" customFormat="1" ht="0" hidden="1" customHeight="1"/>
    <row r="62" s="163" customFormat="1" ht="0" hidden="1" customHeight="1"/>
    <row r="63" s="163" customFormat="1" ht="0" hidden="1" customHeight="1"/>
  </sheetData>
  <mergeCells count="2">
    <mergeCell ref="N18:Q19"/>
    <mergeCell ref="F25:G27"/>
  </mergeCells>
  <conditionalFormatting sqref="F21">
    <cfRule type="expression" dxfId="25" priority="20">
      <formula>G27&gt;0</formula>
    </cfRule>
  </conditionalFormatting>
  <conditionalFormatting sqref="F25:G27">
    <cfRule type="expression" dxfId="24" priority="10" stopIfTrue="1">
      <formula>(D27)&lt;1000</formula>
    </cfRule>
  </conditionalFormatting>
  <conditionalFormatting sqref="G28:G29">
    <cfRule type="cellIs" dxfId="23" priority="1" stopIfTrue="1" operator="lessThan">
      <formula>0</formula>
    </cfRule>
  </conditionalFormatting>
  <conditionalFormatting sqref="I17">
    <cfRule type="expression" dxfId="22" priority="16" stopIfTrue="1">
      <formula>ABS(K17)&gt;100</formula>
    </cfRule>
  </conditionalFormatting>
  <conditionalFormatting sqref="I31">
    <cfRule type="expression" dxfId="21" priority="14" stopIfTrue="1">
      <formula>ABS(K31)&gt;100</formula>
    </cfRule>
  </conditionalFormatting>
  <conditionalFormatting sqref="K8:L15 D27 D41">
    <cfRule type="cellIs" dxfId="20" priority="19" stopIfTrue="1" operator="lessThan">
      <formula>-500</formula>
    </cfRule>
  </conditionalFormatting>
  <conditionalFormatting sqref="K17:L17">
    <cfRule type="expression" dxfId="19" priority="15" stopIfTrue="1">
      <formula>ABS(K17)&gt;100</formula>
    </cfRule>
  </conditionalFormatting>
  <conditionalFormatting sqref="K22:L29">
    <cfRule type="cellIs" dxfId="18" priority="17" stopIfTrue="1" operator="lessThan">
      <formula>-500</formula>
    </cfRule>
  </conditionalFormatting>
  <conditionalFormatting sqref="K31:L31">
    <cfRule type="expression" dxfId="17" priority="13" stopIfTrue="1">
      <formula>ABS(K31)&gt;100</formula>
    </cfRule>
  </conditionalFormatting>
  <conditionalFormatting sqref="Q8">
    <cfRule type="cellIs" dxfId="16" priority="12" stopIfTrue="1" operator="lessThan">
      <formula>-500</formula>
    </cfRule>
  </conditionalFormatting>
  <conditionalFormatting sqref="Q12:Q16">
    <cfRule type="cellIs" dxfId="15" priority="3" stopIfTrue="1" operator="lessThan">
      <formula>-500</formula>
    </cfRule>
  </conditionalFormatting>
  <conditionalFormatting sqref="Q25:Q28">
    <cfRule type="cellIs" dxfId="14" priority="2" stopIfTrue="1" operator="lessThan">
      <formula>-500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activeCell="F36" sqref="F36"/>
      <selection pane="bottomLeft"/>
    </sheetView>
  </sheetViews>
  <sheetFormatPr defaultColWidth="0" defaultRowHeight="12.75" zeroHeight="1"/>
  <cols>
    <col min="1" max="1" width="4" style="137" customWidth="1"/>
    <col min="2" max="2" width="33.5703125" style="137" customWidth="1"/>
    <col min="3" max="8" width="11.42578125" style="137" customWidth="1"/>
    <col min="9" max="9" width="34" style="140" customWidth="1"/>
    <col min="10" max="10" width="39.5703125" style="137" customWidth="1"/>
    <col min="11" max="11" width="19.85546875" style="137" customWidth="1"/>
    <col min="12" max="12" width="4.42578125" style="163" customWidth="1"/>
    <col min="13" max="13" width="3" style="163" customWidth="1"/>
    <col min="14" max="16384" width="9.42578125" style="163" hidden="1"/>
  </cols>
  <sheetData>
    <row r="1" spans="1:13" s="225" customFormat="1" ht="20.25">
      <c r="A1" s="73" t="str">
        <f>"Investeringsredovisning "&amp;År&amp;", miljoner kr"</f>
        <v>Investeringsredovisning 2024, miljoner kr</v>
      </c>
      <c r="B1" s="90"/>
      <c r="C1" s="90"/>
      <c r="D1" s="90"/>
      <c r="E1" s="91"/>
      <c r="F1" s="91"/>
      <c r="G1" s="475" t="s">
        <v>446</v>
      </c>
      <c r="H1" s="476" t="str">
        <f>Information!A2</f>
        <v>RIKSTOTAL</v>
      </c>
      <c r="I1" s="152"/>
      <c r="J1" s="92">
        <v>1</v>
      </c>
      <c r="K1" s="92"/>
      <c r="L1" s="92"/>
      <c r="M1" s="92"/>
    </row>
    <row r="2" spans="1:13" s="225" customFormat="1" ht="12.75" customHeight="1">
      <c r="A2" s="2141"/>
      <c r="B2" s="2141"/>
      <c r="C2" s="2141"/>
      <c r="D2" s="2141"/>
      <c r="E2" s="2141"/>
      <c r="F2" s="2141"/>
      <c r="G2" s="2141"/>
      <c r="H2" s="2141"/>
      <c r="I2" s="2141"/>
      <c r="J2" s="2141"/>
      <c r="K2" s="2141"/>
      <c r="L2" s="2141"/>
      <c r="M2" s="2141"/>
    </row>
    <row r="3" spans="1:13" s="225" customFormat="1" ht="12.75" customHeight="1" thickBot="1">
      <c r="A3" s="2141"/>
      <c r="B3" s="2141"/>
      <c r="C3" s="2141"/>
      <c r="D3" s="2141"/>
      <c r="E3" s="2141"/>
      <c r="F3" s="2141"/>
      <c r="G3" s="2141"/>
      <c r="H3" s="2141"/>
      <c r="I3" s="2141"/>
      <c r="J3" s="2141"/>
      <c r="K3" s="2141"/>
      <c r="L3" s="2141"/>
      <c r="M3" s="2141"/>
    </row>
    <row r="4" spans="1:13" s="225" customFormat="1" ht="43.5" customHeight="1">
      <c r="A4" s="754" t="s">
        <v>464</v>
      </c>
      <c r="B4" s="755"/>
      <c r="C4" s="2557" t="s">
        <v>1168</v>
      </c>
      <c r="D4" s="2557" t="s">
        <v>938</v>
      </c>
      <c r="E4" s="2557" t="s">
        <v>1169</v>
      </c>
      <c r="F4" s="1604" t="s">
        <v>939</v>
      </c>
      <c r="G4" s="1804" t="s">
        <v>940</v>
      </c>
      <c r="H4" s="1805" t="s">
        <v>1170</v>
      </c>
      <c r="I4" s="64"/>
      <c r="J4" s="41"/>
      <c r="K4" s="226"/>
      <c r="L4" s="226"/>
    </row>
    <row r="5" spans="1:13" s="225" customFormat="1" ht="39.75" customHeight="1">
      <c r="A5" s="756"/>
      <c r="B5" s="757"/>
      <c r="C5" s="2558"/>
      <c r="D5" s="2558"/>
      <c r="E5" s="2558"/>
      <c r="F5" s="1605" t="s">
        <v>743</v>
      </c>
      <c r="G5" s="1606"/>
      <c r="H5" s="1603"/>
      <c r="I5" s="84"/>
      <c r="J5" s="1243"/>
      <c r="K5" s="226"/>
      <c r="L5" s="226"/>
    </row>
    <row r="6" spans="1:13" s="228" customFormat="1" ht="19.5" customHeight="1">
      <c r="A6" s="540" t="s">
        <v>469</v>
      </c>
      <c r="B6" s="541" t="s">
        <v>358</v>
      </c>
      <c r="C6" s="322">
        <v>756015.83799999999</v>
      </c>
      <c r="D6" s="322">
        <v>39494.631999999998</v>
      </c>
      <c r="E6" s="322">
        <v>361493.98599999998</v>
      </c>
      <c r="F6" s="1607">
        <v>88121.085999999996</v>
      </c>
      <c r="G6" s="1608">
        <v>1726231.577</v>
      </c>
      <c r="H6" s="1198">
        <v>45414.834000000003</v>
      </c>
      <c r="I6" s="1979"/>
      <c r="J6" s="1243"/>
      <c r="K6" s="227"/>
      <c r="L6" s="227"/>
    </row>
    <row r="7" spans="1:13" s="228" customFormat="1" ht="19.5" customHeight="1">
      <c r="A7" s="542" t="s">
        <v>470</v>
      </c>
      <c r="B7" s="2230" t="s">
        <v>861</v>
      </c>
      <c r="C7" s="233">
        <v>88579.713000000003</v>
      </c>
      <c r="D7" s="234">
        <v>10462.862999999999</v>
      </c>
      <c r="E7" s="235">
        <v>10001.11</v>
      </c>
      <c r="F7" s="1609">
        <v>5107.0870000000004</v>
      </c>
      <c r="G7" s="1690">
        <v>189217.97700000001</v>
      </c>
      <c r="H7" s="1733">
        <v>3871.2350000000001</v>
      </c>
      <c r="I7" s="1848"/>
      <c r="J7" s="1980"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27"/>
      <c r="L7" s="227"/>
    </row>
    <row r="8" spans="1:13" s="228" customFormat="1" ht="17.25" customHeight="1">
      <c r="A8" s="544" t="s">
        <v>471</v>
      </c>
      <c r="B8" s="543" t="s">
        <v>967</v>
      </c>
      <c r="C8" s="233">
        <v>-2550.0459999999998</v>
      </c>
      <c r="D8" s="234">
        <v>-336.98200000000003</v>
      </c>
      <c r="E8" s="235">
        <v>-2107.4589999999998</v>
      </c>
      <c r="F8" s="1609">
        <v>-147.54300000000001</v>
      </c>
      <c r="G8" s="1690">
        <v>-6866.6210000000001</v>
      </c>
      <c r="H8" s="1733">
        <v>-1642.7850000000001</v>
      </c>
      <c r="I8" s="1782"/>
      <c r="J8" s="1905" t="str">
        <f>IF(F8&lt;E8,"Rad 988: därav-kol.F&lt;Kol.E","")</f>
        <v/>
      </c>
      <c r="K8" s="227"/>
      <c r="L8" s="227"/>
    </row>
    <row r="9" spans="1:13" s="228" customFormat="1" ht="20.25" customHeight="1">
      <c r="A9" s="544" t="s">
        <v>472</v>
      </c>
      <c r="B9" s="543" t="s">
        <v>481</v>
      </c>
      <c r="C9" s="297">
        <v>1509.0150000000001</v>
      </c>
      <c r="D9" s="234">
        <v>154.822</v>
      </c>
      <c r="E9" s="235">
        <v>239.774</v>
      </c>
      <c r="F9" s="1609">
        <v>91.772000000000006</v>
      </c>
      <c r="G9" s="1690">
        <v>1839.7660000000001</v>
      </c>
      <c r="H9" s="1733">
        <v>235.023</v>
      </c>
      <c r="I9" s="1848"/>
      <c r="J9" s="1904" t="str">
        <f>IF(F9&gt;E9,"Rad 989: därav-kol.F&gt;kol.E","")</f>
        <v/>
      </c>
      <c r="K9" s="227"/>
      <c r="L9" s="227"/>
    </row>
    <row r="10" spans="1:13" s="228" customFormat="1" ht="21" customHeight="1">
      <c r="A10" s="544" t="s">
        <v>346</v>
      </c>
      <c r="B10" s="543" t="s">
        <v>981</v>
      </c>
      <c r="C10" s="297">
        <v>-859.05200000000002</v>
      </c>
      <c r="D10" s="234">
        <v>-90.308999999999997</v>
      </c>
      <c r="E10" s="235">
        <v>-7.3440000000000003</v>
      </c>
      <c r="F10" s="1609">
        <v>-0.73</v>
      </c>
      <c r="G10" s="1690">
        <v>-1621.7360000000001</v>
      </c>
      <c r="H10" s="1733">
        <v>-6.766</v>
      </c>
      <c r="I10" s="1848"/>
      <c r="J10" s="1904" t="str">
        <f>IF(F10&lt;E10,"Rad 990: därav-kol.F&lt;Kol.E","")</f>
        <v/>
      </c>
      <c r="K10" s="227"/>
      <c r="L10" s="227"/>
    </row>
    <row r="11" spans="1:13" s="228" customFormat="1" ht="15" customHeight="1">
      <c r="A11" s="544" t="s">
        <v>347</v>
      </c>
      <c r="B11" s="543" t="s">
        <v>344</v>
      </c>
      <c r="C11" s="233">
        <v>-31715.679</v>
      </c>
      <c r="D11" s="234">
        <v>-7709.2960000000003</v>
      </c>
      <c r="E11" s="1380">
        <v>0</v>
      </c>
      <c r="F11" s="1610">
        <v>0</v>
      </c>
      <c r="G11" s="1690">
        <v>-77560.900999999998</v>
      </c>
      <c r="H11" s="1733">
        <v>-14.946999999999999</v>
      </c>
      <c r="I11" s="1782"/>
      <c r="J11" s="1865"/>
      <c r="K11" s="227"/>
      <c r="L11" s="227"/>
    </row>
    <row r="12" spans="1:13" s="228" customFormat="1" ht="15" customHeight="1">
      <c r="A12" s="544" t="s">
        <v>348</v>
      </c>
      <c r="B12" s="543" t="s">
        <v>149</v>
      </c>
      <c r="C12" s="236">
        <v>48.146000000000001</v>
      </c>
      <c r="D12" s="237">
        <v>-17.577000000000002</v>
      </c>
      <c r="E12" s="50">
        <v>-313.92500000000001</v>
      </c>
      <c r="F12" s="1435">
        <v>-288.20100000000002</v>
      </c>
      <c r="G12" s="1690">
        <v>-1869.2619999999999</v>
      </c>
      <c r="H12" s="1733">
        <v>-147.483</v>
      </c>
      <c r="I12" s="1973"/>
      <c r="J12" s="2564"/>
      <c r="K12" s="2565"/>
      <c r="L12" s="2565"/>
      <c r="M12" s="2565"/>
    </row>
    <row r="13" spans="1:13" s="228" customFormat="1" ht="19.5" customHeight="1">
      <c r="A13" s="545" t="s">
        <v>349</v>
      </c>
      <c r="B13" s="2230" t="s">
        <v>1099</v>
      </c>
      <c r="C13" s="233">
        <v>8601.0280000000002</v>
      </c>
      <c r="D13" s="234">
        <v>546.91800000000001</v>
      </c>
      <c r="E13" s="235">
        <v>-835.09900000000005</v>
      </c>
      <c r="F13" s="1609">
        <v>-158.56800000000001</v>
      </c>
      <c r="G13" s="1690">
        <v>7219.2889999999998</v>
      </c>
      <c r="H13" s="1733">
        <v>-185.37100000000001</v>
      </c>
      <c r="I13" s="1976"/>
      <c r="J13" s="2565"/>
      <c r="K13" s="2565"/>
      <c r="L13" s="2565"/>
      <c r="M13" s="2565"/>
    </row>
    <row r="14" spans="1:13" s="228" customFormat="1" ht="13.5" customHeight="1">
      <c r="A14" s="544" t="s">
        <v>350</v>
      </c>
      <c r="B14" s="543" t="s">
        <v>345</v>
      </c>
      <c r="C14" s="233">
        <v>12261.092000000001</v>
      </c>
      <c r="D14" s="234">
        <v>51.411999999999999</v>
      </c>
      <c r="E14" s="235">
        <v>28281.934000000001</v>
      </c>
      <c r="F14" s="1609">
        <v>-284.81400000000002</v>
      </c>
      <c r="G14" s="1690">
        <v>13074.072</v>
      </c>
      <c r="H14" s="1733">
        <v>501.88099999999997</v>
      </c>
      <c r="I14" s="1977"/>
      <c r="J14" s="2565"/>
      <c r="K14" s="2565"/>
      <c r="L14" s="2565"/>
      <c r="M14" s="2565"/>
    </row>
    <row r="15" spans="1:13" s="228" customFormat="1" ht="12" thickBot="1">
      <c r="A15" s="546" t="s">
        <v>351</v>
      </c>
      <c r="B15" s="547" t="s">
        <v>359</v>
      </c>
      <c r="C15" s="279">
        <f>BR!D10</f>
        <v>831890.05500000005</v>
      </c>
      <c r="D15" s="280">
        <f>BR!D11</f>
        <v>42556.483</v>
      </c>
      <c r="E15" s="280">
        <f>BR!D17</f>
        <v>396752.97500000003</v>
      </c>
      <c r="F15" s="1611">
        <f>BR!D13</f>
        <v>92440.089000000007</v>
      </c>
      <c r="G15" s="1612">
        <f>BR!E12</f>
        <v>1849664.1610000001</v>
      </c>
      <c r="H15" s="1602">
        <f>BR!E17</f>
        <v>48025.620999999999</v>
      </c>
      <c r="I15" s="1381"/>
      <c r="J15" s="2565"/>
      <c r="K15" s="2565"/>
      <c r="L15" s="2565"/>
      <c r="M15" s="2565"/>
    </row>
    <row r="16" spans="1:13" s="228" customFormat="1" ht="37.5" customHeight="1">
      <c r="A16" s="56"/>
      <c r="B16" s="55"/>
      <c r="C16" s="134"/>
      <c r="D16" s="134"/>
      <c r="E16" s="134"/>
      <c r="F16" s="134"/>
      <c r="G16" s="1691"/>
      <c r="H16" s="1692"/>
      <c r="I16" s="2141"/>
      <c r="J16" s="2141"/>
      <c r="K16" s="2141"/>
      <c r="L16" s="2141"/>
    </row>
    <row r="17" spans="1:12" ht="12.75" customHeight="1">
      <c r="A17" s="266"/>
      <c r="B17" s="192"/>
      <c r="C17" s="41"/>
      <c r="D17" s="41"/>
      <c r="E17" s="41"/>
      <c r="F17" s="41"/>
      <c r="G17" s="1689"/>
      <c r="H17" s="1689"/>
      <c r="I17" s="43"/>
      <c r="J17" s="43"/>
      <c r="K17" s="4"/>
      <c r="L17" s="2520"/>
    </row>
    <row r="18" spans="1:12" ht="25.5" customHeight="1">
      <c r="A18" s="1403" t="s">
        <v>1177</v>
      </c>
      <c r="B18" s="1402"/>
      <c r="C18" s="1402"/>
      <c r="D18" s="1402"/>
      <c r="E18" s="1402"/>
      <c r="F18" s="1402"/>
      <c r="G18" s="1402"/>
      <c r="H18" s="1402"/>
      <c r="I18" s="1402"/>
      <c r="J18" s="1402"/>
      <c r="K18" s="1402"/>
      <c r="L18" s="2521"/>
    </row>
    <row r="19" spans="1:12" s="230" customFormat="1" ht="22.5" customHeight="1" thickBot="1">
      <c r="A19" s="1374" t="s">
        <v>1066</v>
      </c>
      <c r="B19" s="229"/>
      <c r="C19" s="57"/>
      <c r="D19" s="58"/>
      <c r="E19" s="59"/>
      <c r="F19" s="59"/>
      <c r="G19" s="59"/>
      <c r="H19" s="59"/>
      <c r="I19" s="153"/>
      <c r="J19" s="151"/>
      <c r="K19" s="60"/>
      <c r="L19" s="2522"/>
    </row>
    <row r="20" spans="1:12" ht="14.25" customHeight="1">
      <c r="A20" s="758" t="s">
        <v>603</v>
      </c>
      <c r="B20" s="759" t="s">
        <v>13</v>
      </c>
      <c r="C20" s="1375" t="s">
        <v>865</v>
      </c>
      <c r="D20" s="760" t="s">
        <v>168</v>
      </c>
      <c r="E20" s="761"/>
      <c r="F20" s="761"/>
      <c r="G20" s="1746"/>
      <c r="H20" s="1747"/>
      <c r="I20" s="37"/>
      <c r="J20" s="37"/>
      <c r="K20" s="42"/>
      <c r="L20" s="4"/>
    </row>
    <row r="21" spans="1:12" ht="27.75" customHeight="1">
      <c r="A21" s="762" t="s">
        <v>605</v>
      </c>
      <c r="B21" s="725"/>
      <c r="C21" s="1376" t="s">
        <v>866</v>
      </c>
      <c r="D21" s="1373" t="s">
        <v>924</v>
      </c>
      <c r="E21" s="1373" t="s">
        <v>863</v>
      </c>
      <c r="F21" s="1734" t="s">
        <v>864</v>
      </c>
      <c r="G21" s="1748"/>
      <c r="H21" s="1749"/>
      <c r="I21" s="7"/>
      <c r="J21" s="61"/>
      <c r="K21" s="42"/>
      <c r="L21" s="4"/>
    </row>
    <row r="22" spans="1:12">
      <c r="A22" s="762"/>
      <c r="B22" s="764"/>
      <c r="C22" s="765"/>
      <c r="D22" s="763" t="s">
        <v>925</v>
      </c>
      <c r="E22" s="813" t="s">
        <v>169</v>
      </c>
      <c r="F22" s="1735" t="s">
        <v>170</v>
      </c>
      <c r="G22" s="1750"/>
      <c r="H22" s="1751"/>
      <c r="I22" s="7"/>
      <c r="J22" s="61"/>
      <c r="K22" s="42"/>
      <c r="L22" s="4"/>
    </row>
    <row r="23" spans="1:12" ht="36" customHeight="1">
      <c r="A23" s="766"/>
      <c r="B23" s="767"/>
      <c r="C23" s="768"/>
      <c r="D23" s="1484" t="s">
        <v>928</v>
      </c>
      <c r="E23" s="1485" t="s">
        <v>926</v>
      </c>
      <c r="F23" s="1736" t="s">
        <v>927</v>
      </c>
      <c r="G23" s="1752"/>
      <c r="H23" s="1423"/>
      <c r="I23" s="7"/>
      <c r="J23" s="7"/>
      <c r="K23" s="42"/>
      <c r="L23" s="4"/>
    </row>
    <row r="24" spans="1:12">
      <c r="A24" s="769"/>
      <c r="B24" s="2063" t="s">
        <v>14</v>
      </c>
      <c r="C24" s="770"/>
      <c r="D24" s="770"/>
      <c r="E24" s="770"/>
      <c r="F24" s="1737"/>
      <c r="G24" s="1753"/>
      <c r="H24" s="1754"/>
      <c r="I24" s="154"/>
      <c r="J24" s="155"/>
      <c r="K24" s="156"/>
      <c r="L24" s="156"/>
    </row>
    <row r="25" spans="1:12">
      <c r="A25" s="1824" t="s">
        <v>210</v>
      </c>
      <c r="B25" s="552" t="s">
        <v>15</v>
      </c>
      <c r="C25" s="238">
        <v>90.501000000000005</v>
      </c>
      <c r="D25" s="238">
        <v>71.298000000000002</v>
      </c>
      <c r="E25" s="238">
        <v>8.5500000000000007</v>
      </c>
      <c r="F25" s="1738">
        <v>6.9790000000000001</v>
      </c>
      <c r="G25" s="1766"/>
      <c r="H25" s="1755"/>
      <c r="I25" s="294"/>
      <c r="J25" s="294"/>
      <c r="K25" s="295"/>
      <c r="L25" s="172"/>
    </row>
    <row r="26" spans="1:12" ht="18.75">
      <c r="A26" s="771" t="s">
        <v>211</v>
      </c>
      <c r="B26" s="555" t="s">
        <v>984</v>
      </c>
      <c r="C26" s="18">
        <v>9534.4009999999998</v>
      </c>
      <c r="D26" s="18">
        <v>6468.0320000000002</v>
      </c>
      <c r="E26" s="18">
        <v>90.891999999999996</v>
      </c>
      <c r="F26" s="416">
        <v>2512.7559999999999</v>
      </c>
      <c r="G26" s="1766"/>
      <c r="H26" s="1755"/>
      <c r="I26" s="294"/>
      <c r="J26" s="294"/>
      <c r="K26" s="295"/>
      <c r="L26" s="172"/>
    </row>
    <row r="27" spans="1:12">
      <c r="A27" s="544" t="s">
        <v>338</v>
      </c>
      <c r="B27" s="513" t="s">
        <v>171</v>
      </c>
      <c r="C27" s="18">
        <v>132.28899999999999</v>
      </c>
      <c r="D27" s="18">
        <v>111.258</v>
      </c>
      <c r="E27" s="18">
        <v>6.4169999999999998</v>
      </c>
      <c r="F27" s="416">
        <v>1.0780000000000001</v>
      </c>
      <c r="G27" s="1766"/>
      <c r="H27" s="1755"/>
      <c r="I27" s="294"/>
      <c r="J27" s="294"/>
      <c r="K27" s="295"/>
      <c r="L27" s="172"/>
    </row>
    <row r="28" spans="1:12">
      <c r="A28" s="544" t="s">
        <v>214</v>
      </c>
      <c r="B28" s="513" t="s">
        <v>799</v>
      </c>
      <c r="C28" s="18">
        <v>15851.151</v>
      </c>
      <c r="D28" s="18">
        <v>13902.591</v>
      </c>
      <c r="E28" s="18">
        <v>335.70299999999997</v>
      </c>
      <c r="F28" s="416">
        <v>370.64</v>
      </c>
      <c r="G28" s="1766"/>
      <c r="H28" s="1755"/>
      <c r="I28" s="294"/>
      <c r="J28" s="294"/>
      <c r="K28" s="295"/>
      <c r="L28" s="172"/>
    </row>
    <row r="29" spans="1:12">
      <c r="A29" s="544" t="s">
        <v>215</v>
      </c>
      <c r="B29" s="513" t="s">
        <v>16</v>
      </c>
      <c r="C29" s="18">
        <v>2649.105</v>
      </c>
      <c r="D29" s="18">
        <v>2061.326</v>
      </c>
      <c r="E29" s="18">
        <v>244.351</v>
      </c>
      <c r="F29" s="416">
        <v>32.244999999999997</v>
      </c>
      <c r="G29" s="1766"/>
      <c r="H29" s="1755"/>
      <c r="I29" s="294"/>
      <c r="J29" s="294"/>
      <c r="K29" s="295"/>
      <c r="L29" s="172"/>
    </row>
    <row r="30" spans="1:12">
      <c r="A30" s="544" t="s">
        <v>339</v>
      </c>
      <c r="B30" s="513" t="s">
        <v>173</v>
      </c>
      <c r="C30" s="18">
        <v>111.542</v>
      </c>
      <c r="D30" s="18">
        <v>88.119</v>
      </c>
      <c r="E30" s="18">
        <v>10.422000000000001</v>
      </c>
      <c r="F30" s="416">
        <v>4.5289999999999999</v>
      </c>
      <c r="G30" s="1766"/>
      <c r="H30" s="1755"/>
      <c r="I30" s="294"/>
      <c r="J30" s="294"/>
      <c r="K30" s="295"/>
      <c r="L30" s="172"/>
    </row>
    <row r="31" spans="1:12">
      <c r="A31" s="544" t="s">
        <v>219</v>
      </c>
      <c r="B31" s="513" t="s">
        <v>17</v>
      </c>
      <c r="C31" s="18">
        <v>812.68200000000002</v>
      </c>
      <c r="D31" s="18">
        <v>476.88</v>
      </c>
      <c r="E31" s="18">
        <v>285.01900000000001</v>
      </c>
      <c r="F31" s="416">
        <v>17.076000000000001</v>
      </c>
      <c r="G31" s="1766"/>
      <c r="H31" s="1755"/>
      <c r="I31" s="294"/>
      <c r="J31" s="294"/>
      <c r="K31" s="295"/>
      <c r="L31" s="172"/>
    </row>
    <row r="32" spans="1:12">
      <c r="A32" s="544" t="s">
        <v>220</v>
      </c>
      <c r="B32" s="513" t="s">
        <v>174</v>
      </c>
      <c r="C32" s="18">
        <v>425.21300000000002</v>
      </c>
      <c r="D32" s="18">
        <v>229.345</v>
      </c>
      <c r="E32" s="18">
        <v>66.241</v>
      </c>
      <c r="F32" s="416">
        <v>113.553</v>
      </c>
      <c r="G32" s="1766"/>
      <c r="H32" s="1755"/>
      <c r="I32" s="294"/>
      <c r="J32" s="294"/>
      <c r="K32" s="295"/>
      <c r="L32" s="172"/>
    </row>
    <row r="33" spans="1:12">
      <c r="A33" s="551" t="s">
        <v>221</v>
      </c>
      <c r="B33" s="552" t="s">
        <v>175</v>
      </c>
      <c r="C33" s="336">
        <f>SUM(C26:C32)</f>
        <v>29516.383000000002</v>
      </c>
      <c r="D33" s="336">
        <f>SUM(D26:D32)</f>
        <v>23337.551000000003</v>
      </c>
      <c r="E33" s="336">
        <f>SUM(E26:E32)</f>
        <v>1039.0450000000001</v>
      </c>
      <c r="F33" s="1739">
        <f>SUM(F26:F32)</f>
        <v>3051.8769999999995</v>
      </c>
      <c r="G33" s="1766"/>
      <c r="H33" s="1755"/>
      <c r="I33" s="294"/>
      <c r="J33" s="294"/>
      <c r="K33" s="296"/>
      <c r="L33" s="172"/>
    </row>
    <row r="34" spans="1:12">
      <c r="A34" s="553" t="s">
        <v>231</v>
      </c>
      <c r="B34" s="554" t="s">
        <v>176</v>
      </c>
      <c r="C34" s="239">
        <v>9355.01</v>
      </c>
      <c r="D34" s="239">
        <v>7019.8370000000004</v>
      </c>
      <c r="E34" s="239">
        <v>731.53899999999999</v>
      </c>
      <c r="F34" s="1740">
        <v>1229.0619999999999</v>
      </c>
      <c r="G34" s="1766"/>
      <c r="H34" s="1755"/>
      <c r="I34" s="294"/>
      <c r="J34" s="294"/>
      <c r="K34" s="295"/>
      <c r="L34" s="172"/>
    </row>
    <row r="35" spans="1:12" ht="18.75">
      <c r="A35" s="772" t="s">
        <v>237</v>
      </c>
      <c r="B35" s="1162" t="s">
        <v>721</v>
      </c>
      <c r="C35" s="238">
        <v>6453.6760000000004</v>
      </c>
      <c r="D35" s="238">
        <v>5672.2950000000001</v>
      </c>
      <c r="E35" s="238">
        <v>326.00299999999999</v>
      </c>
      <c r="F35" s="1738">
        <v>309.24900000000002</v>
      </c>
      <c r="G35" s="1766"/>
      <c r="H35" s="1755"/>
      <c r="I35" s="294"/>
      <c r="J35" s="294"/>
      <c r="K35" s="295"/>
      <c r="L35" s="172"/>
    </row>
    <row r="36" spans="1:12">
      <c r="A36" s="548"/>
      <c r="B36" s="549" t="s">
        <v>177</v>
      </c>
      <c r="C36" s="773"/>
      <c r="D36" s="773"/>
      <c r="E36" s="773"/>
      <c r="F36" s="1741"/>
      <c r="G36" s="1766"/>
      <c r="H36" s="1755"/>
      <c r="I36" s="294"/>
      <c r="J36" s="294"/>
      <c r="K36" s="295"/>
      <c r="L36" s="172"/>
    </row>
    <row r="37" spans="1:12" ht="18.75">
      <c r="A37" s="542" t="s">
        <v>383</v>
      </c>
      <c r="B37" s="2178" t="s">
        <v>1188</v>
      </c>
      <c r="C37" s="18">
        <v>14785.47</v>
      </c>
      <c r="D37" s="18">
        <v>12084.678</v>
      </c>
      <c r="E37" s="18">
        <v>1105.9860000000001</v>
      </c>
      <c r="F37" s="416">
        <v>1129.1300000000001</v>
      </c>
      <c r="G37" s="1766"/>
      <c r="H37" s="1755"/>
      <c r="I37" s="294"/>
      <c r="J37" s="294"/>
      <c r="K37" s="295"/>
      <c r="L37" s="172"/>
    </row>
    <row r="38" spans="1:12">
      <c r="A38" s="544" t="s">
        <v>340</v>
      </c>
      <c r="B38" s="2169" t="s">
        <v>1189</v>
      </c>
      <c r="C38" s="18">
        <v>2821.877</v>
      </c>
      <c r="D38" s="18">
        <v>1881.567</v>
      </c>
      <c r="E38" s="18">
        <v>445.75599999999997</v>
      </c>
      <c r="F38" s="416">
        <v>394.18099999999998</v>
      </c>
      <c r="G38" s="1766"/>
      <c r="H38" s="1755"/>
      <c r="I38" s="294"/>
      <c r="J38" s="294"/>
      <c r="K38" s="295"/>
      <c r="L38" s="172"/>
    </row>
    <row r="39" spans="1:12">
      <c r="A39" s="542" t="s">
        <v>341</v>
      </c>
      <c r="B39" s="513" t="s">
        <v>18</v>
      </c>
      <c r="C39" s="18">
        <v>339.34899999999999</v>
      </c>
      <c r="D39" s="18">
        <v>249.596</v>
      </c>
      <c r="E39" s="18">
        <v>54.774000000000001</v>
      </c>
      <c r="F39" s="416">
        <v>6.516</v>
      </c>
      <c r="G39" s="1766"/>
      <c r="H39" s="1755"/>
      <c r="I39" s="294"/>
      <c r="J39" s="294"/>
      <c r="K39" s="295"/>
      <c r="L39" s="295"/>
    </row>
    <row r="40" spans="1:12">
      <c r="A40" s="551" t="s">
        <v>245</v>
      </c>
      <c r="B40" s="552" t="s">
        <v>19</v>
      </c>
      <c r="C40" s="336">
        <f>SUM(C37:C39)</f>
        <v>17946.695999999996</v>
      </c>
      <c r="D40" s="336">
        <f>SUM(D37:D39)</f>
        <v>14215.840999999999</v>
      </c>
      <c r="E40" s="336">
        <f>SUM(E37:E39)</f>
        <v>1606.5160000000001</v>
      </c>
      <c r="F40" s="1739">
        <f>SUM(F37:F39)</f>
        <v>1529.8270000000002</v>
      </c>
      <c r="G40" s="1766"/>
      <c r="H40" s="1755"/>
      <c r="I40" s="294"/>
      <c r="J40" s="294"/>
      <c r="K40" s="295"/>
      <c r="L40" s="295"/>
    </row>
    <row r="41" spans="1:12">
      <c r="A41" s="553" t="s">
        <v>246</v>
      </c>
      <c r="B41" s="554" t="s">
        <v>178</v>
      </c>
      <c r="C41" s="336">
        <f>C35+C40</f>
        <v>24400.371999999996</v>
      </c>
      <c r="D41" s="336">
        <f>D35+D40</f>
        <v>19888.135999999999</v>
      </c>
      <c r="E41" s="336">
        <f>E35+E40</f>
        <v>1932.519</v>
      </c>
      <c r="F41" s="1742">
        <f>F35+F40</f>
        <v>1839.0760000000002</v>
      </c>
      <c r="G41" s="1766"/>
      <c r="H41" s="1755"/>
      <c r="I41" s="294"/>
      <c r="J41" s="294"/>
      <c r="K41" s="295"/>
      <c r="L41" s="295"/>
    </row>
    <row r="42" spans="1:12" ht="18.75">
      <c r="A42" s="540" t="s">
        <v>247</v>
      </c>
      <c r="B42" s="555" t="s">
        <v>179</v>
      </c>
      <c r="C42" s="18">
        <v>6.3650000000000002</v>
      </c>
      <c r="D42" s="18">
        <v>1.8140000000000001</v>
      </c>
      <c r="E42" s="18">
        <v>2.0790000000000002</v>
      </c>
      <c r="F42" s="416">
        <v>0</v>
      </c>
      <c r="G42" s="1766"/>
      <c r="H42" s="1755"/>
      <c r="I42" s="294"/>
      <c r="J42" s="294"/>
      <c r="K42" s="295"/>
      <c r="L42" s="295"/>
    </row>
    <row r="43" spans="1:12">
      <c r="A43" s="556" t="s">
        <v>248</v>
      </c>
      <c r="B43" s="513" t="s">
        <v>97</v>
      </c>
      <c r="C43" s="18">
        <v>177.10599999999999</v>
      </c>
      <c r="D43" s="18">
        <v>124.756</v>
      </c>
      <c r="E43" s="18">
        <v>44.470999999999997</v>
      </c>
      <c r="F43" s="416">
        <v>0.14499999999999999</v>
      </c>
      <c r="G43" s="1766"/>
      <c r="H43" s="1755"/>
      <c r="I43" s="294"/>
      <c r="J43" s="294"/>
      <c r="K43" s="295"/>
      <c r="L43" s="172"/>
    </row>
    <row r="44" spans="1:12">
      <c r="A44" s="544" t="s">
        <v>425</v>
      </c>
      <c r="B44" s="557" t="s">
        <v>476</v>
      </c>
      <c r="C44" s="454">
        <v>5193.8620000000001</v>
      </c>
      <c r="D44" s="18">
        <v>3024.2460000000001</v>
      </c>
      <c r="E44" s="18">
        <v>635.37300000000005</v>
      </c>
      <c r="F44" s="416">
        <v>1349.104</v>
      </c>
      <c r="G44" s="1766"/>
      <c r="H44" s="1755"/>
      <c r="I44" s="294"/>
      <c r="J44" s="294"/>
      <c r="K44" s="295"/>
      <c r="L44" s="172"/>
    </row>
    <row r="45" spans="1:12" ht="18.75">
      <c r="A45" s="544" t="s">
        <v>488</v>
      </c>
      <c r="B45" s="550" t="s">
        <v>489</v>
      </c>
      <c r="C45" s="454">
        <v>1396.173</v>
      </c>
      <c r="D45" s="18">
        <v>800.78200000000004</v>
      </c>
      <c r="E45" s="18">
        <v>118.71899999999999</v>
      </c>
      <c r="F45" s="416">
        <v>383.89400000000001</v>
      </c>
      <c r="G45" s="1766"/>
      <c r="H45" s="1755"/>
      <c r="I45" s="294"/>
      <c r="J45" s="294"/>
      <c r="K45" s="295"/>
      <c r="L45" s="172"/>
    </row>
    <row r="46" spans="1:12">
      <c r="A46" s="544" t="s">
        <v>342</v>
      </c>
      <c r="B46" s="513" t="s">
        <v>180</v>
      </c>
      <c r="C46" s="18">
        <v>297.404</v>
      </c>
      <c r="D46" s="18">
        <v>179.03899999999999</v>
      </c>
      <c r="E46" s="18">
        <v>56.088999999999999</v>
      </c>
      <c r="F46" s="416">
        <v>43.454000000000001</v>
      </c>
      <c r="G46" s="1766"/>
      <c r="H46" s="1755"/>
      <c r="I46" s="294"/>
      <c r="J46" s="294"/>
      <c r="K46" s="295"/>
      <c r="L46" s="172"/>
    </row>
    <row r="47" spans="1:12">
      <c r="A47" s="551" t="s">
        <v>343</v>
      </c>
      <c r="B47" s="774" t="s">
        <v>181</v>
      </c>
      <c r="C47" s="336">
        <f>SUM(C42:C46)</f>
        <v>7070.91</v>
      </c>
      <c r="D47" s="336">
        <f>SUM(D42:D46)</f>
        <v>4130.6370000000006</v>
      </c>
      <c r="E47" s="336">
        <f>SUM(E42:E46)</f>
        <v>856.73099999999999</v>
      </c>
      <c r="F47" s="1739">
        <f>SUM(F42:F46)</f>
        <v>1776.597</v>
      </c>
      <c r="G47" s="1766"/>
      <c r="H47" s="1755"/>
      <c r="I47" s="294"/>
      <c r="J47" s="294"/>
      <c r="K47" s="296"/>
      <c r="L47" s="172"/>
    </row>
    <row r="48" spans="1:12">
      <c r="A48" s="553" t="s">
        <v>253</v>
      </c>
      <c r="B48" s="554" t="s">
        <v>182</v>
      </c>
      <c r="C48" s="239">
        <v>42.405000000000001</v>
      </c>
      <c r="D48" s="239">
        <v>19.584</v>
      </c>
      <c r="E48" s="239">
        <v>12.339</v>
      </c>
      <c r="F48" s="1740">
        <v>5.5979999999999999</v>
      </c>
      <c r="G48" s="1766"/>
      <c r="H48" s="1755"/>
      <c r="I48" s="294"/>
      <c r="J48" s="294"/>
      <c r="K48" s="295"/>
      <c r="L48" s="172"/>
    </row>
    <row r="49" spans="1:12">
      <c r="A49" s="772" t="s">
        <v>254</v>
      </c>
      <c r="B49" s="552" t="s">
        <v>20</v>
      </c>
      <c r="C49" s="336">
        <f>SUM(C25,C33,C34,C41,C47,C48)</f>
        <v>70475.580999999991</v>
      </c>
      <c r="D49" s="336">
        <f>SUM(D25,D33,D34,D41,D47,D48)</f>
        <v>54467.043000000005</v>
      </c>
      <c r="E49" s="336">
        <f>SUM(E25,E33,E34,E41,E47,E48)</f>
        <v>4580.723</v>
      </c>
      <c r="F49" s="1743">
        <f>SUM(F25,F33,F34,F41,F47,F48)</f>
        <v>7909.1889999999994</v>
      </c>
      <c r="G49" s="1766"/>
      <c r="H49" s="1755"/>
      <c r="I49" s="294"/>
      <c r="J49" s="294"/>
      <c r="K49" s="295"/>
      <c r="L49" s="172"/>
    </row>
    <row r="50" spans="1:12" ht="31.5" customHeight="1">
      <c r="A50" s="771" t="s">
        <v>255</v>
      </c>
      <c r="B50" s="550" t="s">
        <v>1171</v>
      </c>
      <c r="C50" s="18">
        <v>2724.8</v>
      </c>
      <c r="D50" s="18">
        <v>1998.4159999999999</v>
      </c>
      <c r="E50" s="18">
        <v>36.204000000000001</v>
      </c>
      <c r="F50" s="416">
        <v>511.983</v>
      </c>
      <c r="G50" s="1766"/>
      <c r="H50" s="1755"/>
      <c r="I50" s="294"/>
      <c r="J50" s="294"/>
      <c r="K50" s="295"/>
      <c r="L50" s="172"/>
    </row>
    <row r="51" spans="1:12">
      <c r="A51" s="556" t="s">
        <v>256</v>
      </c>
      <c r="B51" s="525" t="s">
        <v>21</v>
      </c>
      <c r="C51" s="18">
        <v>1515.731</v>
      </c>
      <c r="D51" s="18">
        <v>1487.8610000000001</v>
      </c>
      <c r="E51" s="18">
        <v>3.55</v>
      </c>
      <c r="F51" s="416">
        <v>5.89</v>
      </c>
      <c r="G51" s="1766"/>
      <c r="H51" s="1755"/>
      <c r="I51" s="294"/>
      <c r="J51" s="294"/>
      <c r="K51" s="295"/>
      <c r="L51" s="172"/>
    </row>
    <row r="52" spans="1:12">
      <c r="A52" s="556" t="s">
        <v>257</v>
      </c>
      <c r="B52" s="525" t="s">
        <v>22</v>
      </c>
      <c r="C52" s="18">
        <v>493</v>
      </c>
      <c r="D52" s="18">
        <v>270.03300000000002</v>
      </c>
      <c r="E52" s="18">
        <v>29.265000000000001</v>
      </c>
      <c r="F52" s="416">
        <v>140.04</v>
      </c>
      <c r="G52" s="1766"/>
      <c r="H52" s="1755"/>
      <c r="I52" s="294"/>
      <c r="J52" s="294"/>
      <c r="K52" s="295"/>
      <c r="L52" s="172"/>
    </row>
    <row r="53" spans="1:12">
      <c r="A53" s="556" t="s">
        <v>258</v>
      </c>
      <c r="B53" s="525" t="s">
        <v>23</v>
      </c>
      <c r="C53" s="18">
        <v>4646.6149999999998</v>
      </c>
      <c r="D53" s="18">
        <v>2630.12</v>
      </c>
      <c r="E53" s="18">
        <v>19.314</v>
      </c>
      <c r="F53" s="416">
        <v>1666.9949999999999</v>
      </c>
      <c r="G53" s="1766"/>
      <c r="H53" s="1755"/>
      <c r="I53" s="294"/>
      <c r="J53" s="294"/>
      <c r="K53" s="295"/>
      <c r="L53" s="172"/>
    </row>
    <row r="54" spans="1:12">
      <c r="A54" s="775" t="s">
        <v>259</v>
      </c>
      <c r="B54" s="776" t="s">
        <v>24</v>
      </c>
      <c r="C54" s="336">
        <f>SUM(C50:C53)</f>
        <v>9380.1460000000006</v>
      </c>
      <c r="D54" s="336">
        <f>SUM(D50:D53)</f>
        <v>6386.43</v>
      </c>
      <c r="E54" s="336">
        <f>SUM(E50:E53)</f>
        <v>88.332999999999998</v>
      </c>
      <c r="F54" s="1739">
        <f>SUM(F50:F53)</f>
        <v>2324.9079999999999</v>
      </c>
      <c r="G54" s="1766"/>
      <c r="H54" s="1755"/>
      <c r="I54" s="294"/>
      <c r="J54" s="294"/>
      <c r="K54" s="296"/>
      <c r="L54" s="172"/>
    </row>
    <row r="55" spans="1:12" ht="18.75">
      <c r="A55" s="540" t="s">
        <v>260</v>
      </c>
      <c r="B55" s="777" t="s">
        <v>183</v>
      </c>
      <c r="C55" s="18">
        <v>47.368000000000002</v>
      </c>
      <c r="D55" s="18">
        <v>41.896000000000001</v>
      </c>
      <c r="E55" s="18">
        <v>4.3140000000000001</v>
      </c>
      <c r="F55" s="416">
        <v>0</v>
      </c>
      <c r="G55" s="1766"/>
      <c r="H55" s="1755"/>
      <c r="I55" s="294"/>
      <c r="J55" s="294"/>
      <c r="K55" s="295"/>
      <c r="L55" s="172"/>
    </row>
    <row r="56" spans="1:12">
      <c r="A56" s="556" t="s">
        <v>261</v>
      </c>
      <c r="B56" s="564" t="s">
        <v>798</v>
      </c>
      <c r="C56" s="18">
        <v>249.92699999999999</v>
      </c>
      <c r="D56" s="18">
        <v>219.29</v>
      </c>
      <c r="E56" s="18">
        <v>0.54500000000000004</v>
      </c>
      <c r="F56" s="416">
        <v>1.2729999999999999</v>
      </c>
      <c r="G56" s="1766"/>
      <c r="H56" s="1755"/>
      <c r="I56" s="294"/>
      <c r="J56" s="294"/>
      <c r="K56" s="295"/>
      <c r="L56" s="172"/>
    </row>
    <row r="57" spans="1:12">
      <c r="A57" s="556" t="s">
        <v>262</v>
      </c>
      <c r="B57" s="778" t="s">
        <v>25</v>
      </c>
      <c r="C57" s="18">
        <v>10.798</v>
      </c>
      <c r="D57" s="18">
        <v>8.02</v>
      </c>
      <c r="E57" s="18">
        <v>1.9279999999999999</v>
      </c>
      <c r="F57" s="416">
        <v>0</v>
      </c>
      <c r="G57" s="1766"/>
      <c r="H57" s="1755"/>
      <c r="I57" s="294"/>
      <c r="J57" s="294"/>
      <c r="K57" s="295"/>
      <c r="L57" s="172"/>
    </row>
    <row r="58" spans="1:12">
      <c r="A58" s="775" t="s">
        <v>263</v>
      </c>
      <c r="B58" s="554" t="s">
        <v>26</v>
      </c>
      <c r="C58" s="336">
        <f>SUM(C55:C57)</f>
        <v>308.09300000000002</v>
      </c>
      <c r="D58" s="336">
        <f>SUM(D55:D57)</f>
        <v>269.20599999999996</v>
      </c>
      <c r="E58" s="336">
        <f>SUM(E55:E57)</f>
        <v>6.7869999999999999</v>
      </c>
      <c r="F58" s="1739">
        <f>SUM(F55:F57)</f>
        <v>1.2729999999999999</v>
      </c>
      <c r="G58" s="1766"/>
      <c r="H58" s="1755"/>
      <c r="I58" s="294"/>
      <c r="J58" s="294"/>
      <c r="K58" s="296"/>
      <c r="L58" s="172"/>
    </row>
    <row r="59" spans="1:12" ht="18.75">
      <c r="A59" s="540" t="s">
        <v>264</v>
      </c>
      <c r="B59" s="555" t="s">
        <v>184</v>
      </c>
      <c r="C59" s="18">
        <v>51.640999999999998</v>
      </c>
      <c r="D59" s="18">
        <v>31.128</v>
      </c>
      <c r="E59" s="18">
        <v>9.8729999999999993</v>
      </c>
      <c r="F59" s="416">
        <v>4.58</v>
      </c>
      <c r="G59" s="1766"/>
      <c r="H59" s="1755"/>
      <c r="I59" s="294"/>
      <c r="J59" s="294"/>
      <c r="K59" s="295"/>
      <c r="L59" s="172"/>
    </row>
    <row r="60" spans="1:12">
      <c r="A60" s="556" t="s">
        <v>265</v>
      </c>
      <c r="B60" s="525" t="s">
        <v>27</v>
      </c>
      <c r="C60" s="18">
        <v>13.308999999999999</v>
      </c>
      <c r="D60" s="18">
        <v>8.5719999999999992</v>
      </c>
      <c r="E60" s="18">
        <v>0.746</v>
      </c>
      <c r="F60" s="416">
        <v>0</v>
      </c>
      <c r="G60" s="1766"/>
      <c r="H60" s="1755"/>
      <c r="I60" s="294"/>
      <c r="J60" s="294"/>
      <c r="K60" s="295"/>
      <c r="L60" s="172"/>
    </row>
    <row r="61" spans="1:12">
      <c r="A61" s="556" t="s">
        <v>266</v>
      </c>
      <c r="B61" s="525" t="s">
        <v>28</v>
      </c>
      <c r="C61" s="18">
        <v>12015.200999999999</v>
      </c>
      <c r="D61" s="18">
        <v>10152.39</v>
      </c>
      <c r="E61" s="18">
        <v>309.66300000000001</v>
      </c>
      <c r="F61" s="416">
        <v>535.65300000000002</v>
      </c>
      <c r="G61" s="1766"/>
      <c r="H61" s="1755"/>
      <c r="I61" s="294"/>
      <c r="J61" s="294"/>
      <c r="K61" s="295"/>
      <c r="L61" s="172"/>
    </row>
    <row r="62" spans="1:12">
      <c r="A62" s="556" t="s">
        <v>267</v>
      </c>
      <c r="B62" s="525" t="s">
        <v>29</v>
      </c>
      <c r="C62" s="18">
        <v>734.42600000000004</v>
      </c>
      <c r="D62" s="18">
        <v>358.488</v>
      </c>
      <c r="E62" s="18">
        <v>237.39400000000001</v>
      </c>
      <c r="F62" s="416">
        <v>25.373999999999999</v>
      </c>
      <c r="G62" s="1766"/>
      <c r="H62" s="1755"/>
      <c r="I62" s="294"/>
      <c r="J62" s="294"/>
      <c r="K62" s="295"/>
      <c r="L62" s="172"/>
    </row>
    <row r="63" spans="1:12">
      <c r="A63" s="775" t="s">
        <v>268</v>
      </c>
      <c r="B63" s="554" t="s">
        <v>185</v>
      </c>
      <c r="C63" s="336">
        <f>SUM(C59:C62)</f>
        <v>12814.576999999999</v>
      </c>
      <c r="D63" s="336">
        <f>SUM(D59:D62)</f>
        <v>10550.578</v>
      </c>
      <c r="E63" s="336">
        <f>SUM(E59:E62)</f>
        <v>557.67600000000004</v>
      </c>
      <c r="F63" s="1739">
        <f>SUM(F59:F62)</f>
        <v>565.60700000000008</v>
      </c>
      <c r="G63" s="1766"/>
      <c r="H63" s="1755"/>
      <c r="I63" s="294"/>
      <c r="J63" s="294"/>
      <c r="K63" s="296"/>
      <c r="L63" s="172"/>
    </row>
    <row r="64" spans="1:12">
      <c r="A64" s="772" t="s">
        <v>269</v>
      </c>
      <c r="B64" s="552" t="s">
        <v>30</v>
      </c>
      <c r="C64" s="336">
        <f>SUM(C54,C58,C63)</f>
        <v>22502.815999999999</v>
      </c>
      <c r="D64" s="336">
        <f>SUM(D54,D58,D63)</f>
        <v>17206.214</v>
      </c>
      <c r="E64" s="336">
        <f>SUM(E54,E58,E63)</f>
        <v>652.79600000000005</v>
      </c>
      <c r="F64" s="1743">
        <f>SUM(F54,F58,F63)</f>
        <v>2891.788</v>
      </c>
      <c r="G64" s="1766"/>
      <c r="H64" s="1755"/>
      <c r="I64" s="294"/>
      <c r="J64" s="294"/>
      <c r="K64" s="295"/>
      <c r="L64" s="172"/>
    </row>
    <row r="65" spans="1:13" ht="13.5" thickBot="1">
      <c r="A65" s="779" t="s">
        <v>272</v>
      </c>
      <c r="B65" s="780" t="s">
        <v>32</v>
      </c>
      <c r="C65" s="240">
        <v>6144.942</v>
      </c>
      <c r="D65" s="240">
        <v>2429.9140000000002</v>
      </c>
      <c r="E65" s="240">
        <v>2658.4169999999999</v>
      </c>
      <c r="F65" s="1744">
        <v>390.61099999999999</v>
      </c>
      <c r="G65" s="1766"/>
      <c r="H65" s="1755"/>
      <c r="I65" s="294"/>
      <c r="J65" s="294"/>
      <c r="K65" s="295"/>
      <c r="L65" s="172"/>
    </row>
    <row r="66" spans="1:13" ht="27" customHeight="1" thickBot="1">
      <c r="A66" s="781" t="s">
        <v>273</v>
      </c>
      <c r="B66" s="627" t="s">
        <v>33</v>
      </c>
      <c r="C66" s="337">
        <f>SUM(C49,C64,C65)</f>
        <v>99123.338999999993</v>
      </c>
      <c r="D66" s="337">
        <f>SUM(D49,D64,D65)</f>
        <v>74103.171000000017</v>
      </c>
      <c r="E66" s="337">
        <f>SUM(E49,E64,E65)</f>
        <v>7891.9359999999997</v>
      </c>
      <c r="F66" s="1745">
        <f>SUM(F49,F64,F65)</f>
        <v>11191.588</v>
      </c>
      <c r="G66" s="1766"/>
      <c r="H66" s="1755"/>
      <c r="I66" s="1138"/>
      <c r="J66" s="1366"/>
      <c r="K66" s="1146"/>
      <c r="L66" s="172"/>
    </row>
    <row r="67" spans="1:13" ht="10.5" customHeight="1">
      <c r="A67" s="285"/>
      <c r="B67" s="16"/>
      <c r="C67" s="68"/>
      <c r="D67" s="68"/>
      <c r="E67" s="68"/>
      <c r="F67" s="68"/>
      <c r="G67" s="2141"/>
      <c r="H67" s="2141"/>
      <c r="I67" s="2141"/>
      <c r="J67" s="2141"/>
      <c r="K67" s="2141"/>
      <c r="L67" s="4"/>
    </row>
    <row r="68" spans="1:13" ht="25.5" customHeight="1">
      <c r="A68" s="285"/>
      <c r="B68" s="16"/>
      <c r="C68" s="68"/>
      <c r="D68" s="68"/>
      <c r="E68" s="68"/>
      <c r="F68" s="68"/>
      <c r="G68" s="2141"/>
      <c r="H68" s="2141"/>
      <c r="I68" s="2141"/>
      <c r="J68" s="2141"/>
      <c r="K68" s="2141"/>
      <c r="L68" s="1757"/>
    </row>
    <row r="69" spans="1:13" ht="31.5" customHeight="1">
      <c r="A69" s="285"/>
      <c r="B69" s="16"/>
      <c r="C69" s="68"/>
      <c r="D69" s="68"/>
      <c r="E69" s="68"/>
      <c r="F69" s="68"/>
      <c r="G69" s="2141"/>
      <c r="H69" s="2141"/>
      <c r="I69" s="2141"/>
      <c r="J69" s="2141"/>
      <c r="K69" s="2141"/>
      <c r="L69" s="1757"/>
      <c r="M69" s="1158"/>
    </row>
    <row r="70" spans="1:13" ht="28.5" customHeight="1">
      <c r="A70" s="2559" t="s">
        <v>1067</v>
      </c>
      <c r="B70" s="2560"/>
      <c r="C70" s="2561"/>
      <c r="D70" s="2561"/>
      <c r="E70" s="2561"/>
      <c r="F70" s="2561"/>
      <c r="G70" s="68"/>
      <c r="H70" s="1219"/>
      <c r="I70" s="1732"/>
      <c r="J70" s="1732"/>
      <c r="K70" s="1732"/>
      <c r="L70" s="1732"/>
      <c r="M70" s="1158"/>
    </row>
    <row r="71" spans="1:13">
      <c r="A71" s="1617" t="s">
        <v>943</v>
      </c>
      <c r="B71" s="1276"/>
      <c r="C71" s="135"/>
      <c r="D71" s="65"/>
      <c r="F71" s="66"/>
      <c r="G71" s="67"/>
      <c r="H71" s="231"/>
      <c r="I71" s="1732"/>
      <c r="J71" s="1732"/>
      <c r="K71" s="1732"/>
      <c r="L71" s="1732"/>
      <c r="M71" s="1158"/>
    </row>
    <row r="72" spans="1:13" ht="32.25" customHeight="1" thickBot="1">
      <c r="A72" s="1613" t="s">
        <v>979</v>
      </c>
      <c r="B72" s="84"/>
      <c r="C72" s="1243"/>
      <c r="D72" s="37"/>
      <c r="E72" s="1156"/>
      <c r="F72" s="1157"/>
      <c r="G72" s="1157"/>
      <c r="H72" s="1157"/>
      <c r="I72" s="1756"/>
      <c r="J72" s="1756"/>
      <c r="K72" s="1756"/>
      <c r="L72" s="1756"/>
      <c r="M72" s="1158"/>
    </row>
    <row r="73" spans="1:13" ht="27">
      <c r="A73" s="1615" t="s">
        <v>941</v>
      </c>
      <c r="B73" s="2029" t="s">
        <v>942</v>
      </c>
      <c r="C73" s="1637"/>
      <c r="D73" s="139"/>
      <c r="E73" s="1157"/>
      <c r="F73" s="1157"/>
      <c r="G73" s="1785"/>
      <c r="H73" s="1157"/>
      <c r="I73" s="1785"/>
      <c r="J73" s="271"/>
      <c r="K73" s="271"/>
      <c r="L73" s="271"/>
      <c r="M73" s="1158"/>
    </row>
    <row r="74" spans="1:13" ht="15" customHeight="1">
      <c r="A74" s="1820" t="s">
        <v>411</v>
      </c>
      <c r="B74" s="2231" t="s">
        <v>1105</v>
      </c>
      <c r="C74" s="214">
        <v>4585.6989999999996</v>
      </c>
      <c r="D74" s="1796"/>
      <c r="E74" s="1157"/>
      <c r="F74" s="1157"/>
      <c r="G74" s="1758"/>
      <c r="H74" s="167"/>
      <c r="I74" s="167"/>
      <c r="J74" s="167"/>
      <c r="K74" s="167"/>
      <c r="L74" s="167"/>
      <c r="M74" s="1158"/>
    </row>
    <row r="75" spans="1:13" ht="13.5" thickBot="1">
      <c r="A75" s="1821">
        <v>705</v>
      </c>
      <c r="B75" s="2232" t="s">
        <v>1097</v>
      </c>
      <c r="C75" s="218">
        <v>6810.13</v>
      </c>
      <c r="D75" s="1796"/>
      <c r="E75" s="1157"/>
      <c r="F75" s="1157"/>
      <c r="G75" s="167"/>
      <c r="H75" s="270"/>
      <c r="I75" s="167"/>
      <c r="J75" s="167"/>
      <c r="K75" s="167"/>
      <c r="L75" s="167"/>
      <c r="M75" s="1158"/>
    </row>
    <row r="76" spans="1:13" ht="13.5" thickBot="1">
      <c r="A76" s="1278"/>
      <c r="B76" s="1277"/>
      <c r="C76" s="141"/>
      <c r="D76" s="1379"/>
      <c r="E76" s="1157"/>
      <c r="F76" s="1157"/>
      <c r="G76" s="1157"/>
      <c r="H76" s="1157"/>
      <c r="I76" s="1786"/>
      <c r="J76" s="1786"/>
      <c r="K76" s="1786"/>
      <c r="L76" s="1786"/>
      <c r="M76" s="1158"/>
    </row>
    <row r="77" spans="1:13" ht="26.25" customHeight="1">
      <c r="A77" s="1616" t="s">
        <v>464</v>
      </c>
      <c r="B77" s="2233" t="s">
        <v>1083</v>
      </c>
      <c r="C77" s="1787"/>
      <c r="D77" s="1379"/>
      <c r="E77" s="1157"/>
      <c r="F77" s="1157"/>
      <c r="G77" s="2141"/>
      <c r="H77" s="2141"/>
      <c r="I77" s="2141"/>
      <c r="J77" s="2141"/>
      <c r="K77" s="1786"/>
      <c r="L77" s="1786"/>
      <c r="M77" s="1158"/>
    </row>
    <row r="78" spans="1:13" ht="15" customHeight="1">
      <c r="A78" s="1822">
        <v>710</v>
      </c>
      <c r="B78" s="1076" t="s">
        <v>983</v>
      </c>
      <c r="C78" s="214">
        <v>7106.7539999999999</v>
      </c>
      <c r="D78" s="1796"/>
      <c r="E78" s="1157"/>
      <c r="F78" s="1157"/>
      <c r="G78" s="2141"/>
      <c r="H78" s="2141"/>
      <c r="I78" s="2141"/>
      <c r="J78" s="2141"/>
      <c r="K78" s="1786"/>
      <c r="L78" s="1786"/>
      <c r="M78" s="1158"/>
    </row>
    <row r="79" spans="1:13" ht="15" customHeight="1">
      <c r="A79" s="1806" t="s">
        <v>944</v>
      </c>
      <c r="B79" s="1070" t="s">
        <v>971</v>
      </c>
      <c r="C79" s="214">
        <v>2643.5030000000002</v>
      </c>
      <c r="D79" s="1796"/>
      <c r="E79" s="1157"/>
      <c r="F79" s="1157"/>
      <c r="G79" s="2141"/>
      <c r="H79" s="2141"/>
      <c r="I79" s="2141"/>
      <c r="J79" s="2141"/>
      <c r="K79" s="1786"/>
      <c r="L79" s="1786"/>
      <c r="M79" s="1158"/>
    </row>
    <row r="80" spans="1:13" ht="15" customHeight="1">
      <c r="A80" s="1806" t="s">
        <v>945</v>
      </c>
      <c r="B80" s="1070" t="s">
        <v>972</v>
      </c>
      <c r="C80" s="214">
        <v>118.47199999999999</v>
      </c>
      <c r="D80" s="1796"/>
      <c r="E80" s="1157"/>
      <c r="F80" s="1157"/>
      <c r="G80" s="2141"/>
      <c r="H80" s="2141"/>
      <c r="I80" s="2141"/>
      <c r="J80" s="2141"/>
      <c r="K80" s="1786"/>
      <c r="L80" s="1786"/>
      <c r="M80" s="1158"/>
    </row>
    <row r="81" spans="1:13" ht="15" customHeight="1">
      <c r="A81" s="1806" t="s">
        <v>946</v>
      </c>
      <c r="B81" s="1070" t="s">
        <v>1079</v>
      </c>
      <c r="C81" s="214">
        <v>3642.9989999999998</v>
      </c>
      <c r="D81" s="1796"/>
      <c r="E81" s="1157"/>
      <c r="F81" s="1157"/>
      <c r="G81" s="2141"/>
      <c r="H81" s="2141"/>
      <c r="I81" s="2141"/>
      <c r="J81" s="2141"/>
      <c r="K81" s="1786"/>
      <c r="L81" s="1786"/>
      <c r="M81" s="1158"/>
    </row>
    <row r="82" spans="1:13" ht="15" customHeight="1" thickBot="1">
      <c r="A82" s="1956" t="s">
        <v>950</v>
      </c>
      <c r="B82" s="1575" t="s">
        <v>1080</v>
      </c>
      <c r="C82" s="1783">
        <f>C78-C79-C80-C81</f>
        <v>701.78000000000065</v>
      </c>
      <c r="D82" s="1565"/>
      <c r="E82" s="1157"/>
      <c r="F82" s="1157"/>
      <c r="G82" s="2141"/>
      <c r="H82" s="2141"/>
      <c r="I82" s="2141"/>
      <c r="J82" s="2141"/>
      <c r="K82" s="1786"/>
      <c r="L82" s="1786"/>
      <c r="M82" s="1158"/>
    </row>
    <row r="83" spans="1:13">
      <c r="A83" s="1278"/>
      <c r="B83" s="1277"/>
      <c r="C83" s="141"/>
      <c r="D83" s="1379"/>
      <c r="E83" s="1157"/>
      <c r="F83" s="1157"/>
      <c r="G83" s="2141"/>
      <c r="H83" s="2141"/>
      <c r="I83" s="2141"/>
      <c r="J83" s="2141"/>
      <c r="K83" s="1786"/>
      <c r="L83" s="1786"/>
      <c r="M83" s="1158"/>
    </row>
    <row r="84" spans="1:13" ht="19.5" customHeight="1">
      <c r="A84" s="2559" t="s">
        <v>1068</v>
      </c>
      <c r="B84" s="2562"/>
      <c r="C84" s="2563"/>
      <c r="D84" s="2563"/>
      <c r="E84" s="2563"/>
      <c r="F84" s="2563"/>
      <c r="G84" s="2563"/>
      <c r="H84" s="2563"/>
      <c r="I84" s="2563"/>
      <c r="J84" s="2563"/>
      <c r="K84" s="2563"/>
      <c r="L84" s="1786"/>
      <c r="M84" s="1158"/>
    </row>
    <row r="85" spans="1:13">
      <c r="A85" s="2563"/>
      <c r="B85" s="2563"/>
      <c r="C85" s="2563"/>
      <c r="D85" s="2563"/>
      <c r="E85" s="2563"/>
      <c r="F85" s="2563"/>
      <c r="G85" s="2563"/>
      <c r="H85" s="2563"/>
      <c r="I85" s="2563"/>
      <c r="J85" s="2563"/>
      <c r="K85" s="2563"/>
      <c r="L85" s="1786"/>
      <c r="M85" s="1158"/>
    </row>
    <row r="86" spans="1:13">
      <c r="A86" s="1626" t="s">
        <v>980</v>
      </c>
      <c r="B86" s="1631"/>
      <c r="C86" s="1632"/>
      <c r="D86" s="1633"/>
      <c r="E86" s="1633"/>
      <c r="F86" s="1623"/>
      <c r="G86" s="1634"/>
      <c r="H86" s="1635"/>
      <c r="I86" s="1636"/>
      <c r="J86" s="1156"/>
      <c r="K86" s="1156"/>
      <c r="L86" s="1156"/>
      <c r="M86" s="1158"/>
    </row>
    <row r="87" spans="1:13">
      <c r="A87" s="1626" t="s">
        <v>947</v>
      </c>
      <c r="B87" s="1631"/>
      <c r="C87" s="1632"/>
      <c r="D87" s="1633"/>
      <c r="E87" s="1633"/>
      <c r="F87" s="1623"/>
      <c r="G87" s="1634"/>
      <c r="H87" s="1635"/>
      <c r="I87" s="1636"/>
      <c r="J87" s="1156"/>
      <c r="K87" s="1156"/>
      <c r="L87" s="1156"/>
      <c r="M87" s="1158"/>
    </row>
    <row r="88" spans="1:13" ht="21.75" customHeight="1" thickBot="1">
      <c r="A88" s="1626" t="s">
        <v>1247</v>
      </c>
      <c r="B88" s="1631"/>
      <c r="C88" s="1632"/>
      <c r="D88" s="1633"/>
      <c r="E88" s="1633"/>
      <c r="F88" s="1623"/>
      <c r="G88" s="1634"/>
      <c r="H88" s="1635"/>
      <c r="I88" s="1636"/>
      <c r="J88" s="1156"/>
      <c r="K88" s="1156"/>
      <c r="L88" s="1156"/>
      <c r="M88" s="1158"/>
    </row>
    <row r="89" spans="1:13" ht="21.75" customHeight="1">
      <c r="A89" s="1619" t="s">
        <v>464</v>
      </c>
      <c r="B89" s="1625" t="s">
        <v>948</v>
      </c>
      <c r="C89" s="1808" t="s">
        <v>949</v>
      </c>
      <c r="D89" s="1809" t="s">
        <v>949</v>
      </c>
      <c r="E89" s="1157"/>
      <c r="F89" s="1157"/>
      <c r="G89" s="1785"/>
      <c r="H89" s="1157"/>
      <c r="I89" s="1785"/>
      <c r="J89" s="271"/>
      <c r="K89" s="271"/>
      <c r="L89" s="271"/>
      <c r="M89" s="1158"/>
    </row>
    <row r="90" spans="1:13">
      <c r="A90" s="1618"/>
      <c r="B90" s="1627"/>
      <c r="C90" s="1869" t="s">
        <v>865</v>
      </c>
      <c r="D90" s="1810" t="s">
        <v>865</v>
      </c>
      <c r="E90" s="1157"/>
      <c r="F90" s="1157"/>
      <c r="G90" s="1759"/>
      <c r="H90" s="167"/>
      <c r="I90" s="167"/>
      <c r="J90" s="167"/>
      <c r="K90" s="167"/>
      <c r="L90" s="167"/>
      <c r="M90" s="1158"/>
    </row>
    <row r="91" spans="1:13">
      <c r="A91" s="1618"/>
      <c r="B91" s="1620"/>
      <c r="C91" s="1870" t="s">
        <v>1004</v>
      </c>
      <c r="D91" s="1811" t="s">
        <v>789</v>
      </c>
      <c r="E91" s="1157"/>
      <c r="F91" s="1157"/>
      <c r="G91" s="167"/>
      <c r="H91" s="167"/>
      <c r="I91" s="167"/>
      <c r="J91" s="167"/>
      <c r="K91" s="167"/>
      <c r="L91" s="167"/>
      <c r="M91" s="1158"/>
    </row>
    <row r="92" spans="1:13" ht="39.75" customHeight="1">
      <c r="A92" s="1618"/>
      <c r="B92" s="1627"/>
      <c r="C92" s="1871" t="s">
        <v>1005</v>
      </c>
      <c r="D92" s="1857" t="s">
        <v>960</v>
      </c>
      <c r="E92" s="1157"/>
      <c r="F92" s="1157"/>
      <c r="G92" s="1157"/>
      <c r="H92" s="1157"/>
      <c r="I92" s="1786"/>
      <c r="J92" s="1786"/>
      <c r="K92" s="1786"/>
      <c r="L92" s="1786"/>
      <c r="M92" s="1158"/>
    </row>
    <row r="93" spans="1:13">
      <c r="A93" s="1618"/>
      <c r="B93" s="1621"/>
      <c r="C93" s="1812"/>
      <c r="D93" s="1813"/>
      <c r="E93" s="1797"/>
      <c r="F93" s="1157"/>
      <c r="G93" s="1157"/>
      <c r="H93" s="1157"/>
      <c r="I93" s="1786"/>
      <c r="J93" s="1786"/>
      <c r="K93" s="1786"/>
      <c r="L93" s="1786"/>
      <c r="M93" s="1158"/>
    </row>
    <row r="94" spans="1:13">
      <c r="A94" s="1822" t="s">
        <v>952</v>
      </c>
      <c r="B94" s="2234" t="s">
        <v>951</v>
      </c>
      <c r="C94" s="1628">
        <v>44063.866999999998</v>
      </c>
      <c r="D94" s="1614">
        <v>336.06700000000001</v>
      </c>
      <c r="E94" s="1872"/>
      <c r="F94" s="1157"/>
      <c r="G94" s="1157"/>
      <c r="H94" s="1157"/>
      <c r="I94" s="1786"/>
      <c r="J94" s="1786"/>
      <c r="K94" s="1786"/>
      <c r="L94" s="1786"/>
      <c r="M94" s="1158"/>
    </row>
    <row r="95" spans="1:13">
      <c r="A95" s="1822" t="s">
        <v>954</v>
      </c>
      <c r="B95" s="2234" t="s">
        <v>953</v>
      </c>
      <c r="C95" s="1628">
        <v>32442.330999999998</v>
      </c>
      <c r="D95" s="1614">
        <v>315.38200000000001</v>
      </c>
      <c r="E95" s="1872"/>
      <c r="F95" s="1157"/>
      <c r="G95" s="1157"/>
      <c r="H95" s="1157"/>
      <c r="I95" s="1786"/>
      <c r="J95" s="1786"/>
      <c r="K95" s="1786"/>
      <c r="L95" s="1786"/>
      <c r="M95" s="1158"/>
    </row>
    <row r="96" spans="1:13">
      <c r="A96" s="1822" t="s">
        <v>956</v>
      </c>
      <c r="B96" s="2234" t="s">
        <v>955</v>
      </c>
      <c r="C96" s="1628">
        <v>1763.01</v>
      </c>
      <c r="D96" s="1614">
        <v>127.63</v>
      </c>
      <c r="E96" s="1872"/>
      <c r="F96" s="1157"/>
      <c r="G96" s="2141"/>
      <c r="H96" s="2141"/>
      <c r="I96" s="2141"/>
      <c r="J96" s="2141"/>
      <c r="K96" s="1786"/>
      <c r="L96" s="1786"/>
      <c r="M96" s="1158"/>
    </row>
    <row r="97" spans="1:13" ht="13.5" thickBot="1">
      <c r="A97" s="1823" t="s">
        <v>958</v>
      </c>
      <c r="B97" s="1627" t="s">
        <v>957</v>
      </c>
      <c r="C97" s="1629">
        <v>4537.835</v>
      </c>
      <c r="D97" s="1630">
        <v>86.751000000000005</v>
      </c>
      <c r="E97" s="1872"/>
      <c r="F97" s="1157"/>
      <c r="G97" s="2141"/>
      <c r="H97" s="2141"/>
      <c r="I97" s="2141"/>
      <c r="J97" s="2141"/>
      <c r="K97" s="1585"/>
      <c r="L97" s="1585"/>
      <c r="M97" s="1158"/>
    </row>
    <row r="98" spans="1:13" ht="13.5" thickBot="1">
      <c r="A98" s="1825" t="s">
        <v>975</v>
      </c>
      <c r="B98" s="1807" t="s">
        <v>959</v>
      </c>
      <c r="C98" s="1624">
        <f>SUM(C94:C97)</f>
        <v>82807.043000000005</v>
      </c>
      <c r="D98" s="1622">
        <f>SUM(D94:D97)</f>
        <v>865.83</v>
      </c>
      <c r="E98" s="1873" t="str">
        <f>IF(C98&gt;0.2*SUM(BR!E9+BR!E12),"Kontrollera invest.utgifterna.","")</f>
        <v/>
      </c>
      <c r="F98" s="1157"/>
      <c r="G98" s="2141"/>
      <c r="H98" s="2141"/>
      <c r="I98" s="2141"/>
      <c r="J98" s="2141"/>
      <c r="K98" s="1585"/>
      <c r="L98" s="1585"/>
      <c r="M98" s="1158"/>
    </row>
    <row r="99" spans="1:13">
      <c r="A99" s="1278"/>
      <c r="B99" s="1277"/>
      <c r="C99" s="141"/>
      <c r="D99" s="63"/>
      <c r="E99" s="1157"/>
      <c r="F99" s="1157"/>
      <c r="G99" s="1784" t="s">
        <v>446</v>
      </c>
      <c r="H99" s="1157"/>
      <c r="I99" s="1786"/>
      <c r="J99" s="1786"/>
      <c r="K99" s="1786"/>
      <c r="L99" s="1786"/>
      <c r="M99" s="1158"/>
    </row>
    <row r="100" spans="1:13">
      <c r="A100" s="1278"/>
      <c r="B100" s="1277"/>
      <c r="C100" s="141"/>
      <c r="D100" s="63"/>
      <c r="E100" s="1157"/>
      <c r="F100" s="1157"/>
      <c r="G100" s="1157"/>
      <c r="H100" s="1157"/>
      <c r="I100" s="1786"/>
      <c r="J100" s="1786"/>
      <c r="K100" s="1786"/>
      <c r="L100" s="1786"/>
      <c r="M100" s="1158"/>
    </row>
    <row r="101" spans="1:13">
      <c r="A101" s="1278"/>
      <c r="B101" s="1277"/>
      <c r="C101" s="141"/>
      <c r="D101" s="63"/>
      <c r="E101" s="1157"/>
      <c r="F101" s="1157"/>
      <c r="G101" s="1157"/>
      <c r="H101" s="1157"/>
      <c r="I101" s="1786"/>
      <c r="J101" s="1786"/>
      <c r="K101" s="1786"/>
      <c r="L101" s="1786"/>
      <c r="M101" s="1158"/>
    </row>
    <row r="102" spans="1:13">
      <c r="A102" s="1278"/>
      <c r="B102" s="1277"/>
      <c r="C102" s="141"/>
      <c r="D102" s="63"/>
      <c r="E102" s="1157"/>
      <c r="F102" s="1157"/>
      <c r="G102" s="1157"/>
      <c r="H102" s="1157"/>
      <c r="I102" s="1786"/>
      <c r="J102" s="1786"/>
      <c r="K102" s="1786"/>
      <c r="L102" s="1786"/>
      <c r="M102" s="1158"/>
    </row>
    <row r="103" spans="1:13">
      <c r="A103" s="1278"/>
      <c r="B103" s="1277"/>
      <c r="C103" s="141"/>
      <c r="D103" s="63"/>
      <c r="E103" s="1157"/>
      <c r="F103" s="1157"/>
      <c r="G103" s="1157"/>
      <c r="H103" s="1157"/>
      <c r="I103" s="1786"/>
      <c r="J103" s="1786"/>
      <c r="K103" s="1786"/>
      <c r="L103" s="1786"/>
      <c r="M103" s="1158"/>
    </row>
    <row r="104" spans="1:13">
      <c r="A104" s="1278"/>
      <c r="B104" s="1277"/>
      <c r="C104" s="141"/>
      <c r="D104" s="63"/>
      <c r="E104" s="1157"/>
      <c r="F104" s="1157"/>
      <c r="G104" s="1157"/>
      <c r="H104" s="1157"/>
      <c r="I104" s="1158"/>
      <c r="J104" s="1158"/>
      <c r="K104" s="1158"/>
      <c r="L104" s="1158"/>
      <c r="M104" s="1158"/>
    </row>
    <row r="105" spans="1:13" ht="14.25" hidden="1" customHeight="1">
      <c r="A105" s="1278"/>
      <c r="B105" s="1277"/>
      <c r="C105" s="141"/>
      <c r="D105" s="63"/>
      <c r="E105" s="1157"/>
      <c r="F105" s="1157"/>
      <c r="G105" s="1157"/>
      <c r="H105" s="1157"/>
      <c r="J105" s="163"/>
      <c r="K105" s="163"/>
    </row>
    <row r="106" spans="1:13" ht="14.25" hidden="1" customHeight="1">
      <c r="A106" s="1278"/>
      <c r="B106" s="1277"/>
      <c r="C106" s="141"/>
      <c r="D106" s="63"/>
      <c r="E106" s="1157"/>
      <c r="F106" s="1157"/>
      <c r="G106" s="1157"/>
      <c r="H106" s="1157"/>
      <c r="I106" s="139"/>
      <c r="J106" s="139"/>
      <c r="K106" s="140"/>
    </row>
    <row r="107" spans="1:13" ht="14.25" hidden="1" customHeight="1">
      <c r="A107" s="4"/>
      <c r="B107" s="4"/>
      <c r="C107" s="4"/>
      <c r="D107" s="4"/>
      <c r="E107" s="4"/>
      <c r="F107" s="4"/>
      <c r="G107" s="4"/>
      <c r="H107" s="4"/>
      <c r="J107" s="138"/>
      <c r="K107" s="140"/>
    </row>
    <row r="108" spans="1:13" ht="14.25" hidden="1" customHeight="1">
      <c r="A108" s="163"/>
      <c r="B108" s="163"/>
      <c r="C108" s="163"/>
      <c r="D108" s="163"/>
      <c r="E108" s="163"/>
      <c r="F108" s="163"/>
      <c r="G108" s="163"/>
      <c r="H108" s="163"/>
      <c r="I108" s="139"/>
      <c r="J108" s="139"/>
      <c r="K108" s="140"/>
    </row>
    <row r="109" spans="1:13" ht="14.25" hidden="1" customHeight="1">
      <c r="A109" s="232"/>
      <c r="B109" s="138"/>
      <c r="C109" s="139"/>
      <c r="D109" s="139"/>
      <c r="E109" s="139"/>
      <c r="F109" s="139"/>
      <c r="G109" s="139"/>
      <c r="H109" s="139"/>
      <c r="I109" s="139"/>
      <c r="J109" s="139"/>
      <c r="K109" s="140"/>
    </row>
    <row r="110" spans="1:13" ht="14.25" hidden="1" customHeight="1">
      <c r="A110" s="232"/>
      <c r="B110" s="138"/>
      <c r="C110" s="139"/>
      <c r="D110" s="139"/>
      <c r="E110" s="139"/>
      <c r="F110" s="139"/>
      <c r="G110" s="139"/>
      <c r="H110" s="139"/>
      <c r="I110" s="139"/>
      <c r="J110" s="139"/>
      <c r="K110" s="140"/>
    </row>
    <row r="111" spans="1:13" ht="14.25" hidden="1" customHeight="1">
      <c r="A111" s="232"/>
      <c r="B111" s="138"/>
      <c r="C111" s="139"/>
      <c r="D111" s="139"/>
      <c r="E111" s="139"/>
      <c r="F111" s="139"/>
      <c r="G111" s="139"/>
      <c r="H111" s="139"/>
      <c r="J111" s="138"/>
      <c r="K111" s="140"/>
    </row>
    <row r="112" spans="1:13" ht="14.25" hidden="1" customHeight="1">
      <c r="A112" s="232"/>
      <c r="B112" s="138"/>
      <c r="C112" s="139"/>
      <c r="D112" s="139"/>
      <c r="E112" s="139"/>
      <c r="F112" s="139"/>
      <c r="G112" s="139"/>
      <c r="H112" s="139"/>
      <c r="J112" s="163"/>
      <c r="K112" s="163"/>
    </row>
    <row r="113" spans="1:11" ht="14.25" hidden="1" customHeight="1">
      <c r="A113" s="140"/>
      <c r="B113" s="138"/>
      <c r="C113" s="138"/>
      <c r="D113" s="138"/>
      <c r="E113" s="138"/>
      <c r="F113" s="138"/>
      <c r="G113" s="139"/>
      <c r="H113" s="139"/>
      <c r="J113" s="163"/>
      <c r="K113" s="163"/>
    </row>
    <row r="114" spans="1:11" ht="14.25" hidden="1" customHeight="1">
      <c r="A114" s="138"/>
      <c r="B114" s="138"/>
      <c r="C114" s="138"/>
      <c r="D114" s="138"/>
      <c r="E114" s="138"/>
      <c r="F114" s="138"/>
      <c r="G114" s="138"/>
      <c r="H114" s="138"/>
      <c r="J114" s="163"/>
      <c r="K114" s="163"/>
    </row>
    <row r="115" spans="1:11">
      <c r="A115" s="163"/>
      <c r="B115" s="163"/>
      <c r="C115" s="163"/>
      <c r="D115" s="163"/>
      <c r="E115" s="163"/>
      <c r="F115" s="163"/>
      <c r="G115" s="163"/>
      <c r="H115" s="163"/>
    </row>
    <row r="116" spans="1:11">
      <c r="A116" s="163"/>
      <c r="B116" s="163"/>
      <c r="C116" s="163"/>
      <c r="D116" s="163"/>
      <c r="E116" s="163"/>
      <c r="F116" s="163"/>
      <c r="G116" s="163"/>
      <c r="H116" s="163"/>
    </row>
    <row r="117" spans="1:11">
      <c r="A117" s="163"/>
      <c r="B117" s="163"/>
      <c r="C117" s="163"/>
      <c r="D117" s="163"/>
      <c r="E117" s="163"/>
      <c r="F117" s="163"/>
      <c r="G117" s="163"/>
      <c r="H117" s="163"/>
    </row>
    <row r="118" spans="1:11"/>
    <row r="119" spans="1:11"/>
  </sheetData>
  <customSheetViews>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1"/>
      <headerFooter>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3"/>
      <headerFooter alignWithMargins="0">
        <oddHeader>&amp;L&amp;8Statistiska Centralbyrå
Offentlig ekonomi&amp;R&amp;P</oddHeader>
      </headerFooter>
    </customSheetView>
  </customSheetViews>
  <mergeCells count="6">
    <mergeCell ref="E4:E5"/>
    <mergeCell ref="D4:D5"/>
    <mergeCell ref="C4:C5"/>
    <mergeCell ref="A70:F70"/>
    <mergeCell ref="A84:K85"/>
    <mergeCell ref="J12:M15"/>
  </mergeCells>
  <phoneticPr fontId="89" type="noConversion"/>
  <conditionalFormatting sqref="C78:C82">
    <cfRule type="cellIs" dxfId="13" priority="7" stopIfTrue="1" operator="lessThan">
      <formula>-10</formula>
    </cfRule>
  </conditionalFormatting>
  <conditionalFormatting sqref="C7:F7 C9:F9">
    <cfRule type="cellIs" dxfId="12" priority="5" stopIfTrue="1" operator="lessThan">
      <formula>-1</formula>
    </cfRule>
  </conditionalFormatting>
  <conditionalFormatting sqref="C8:F8 C10:F11">
    <cfRule type="cellIs" dxfId="11" priority="4" stopIfTrue="1" operator="greaterThan">
      <formula>1</formula>
    </cfRule>
  </conditionalFormatting>
  <conditionalFormatting sqref="C25:H25 C26:F32 H26:H32 G26:G65 C34:F35 H34:H35 C37:F39 H37:H39 C42:F46 H42:H46 C48:F48 H48 C50:F53 H50:H53 C55:F57 H55:H57 C59:F62 H59:H62 C65:F65 H65 C74:C77 C83 C86:C106 D98">
    <cfRule type="cellIs" dxfId="10" priority="10" stopIfTrue="1" operator="lessThan">
      <formula>-500</formula>
    </cfRule>
  </conditionalFormatting>
  <dataValidations disablePrompts="1"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sheetView>
  </sheetViews>
  <sheetFormatPr defaultColWidth="0" defaultRowHeight="12.75" zeroHeight="1"/>
  <cols>
    <col min="1" max="1" width="3.5703125" style="195" customWidth="1"/>
    <col min="2" max="2" width="30.42578125" style="195" customWidth="1"/>
    <col min="3" max="3" width="10.42578125" style="195" customWidth="1"/>
    <col min="4" max="4" width="9.5703125" style="195" customWidth="1"/>
    <col min="5" max="5" width="8.5703125" style="195" customWidth="1"/>
    <col min="6" max="6" width="9.5703125" style="195" customWidth="1"/>
    <col min="7" max="7" width="11.42578125" style="195" customWidth="1"/>
    <col min="8" max="8" width="9.5703125" style="195" customWidth="1"/>
    <col min="9" max="10" width="8.5703125" style="195" customWidth="1"/>
    <col min="11" max="11" width="1.42578125" style="195" customWidth="1"/>
    <col min="12" max="14" width="8.5703125" style="195" customWidth="1"/>
    <col min="15" max="15" width="9.42578125" style="195" customWidth="1"/>
    <col min="16" max="16" width="10" style="195" customWidth="1"/>
    <col min="17" max="17" width="3.5703125" style="195" customWidth="1"/>
    <col min="18" max="19" width="8.5703125" style="195" customWidth="1"/>
    <col min="20" max="20" width="10.5703125" style="195" customWidth="1"/>
    <col min="21" max="21" width="2.42578125" style="195" customWidth="1"/>
    <col min="22" max="22" width="9" style="195" customWidth="1"/>
    <col min="23" max="23" width="10.5703125" style="195" customWidth="1"/>
    <col min="24" max="24" width="2.42578125" style="195" customWidth="1"/>
    <col min="25" max="25" width="11.5703125" style="195" customWidth="1"/>
    <col min="26" max="27" width="9.42578125" style="195" customWidth="1"/>
    <col min="28" max="28" width="8.5703125" style="137" customWidth="1"/>
    <col min="29" max="29" width="7.42578125" style="137" customWidth="1"/>
    <col min="30" max="30" width="1" style="163" customWidth="1"/>
    <col min="31" max="31" width="0.140625" style="386" hidden="1" customWidth="1"/>
    <col min="32" max="33" width="10.42578125" style="163" customWidth="1"/>
    <col min="34" max="34" width="0.42578125" style="163" customWidth="1"/>
    <col min="35" max="36" width="9.42578125" style="163" customWidth="1"/>
    <col min="37" max="16384" width="0" style="163" hidden="1"/>
  </cols>
  <sheetData>
    <row r="1" spans="1:34" ht="21.75" customHeight="1">
      <c r="A1" s="162"/>
      <c r="B1" s="74"/>
      <c r="C1" s="73" t="str">
        <f>"Driftredovisning "&amp;År&amp;", miljoner kr"</f>
        <v>Driftredovisning 2024, miljoner kr</v>
      </c>
      <c r="D1" s="74"/>
      <c r="E1" s="74"/>
      <c r="F1" s="162"/>
      <c r="G1" s="162"/>
      <c r="H1" s="162"/>
      <c r="I1" s="475" t="s">
        <v>446</v>
      </c>
      <c r="J1" s="476" t="str">
        <f>Information!A2</f>
        <v>RIKSTOTAL</v>
      </c>
      <c r="K1" s="187"/>
      <c r="L1" s="162"/>
      <c r="M1" s="162"/>
      <c r="N1" s="162"/>
      <c r="O1" s="162"/>
      <c r="P1" s="162"/>
      <c r="Q1" s="162"/>
      <c r="R1" s="73" t="str">
        <f>"Driftredovisning "&amp;År&amp;", miljoner kr"</f>
        <v>Driftredovisning 2024, miljoner kr</v>
      </c>
      <c r="S1" s="162"/>
      <c r="T1" s="162"/>
      <c r="U1" s="162"/>
      <c r="V1" s="162"/>
      <c r="W1" s="162"/>
      <c r="X1" s="162"/>
      <c r="Y1" s="475" t="s">
        <v>446</v>
      </c>
      <c r="Z1" s="476" t="str">
        <f>Information!A2</f>
        <v>RIKSTOTAL</v>
      </c>
      <c r="AA1" s="162"/>
      <c r="AB1" s="383"/>
      <c r="AC1" s="383"/>
      <c r="AD1" s="162"/>
      <c r="AE1" s="383"/>
      <c r="AF1" s="162"/>
      <c r="AG1" s="162"/>
    </row>
    <row r="2" spans="1:34" ht="12.75" customHeight="1">
      <c r="A2" s="2141"/>
      <c r="B2" s="2141"/>
      <c r="C2" s="2141"/>
      <c r="D2" s="2141"/>
      <c r="E2" s="2141"/>
      <c r="F2" s="2141"/>
      <c r="G2" s="2141"/>
      <c r="H2" s="2141"/>
      <c r="I2" s="2141"/>
      <c r="J2" s="2141"/>
      <c r="K2" s="2141"/>
      <c r="L2" s="2141"/>
      <c r="M2" s="2141"/>
      <c r="N2" s="2141"/>
      <c r="O2" s="2141"/>
      <c r="P2" s="2141"/>
      <c r="Q2" s="2141"/>
      <c r="R2" s="2141"/>
      <c r="S2" s="2141"/>
      <c r="T2" s="2141"/>
      <c r="U2" s="2141"/>
      <c r="V2" s="2141"/>
      <c r="W2" s="2141"/>
      <c r="X2" s="2141"/>
      <c r="Y2" s="4"/>
      <c r="Z2" s="2141"/>
      <c r="AA2" s="2141"/>
      <c r="AB2" s="2141"/>
      <c r="AC2" s="2141"/>
      <c r="AD2" s="2141"/>
      <c r="AE2" s="2141"/>
      <c r="AF2" s="2141"/>
      <c r="AG2" s="2141"/>
    </row>
    <row r="3" spans="1:34" s="190" customFormat="1" ht="12.75" customHeight="1" thickBot="1">
      <c r="A3" s="2141"/>
      <c r="B3" s="2141"/>
      <c r="C3" s="2141"/>
      <c r="D3" s="2141"/>
      <c r="E3" s="2141"/>
      <c r="F3" s="2141"/>
      <c r="G3" s="2141"/>
      <c r="H3" s="2141"/>
      <c r="I3" s="2141"/>
      <c r="J3" s="2141"/>
      <c r="K3" s="2141"/>
      <c r="L3" s="2141"/>
      <c r="M3" s="2141"/>
      <c r="N3" s="2141"/>
      <c r="O3" s="2141"/>
      <c r="P3" s="2141"/>
      <c r="Q3" s="2141"/>
      <c r="R3" s="2141"/>
      <c r="S3" s="2141"/>
      <c r="T3" s="2141"/>
      <c r="U3" s="2141"/>
      <c r="V3" s="2141"/>
      <c r="W3" s="2141"/>
      <c r="X3" s="2141"/>
      <c r="Y3" s="189" t="s">
        <v>140</v>
      </c>
      <c r="Z3" s="2141"/>
      <c r="AA3" s="2141"/>
      <c r="AB3" s="2141"/>
      <c r="AC3" s="2141"/>
      <c r="AD3" s="2141"/>
      <c r="AE3" s="2141"/>
      <c r="AF3" s="2141"/>
      <c r="AG3" s="2141"/>
    </row>
    <row r="4" spans="1:34" s="175" customFormat="1" ht="44.45" customHeight="1">
      <c r="A4" s="782" t="s">
        <v>197</v>
      </c>
      <c r="B4" s="783" t="s">
        <v>13</v>
      </c>
      <c r="C4" s="2602" t="s">
        <v>34</v>
      </c>
      <c r="D4" s="2603"/>
      <c r="E4" s="2604" t="s">
        <v>35</v>
      </c>
      <c r="F4" s="2605"/>
      <c r="G4" s="2605"/>
      <c r="H4" s="2606"/>
      <c r="I4" s="2608" t="s">
        <v>36</v>
      </c>
      <c r="J4" s="2609"/>
      <c r="K4" s="37"/>
      <c r="L4" s="2568" t="s">
        <v>141</v>
      </c>
      <c r="M4" s="2607"/>
      <c r="N4" s="2607"/>
      <c r="O4" s="2603"/>
      <c r="P4" s="855"/>
      <c r="Q4" s="69"/>
      <c r="R4" s="2568" t="s">
        <v>37</v>
      </c>
      <c r="S4" s="2569"/>
      <c r="T4" s="2570"/>
      <c r="U4" s="106"/>
      <c r="V4" s="1767" t="s">
        <v>143</v>
      </c>
      <c r="W4" s="872"/>
      <c r="X4" s="37"/>
      <c r="Y4" s="1487" t="s">
        <v>894</v>
      </c>
      <c r="Z4" s="2571" t="s">
        <v>917</v>
      </c>
      <c r="AA4" s="2572"/>
      <c r="AB4" s="2573"/>
      <c r="AC4" s="2235" t="str">
        <f>"Förändring kostnader för eget åtagande "&amp;År-1&amp;"-"&amp;År&amp;" procent"</f>
        <v>Förändring kostnader för eget åtagande 2023-2024 procent</v>
      </c>
      <c r="AD4" s="2141"/>
      <c r="AE4" s="1120" t="str">
        <f>"Köp av verksamhet som andel av "</f>
        <v xml:space="preserve">Köp av verksamhet som andel av </v>
      </c>
      <c r="AF4" s="2295" t="s">
        <v>899</v>
      </c>
      <c r="AG4" s="2285" t="s">
        <v>900</v>
      </c>
      <c r="AH4" s="1818" t="s">
        <v>961</v>
      </c>
    </row>
    <row r="5" spans="1:34" ht="46.7" customHeight="1">
      <c r="A5" s="1214"/>
      <c r="B5" s="1215"/>
      <c r="C5" s="1199" t="s">
        <v>188</v>
      </c>
      <c r="D5" s="2314" t="s">
        <v>485</v>
      </c>
      <c r="E5" s="1288" t="s">
        <v>801</v>
      </c>
      <c r="F5" s="812" t="s">
        <v>744</v>
      </c>
      <c r="G5" s="813" t="s">
        <v>196</v>
      </c>
      <c r="H5" s="814" t="s">
        <v>733</v>
      </c>
      <c r="I5" s="815" t="s">
        <v>452</v>
      </c>
      <c r="J5" s="2317" t="s">
        <v>486</v>
      </c>
      <c r="K5" s="37"/>
      <c r="L5" s="870" t="s">
        <v>517</v>
      </c>
      <c r="M5" s="1462" t="s">
        <v>453</v>
      </c>
      <c r="N5" s="2591" t="s">
        <v>1002</v>
      </c>
      <c r="O5" s="2592"/>
      <c r="P5" s="856" t="s">
        <v>462</v>
      </c>
      <c r="Q5" s="45"/>
      <c r="R5" s="870" t="s">
        <v>663</v>
      </c>
      <c r="S5" s="814" t="s">
        <v>455</v>
      </c>
      <c r="T5" s="871" t="s">
        <v>456</v>
      </c>
      <c r="U5" s="31"/>
      <c r="V5" s="857"/>
      <c r="W5" s="873" t="s">
        <v>463</v>
      </c>
      <c r="X5" s="37"/>
      <c r="Y5" s="2583" t="s">
        <v>1035</v>
      </c>
      <c r="Z5" s="817" t="str">
        <f>"Netto-kostnader "&amp;År&amp;""</f>
        <v>Netto-kostnader 2024</v>
      </c>
      <c r="AA5" s="817" t="str">
        <f>"Kostnader för eget åtagande "&amp;År&amp;""</f>
        <v>Kostnader för eget åtagande 2024</v>
      </c>
      <c r="AB5" s="817" t="str">
        <f>"Kostnader för eget åtagande "&amp;År-1&amp;""</f>
        <v>Kostnader för eget åtagande 2023</v>
      </c>
      <c r="AC5" s="2236"/>
      <c r="AD5" s="2141"/>
      <c r="AE5" s="2266" t="str">
        <f>"verksamhetens kostnad för eget åtagande "&amp;År&amp;" procent"</f>
        <v>verksamhetens kostnad för eget åtagande 2024 procent</v>
      </c>
      <c r="AF5" s="2600" t="s">
        <v>901</v>
      </c>
      <c r="AG5" s="2598" t="s">
        <v>902</v>
      </c>
      <c r="AH5" s="2596" t="s">
        <v>962</v>
      </c>
    </row>
    <row r="6" spans="1:34" ht="56.25" customHeight="1" thickBot="1">
      <c r="A6" s="785"/>
      <c r="B6" s="2070" t="str">
        <f>"BAS "&amp;År-2000&amp;""</f>
        <v>BAS 24</v>
      </c>
      <c r="C6" s="2312" t="s">
        <v>1240</v>
      </c>
      <c r="D6" s="2064"/>
      <c r="E6" s="2315" t="s">
        <v>1194</v>
      </c>
      <c r="F6" s="1279" t="s">
        <v>767</v>
      </c>
      <c r="G6" s="2316" t="s">
        <v>1204</v>
      </c>
      <c r="H6" s="1279" t="s">
        <v>43</v>
      </c>
      <c r="I6" s="1280" t="s">
        <v>44</v>
      </c>
      <c r="J6" s="2318" t="s">
        <v>1098</v>
      </c>
      <c r="K6" s="37"/>
      <c r="L6" s="2320" t="s">
        <v>1096</v>
      </c>
      <c r="M6" s="2065"/>
      <c r="N6" s="2066" t="s">
        <v>802</v>
      </c>
      <c r="O6" s="2067" t="s">
        <v>803</v>
      </c>
      <c r="P6" s="2069"/>
      <c r="Q6" s="69"/>
      <c r="R6" s="2026" t="s">
        <v>797</v>
      </c>
      <c r="S6" s="2027" t="s">
        <v>45</v>
      </c>
      <c r="T6" s="1281" t="s">
        <v>745</v>
      </c>
      <c r="U6" s="31"/>
      <c r="V6" s="2068"/>
      <c r="W6" s="2069"/>
      <c r="X6" s="37"/>
      <c r="Y6" s="2584"/>
      <c r="Z6" s="1523"/>
      <c r="AA6" s="1524"/>
      <c r="AB6" s="1525"/>
      <c r="AC6" s="2237"/>
      <c r="AD6" s="2141"/>
      <c r="AE6" s="2267"/>
      <c r="AF6" s="2601"/>
      <c r="AG6" s="2599"/>
      <c r="AH6" s="2597"/>
    </row>
    <row r="7" spans="1:34" ht="9.75" hidden="1" customHeight="1">
      <c r="A7" s="785"/>
      <c r="B7" s="1404"/>
      <c r="C7" s="1329"/>
      <c r="D7" s="1330"/>
      <c r="E7" s="1334"/>
      <c r="F7" s="1335"/>
      <c r="G7" s="1336"/>
      <c r="H7" s="1337"/>
      <c r="I7" s="1338"/>
      <c r="J7" s="1339"/>
      <c r="K7" s="31"/>
      <c r="L7" s="1202"/>
      <c r="M7" s="1203"/>
      <c r="N7" s="1200"/>
      <c r="O7" s="786"/>
      <c r="P7" s="858"/>
      <c r="Q7" s="45"/>
      <c r="R7" s="1360"/>
      <c r="S7" s="1361"/>
      <c r="T7" s="1362"/>
      <c r="U7" s="31"/>
      <c r="V7" s="857"/>
      <c r="W7" s="858"/>
      <c r="X7" s="31"/>
      <c r="Y7" s="1193"/>
      <c r="Z7" s="888"/>
      <c r="AA7" s="890"/>
      <c r="AB7" s="889"/>
      <c r="AC7" s="2236"/>
      <c r="AD7" s="2141"/>
      <c r="AE7" s="2267"/>
      <c r="AF7" s="2296"/>
      <c r="AG7" s="1486"/>
      <c r="AH7" s="1716"/>
    </row>
    <row r="8" spans="1:34" ht="12.75" hidden="1" customHeight="1">
      <c r="A8" s="787"/>
      <c r="B8" s="1331"/>
      <c r="C8" s="1332"/>
      <c r="D8" s="1333"/>
      <c r="E8" s="1340"/>
      <c r="F8" s="1341"/>
      <c r="G8" s="1342"/>
      <c r="H8" s="1343"/>
      <c r="I8" s="1344"/>
      <c r="J8" s="1345"/>
      <c r="K8" s="31"/>
      <c r="L8" s="857"/>
      <c r="M8" s="819"/>
      <c r="N8" s="1200"/>
      <c r="O8" s="786"/>
      <c r="P8" s="858"/>
      <c r="Q8" s="45"/>
      <c r="R8" s="1360"/>
      <c r="S8" s="1361"/>
      <c r="T8" s="1362"/>
      <c r="U8" s="31"/>
      <c r="V8" s="859"/>
      <c r="W8" s="858"/>
      <c r="X8" s="31"/>
      <c r="Y8" s="1193"/>
      <c r="Z8" s="891"/>
      <c r="AA8" s="892"/>
      <c r="AB8" s="818"/>
      <c r="AC8" s="2236"/>
      <c r="AD8" s="2141"/>
      <c r="AE8" s="2268"/>
      <c r="AF8" s="2296"/>
      <c r="AG8" s="1486"/>
      <c r="AH8" s="1716"/>
    </row>
    <row r="9" spans="1:34" ht="10.5" hidden="1" customHeight="1">
      <c r="A9" s="785"/>
      <c r="B9" s="1346"/>
      <c r="C9" s="1347"/>
      <c r="D9" s="1348"/>
      <c r="E9" s="1349"/>
      <c r="F9" s="1350"/>
      <c r="G9" s="1342"/>
      <c r="H9" s="1343"/>
      <c r="I9" s="1351"/>
      <c r="J9" s="1352"/>
      <c r="K9" s="9"/>
      <c r="L9" s="859"/>
      <c r="M9" s="819"/>
      <c r="N9" s="1113"/>
      <c r="O9" s="1121"/>
      <c r="P9" s="858"/>
      <c r="Q9" s="45"/>
      <c r="R9" s="1363"/>
      <c r="S9" s="1364"/>
      <c r="T9" s="1352"/>
      <c r="U9" s="9"/>
      <c r="V9" s="859"/>
      <c r="W9" s="874"/>
      <c r="X9" s="9"/>
      <c r="Y9" s="1193"/>
      <c r="Z9" s="891"/>
      <c r="AA9" s="891"/>
      <c r="AB9" s="818"/>
      <c r="AC9" s="2236"/>
      <c r="AD9" s="2141"/>
      <c r="AE9" s="2269"/>
      <c r="AF9" s="2296"/>
      <c r="AG9" s="1486"/>
      <c r="AH9" s="1716"/>
    </row>
    <row r="10" spans="1:34" ht="12" hidden="1" customHeight="1">
      <c r="A10" s="788"/>
      <c r="B10" s="1353"/>
      <c r="C10" s="1354"/>
      <c r="D10" s="1355"/>
      <c r="E10" s="1356"/>
      <c r="F10" s="1355"/>
      <c r="G10" s="1357"/>
      <c r="H10" s="1358"/>
      <c r="I10" s="1354"/>
      <c r="J10" s="1359"/>
      <c r="K10" s="9"/>
      <c r="L10" s="860"/>
      <c r="M10" s="820"/>
      <c r="N10" s="977"/>
      <c r="O10" s="1201"/>
      <c r="P10" s="861"/>
      <c r="Q10" s="193"/>
      <c r="R10" s="1365"/>
      <c r="S10" s="1355"/>
      <c r="T10" s="1359"/>
      <c r="U10" s="107"/>
      <c r="V10" s="860"/>
      <c r="W10" s="875"/>
      <c r="X10" s="9"/>
      <c r="Y10" s="1536"/>
      <c r="Z10" s="1520"/>
      <c r="AA10" s="1521"/>
      <c r="AB10" s="1522"/>
      <c r="AC10" s="2238"/>
      <c r="AD10" s="2141"/>
      <c r="AE10" s="2270"/>
      <c r="AF10" s="2296"/>
      <c r="AG10" s="1486"/>
      <c r="AH10" s="1717"/>
    </row>
    <row r="11" spans="1:34" ht="39" customHeight="1" thickBot="1">
      <c r="A11" s="789"/>
      <c r="B11" s="790" t="s">
        <v>14</v>
      </c>
      <c r="C11" s="821"/>
      <c r="D11" s="822"/>
      <c r="E11" s="821"/>
      <c r="F11" s="823"/>
      <c r="G11" s="824"/>
      <c r="H11" s="825"/>
      <c r="I11" s="821"/>
      <c r="J11" s="826"/>
      <c r="K11" s="194"/>
      <c r="L11" s="862"/>
      <c r="M11" s="823"/>
      <c r="N11" s="822"/>
      <c r="O11" s="863"/>
      <c r="P11" s="826"/>
      <c r="Q11" s="194"/>
      <c r="R11" s="862"/>
      <c r="S11" s="823"/>
      <c r="T11" s="826"/>
      <c r="U11" s="194"/>
      <c r="V11" s="876"/>
      <c r="W11" s="877"/>
      <c r="X11" s="35"/>
      <c r="Y11" s="1535" t="s">
        <v>48</v>
      </c>
      <c r="Z11" s="2588"/>
      <c r="AA11" s="2586"/>
      <c r="AB11" s="2586"/>
      <c r="AC11" s="2587"/>
      <c r="AD11" s="2141"/>
      <c r="AE11" s="2271"/>
      <c r="AF11" s="2296"/>
      <c r="AG11" s="1486"/>
      <c r="AH11" s="1718"/>
    </row>
    <row r="12" spans="1:34" ht="11.25" customHeight="1">
      <c r="A12" s="791"/>
      <c r="B12" s="792" t="s">
        <v>46</v>
      </c>
      <c r="C12" s="827"/>
      <c r="D12" s="828"/>
      <c r="E12" s="827"/>
      <c r="F12" s="829"/>
      <c r="G12" s="830"/>
      <c r="H12" s="831"/>
      <c r="I12" s="827"/>
      <c r="J12" s="832"/>
      <c r="K12" s="194"/>
      <c r="L12" s="864"/>
      <c r="M12" s="829"/>
      <c r="N12" s="828"/>
      <c r="O12" s="865"/>
      <c r="P12" s="832"/>
      <c r="Q12" s="194"/>
      <c r="R12" s="864"/>
      <c r="S12" s="829"/>
      <c r="T12" s="832"/>
      <c r="U12" s="194"/>
      <c r="V12" s="878"/>
      <c r="W12" s="879"/>
      <c r="X12" s="28"/>
      <c r="Y12" s="898"/>
      <c r="Z12" s="893"/>
      <c r="AA12" s="893"/>
      <c r="AB12" s="894"/>
      <c r="AC12" s="2239"/>
      <c r="AD12" s="2141"/>
      <c r="AE12" s="2271"/>
      <c r="AF12" s="2296"/>
      <c r="AG12" s="1486"/>
      <c r="AH12" s="1719"/>
    </row>
    <row r="13" spans="1:34">
      <c r="A13" s="1934" t="s">
        <v>206</v>
      </c>
      <c r="B13" s="793" t="s">
        <v>47</v>
      </c>
      <c r="C13" s="18">
        <v>2454.0839999999998</v>
      </c>
      <c r="D13" s="19">
        <v>960.12099999999998</v>
      </c>
      <c r="E13" s="20">
        <v>43.24</v>
      </c>
      <c r="F13" s="18">
        <v>20.044</v>
      </c>
      <c r="G13" s="18">
        <v>274.75599999999997</v>
      </c>
      <c r="H13" s="19">
        <v>48.35</v>
      </c>
      <c r="I13" s="18">
        <v>25.327000000000002</v>
      </c>
      <c r="J13" s="96">
        <v>14.705</v>
      </c>
      <c r="K13" s="29"/>
      <c r="L13" s="99">
        <v>71.352999999999994</v>
      </c>
      <c r="M13" s="18">
        <v>185.33500000000001</v>
      </c>
      <c r="N13" s="19">
        <v>10.59</v>
      </c>
      <c r="O13" s="407">
        <v>171.23</v>
      </c>
      <c r="P13" s="338">
        <f>SUM(C13:O13)</f>
        <v>4279.1349999999993</v>
      </c>
      <c r="Q13" s="46"/>
      <c r="R13" s="99">
        <v>4.4930000000000003</v>
      </c>
      <c r="S13" s="18">
        <v>3.5409999999999999</v>
      </c>
      <c r="T13" s="96">
        <v>52.167000000000002</v>
      </c>
      <c r="U13" s="47"/>
      <c r="V13" s="109">
        <v>60.570999999999998</v>
      </c>
      <c r="W13" s="373">
        <f>SUM(R13:V13)</f>
        <v>120.77199999999999</v>
      </c>
      <c r="X13" s="53"/>
      <c r="Y13" s="1514">
        <v>4207.9210000000003</v>
      </c>
      <c r="Z13" s="1515"/>
      <c r="AA13" s="1516"/>
      <c r="AB13" s="1517"/>
      <c r="AC13" s="2240"/>
      <c r="AD13" s="2141"/>
      <c r="AE13" s="2272"/>
      <c r="AF13" s="2297">
        <v>4158.3620000000001</v>
      </c>
      <c r="AG13" s="2286">
        <v>4150.17</v>
      </c>
      <c r="AH13" s="1720">
        <f>W13-V13-(IF(AND(Motpart!$Y$9="",Motpart!$Z$9=""),0,IF(AND(Motpart!$Y$9=0,Motpart!$Z$9=0),0,((T13/$T$17)*(Motpart!$Y$9+Motpart!$Z$9)))))</f>
        <v>37.793559468885007</v>
      </c>
    </row>
    <row r="14" spans="1:34">
      <c r="A14" s="1934" t="s">
        <v>207</v>
      </c>
      <c r="B14" s="794" t="s">
        <v>49</v>
      </c>
      <c r="C14" s="21">
        <v>13.177</v>
      </c>
      <c r="D14" s="19">
        <v>5.891</v>
      </c>
      <c r="E14" s="23">
        <v>0.39400000000000002</v>
      </c>
      <c r="F14" s="21">
        <v>0</v>
      </c>
      <c r="G14" s="21">
        <v>0.70899999999999996</v>
      </c>
      <c r="H14" s="22">
        <v>553.87599999999998</v>
      </c>
      <c r="I14" s="21">
        <v>5.7000000000000002E-2</v>
      </c>
      <c r="J14" s="97">
        <v>4.0000000000000001E-3</v>
      </c>
      <c r="K14" s="29"/>
      <c r="L14" s="100">
        <v>1.48</v>
      </c>
      <c r="M14" s="21">
        <v>2.7069999999999999</v>
      </c>
      <c r="N14" s="19">
        <v>0.31</v>
      </c>
      <c r="O14" s="339">
        <v>0.68400000000000005</v>
      </c>
      <c r="P14" s="338">
        <f>SUM(C14:O14)</f>
        <v>579.28899999999999</v>
      </c>
      <c r="Q14" s="46"/>
      <c r="R14" s="100">
        <v>0</v>
      </c>
      <c r="S14" s="21">
        <v>0</v>
      </c>
      <c r="T14" s="97">
        <v>0.29499999999999998</v>
      </c>
      <c r="U14" s="47"/>
      <c r="V14" s="110">
        <v>1.849</v>
      </c>
      <c r="W14" s="373">
        <f>SUM(R14:V14)</f>
        <v>2.1440000000000001</v>
      </c>
      <c r="X14" s="53"/>
      <c r="Y14" s="1399">
        <v>577.44000000000005</v>
      </c>
      <c r="Z14" s="1518"/>
      <c r="AA14" s="1519"/>
      <c r="AB14" s="1519"/>
      <c r="AC14" s="2241"/>
      <c r="AD14" s="2141"/>
      <c r="AE14" s="2272"/>
      <c r="AF14" s="2297">
        <v>577.14499999999998</v>
      </c>
      <c r="AG14" s="2286">
        <v>23.564</v>
      </c>
      <c r="AH14" s="1720">
        <f>W14-V14-(IF(AND(Motpart!$Y$9="",Motpart!$Z$9=""),0,IF(AND(Motpart!$Y$9=0,Motpart!$Z$9=0),0,((T14/$T$17)*(Motpart!$Y$9+Motpart!$Z$9)))))</f>
        <v>0.16828780729812118</v>
      </c>
    </row>
    <row r="15" spans="1:34">
      <c r="A15" s="1934" t="s">
        <v>208</v>
      </c>
      <c r="B15" s="794" t="s">
        <v>50</v>
      </c>
      <c r="C15" s="21">
        <v>146.50299999999999</v>
      </c>
      <c r="D15" s="19">
        <v>55.747999999999998</v>
      </c>
      <c r="E15" s="23">
        <v>3.0680000000000001</v>
      </c>
      <c r="F15" s="21">
        <v>4.0259999999999998</v>
      </c>
      <c r="G15" s="21">
        <v>323.459</v>
      </c>
      <c r="H15" s="22">
        <v>2.1999999999999999E-2</v>
      </c>
      <c r="I15" s="21">
        <v>4.2990000000000004</v>
      </c>
      <c r="J15" s="97">
        <v>3.6999999999999998E-2</v>
      </c>
      <c r="K15" s="29"/>
      <c r="L15" s="100">
        <v>3.476</v>
      </c>
      <c r="M15" s="21">
        <v>7.82</v>
      </c>
      <c r="N15" s="19">
        <v>0.95899999999999996</v>
      </c>
      <c r="O15" s="339">
        <v>22.914999999999999</v>
      </c>
      <c r="P15" s="338">
        <f>SUM(C15:O15)</f>
        <v>572.33199999999999</v>
      </c>
      <c r="Q15" s="46"/>
      <c r="R15" s="100">
        <v>5.7279999999999998</v>
      </c>
      <c r="S15" s="21">
        <v>7.2999999999999995E-2</v>
      </c>
      <c r="T15" s="97">
        <v>14.404</v>
      </c>
      <c r="U15" s="47"/>
      <c r="V15" s="110">
        <v>0.46700000000000003</v>
      </c>
      <c r="W15" s="373">
        <f>SUM(R15:V15)</f>
        <v>20.671999999999997</v>
      </c>
      <c r="X15" s="53"/>
      <c r="Y15" s="1399">
        <v>570.18299999999999</v>
      </c>
      <c r="Z15" s="1518"/>
      <c r="AA15" s="1519"/>
      <c r="AB15" s="1519"/>
      <c r="AC15" s="2241"/>
      <c r="AD15" s="2141"/>
      <c r="AE15" s="2272"/>
      <c r="AF15" s="2297">
        <v>551.66300000000001</v>
      </c>
      <c r="AG15" s="2286">
        <v>567.82000000000005</v>
      </c>
      <c r="AH15" s="1720">
        <f>W15-V15-(IF(AND(Motpart!$Y$9="",Motpart!$Z$9=""),0,IF(AND(Motpart!$Y$9=0,Motpart!$Z$9=0),0,((T15/$T$17)*(Motpart!$Y$9+Motpart!$Z$9)))))</f>
        <v>14.018008733295373</v>
      </c>
    </row>
    <row r="16" spans="1:34">
      <c r="A16" s="1934" t="s">
        <v>209</v>
      </c>
      <c r="B16" s="794" t="s">
        <v>51</v>
      </c>
      <c r="C16" s="21">
        <v>1657.8330000000001</v>
      </c>
      <c r="D16" s="19">
        <v>684.74300000000005</v>
      </c>
      <c r="E16" s="23">
        <v>34.655999999999999</v>
      </c>
      <c r="F16" s="21">
        <v>261.63299999999998</v>
      </c>
      <c r="G16" s="21">
        <v>668.25599999999997</v>
      </c>
      <c r="H16" s="22">
        <v>109.31100000000001</v>
      </c>
      <c r="I16" s="21">
        <v>32.139000000000003</v>
      </c>
      <c r="J16" s="97">
        <v>8.8780000000000001</v>
      </c>
      <c r="K16" s="2081"/>
      <c r="L16" s="25">
        <v>58.973999999999997</v>
      </c>
      <c r="M16" s="21">
        <v>249.18600000000001</v>
      </c>
      <c r="N16" s="19">
        <v>15.833</v>
      </c>
      <c r="O16" s="339">
        <v>125.52500000000001</v>
      </c>
      <c r="P16" s="338">
        <f>SUM(C16:O16)</f>
        <v>3906.9670000000006</v>
      </c>
      <c r="Q16" s="46"/>
      <c r="R16" s="100">
        <v>37.725999999999999</v>
      </c>
      <c r="S16" s="21">
        <v>1.2749999999999999</v>
      </c>
      <c r="T16" s="97">
        <v>410.846</v>
      </c>
      <c r="U16" s="47"/>
      <c r="V16" s="110">
        <v>158.30600000000001</v>
      </c>
      <c r="W16" s="373">
        <f>SUM(R16:V16)</f>
        <v>608.15300000000002</v>
      </c>
      <c r="X16" s="53"/>
      <c r="Y16" s="1399">
        <v>3555.81</v>
      </c>
      <c r="Z16" s="1518"/>
      <c r="AA16" s="1519"/>
      <c r="AB16" s="1519"/>
      <c r="AC16" s="2241"/>
      <c r="AD16" s="2141"/>
      <c r="AE16" s="2272"/>
      <c r="AF16" s="2297">
        <v>3298.8139999999999</v>
      </c>
      <c r="AG16" s="2286">
        <v>3377.7150000000001</v>
      </c>
      <c r="AH16" s="1720">
        <f>W16-V16-(IF(AND(Motpart!$Y$9="",Motpart!$Z$9=""),0,IF(AND(Motpart!$Y$9=0,Motpart!$Z$9=0),0,((T16/$T$17)*(Motpart!$Y$9+Motpart!$Z$9)))))</f>
        <v>273.37514399052145</v>
      </c>
    </row>
    <row r="17" spans="1:34" ht="12.75" customHeight="1" thickBot="1">
      <c r="A17" s="1947" t="s">
        <v>210</v>
      </c>
      <c r="B17" s="794" t="s">
        <v>52</v>
      </c>
      <c r="C17" s="334">
        <f>SUM(C13:C16)</f>
        <v>4271.5969999999998</v>
      </c>
      <c r="D17" s="24">
        <f t="shared" ref="D17:O17" si="0">SUM(D13:D16)</f>
        <v>1706.5030000000002</v>
      </c>
      <c r="E17" s="341">
        <f t="shared" si="0"/>
        <v>81.358000000000004</v>
      </c>
      <c r="F17" s="334">
        <f t="shared" si="0"/>
        <v>285.70299999999997</v>
      </c>
      <c r="G17" s="334">
        <f t="shared" si="0"/>
        <v>1267.1799999999998</v>
      </c>
      <c r="H17" s="24">
        <f t="shared" si="0"/>
        <v>711.55900000000008</v>
      </c>
      <c r="I17" s="334">
        <f t="shared" si="0"/>
        <v>61.822000000000003</v>
      </c>
      <c r="J17" s="101">
        <f t="shared" si="0"/>
        <v>23.624000000000002</v>
      </c>
      <c r="K17" s="141"/>
      <c r="L17" s="340">
        <f>SUM(L13:L16)</f>
        <v>135.28299999999999</v>
      </c>
      <c r="M17" s="334">
        <f t="shared" si="0"/>
        <v>445.048</v>
      </c>
      <c r="N17" s="24">
        <f t="shared" si="0"/>
        <v>27.692</v>
      </c>
      <c r="O17" s="24">
        <f t="shared" si="0"/>
        <v>320.35399999999998</v>
      </c>
      <c r="P17" s="101">
        <f>SUM(P6:P16)</f>
        <v>9337.723</v>
      </c>
      <c r="Q17" s="46"/>
      <c r="R17" s="340">
        <f>SUM(R13:R16)</f>
        <v>47.947000000000003</v>
      </c>
      <c r="S17" s="334">
        <f>SUM(S13:S16)</f>
        <v>4.8889999999999993</v>
      </c>
      <c r="T17" s="101">
        <f>SUM(T13:T16)</f>
        <v>477.71199999999999</v>
      </c>
      <c r="U17" s="46"/>
      <c r="V17" s="113">
        <f>SUM(V13:V16)</f>
        <v>221.19300000000001</v>
      </c>
      <c r="W17" s="114">
        <f>SUM(W13:W16)</f>
        <v>751.74099999999999</v>
      </c>
      <c r="X17" s="53"/>
      <c r="Y17" s="900">
        <v>8911.3510000000006</v>
      </c>
      <c r="Z17" s="901">
        <f>(P17-W17)*1000/invanare</f>
        <v>810.93853156159366</v>
      </c>
      <c r="AA17" s="901">
        <f>Y17*1000/invanare</f>
        <v>841.66935059611581</v>
      </c>
      <c r="AB17" s="901">
        <v>778.524</v>
      </c>
      <c r="AC17" s="2242">
        <f>IF(ISERROR((AA17-AB17)/AB17)," ",((AA17-AB17)/AB17))</f>
        <v>8.1109060987350171E-2</v>
      </c>
      <c r="AD17" s="2141"/>
      <c r="AE17" s="2273"/>
      <c r="AF17" s="2298">
        <v>8585.9969999999994</v>
      </c>
      <c r="AG17" s="2287">
        <v>8119.2809999999999</v>
      </c>
      <c r="AH17" s="1720">
        <f>W17-V17-SUM(Motpart!Y9:Z9)</f>
        <v>325.35500000000002</v>
      </c>
    </row>
    <row r="18" spans="1:34" ht="37.5" customHeight="1" thickBot="1">
      <c r="A18" s="1948"/>
      <c r="B18" s="795" t="s">
        <v>53</v>
      </c>
      <c r="C18" s="833"/>
      <c r="D18" s="834"/>
      <c r="E18" s="833"/>
      <c r="F18" s="835"/>
      <c r="G18" s="835"/>
      <c r="H18" s="834"/>
      <c r="I18" s="835"/>
      <c r="J18" s="836"/>
      <c r="K18" s="29"/>
      <c r="L18" s="866"/>
      <c r="M18" s="835"/>
      <c r="N18" s="834"/>
      <c r="O18" s="834"/>
      <c r="P18" s="836"/>
      <c r="Q18" s="47"/>
      <c r="R18" s="866"/>
      <c r="S18" s="835"/>
      <c r="T18" s="836"/>
      <c r="U18" s="47"/>
      <c r="V18" s="880"/>
      <c r="W18" s="881"/>
      <c r="X18" s="29"/>
      <c r="Y18" s="1535" t="s">
        <v>915</v>
      </c>
      <c r="Z18" s="2588"/>
      <c r="AA18" s="2586"/>
      <c r="AB18" s="2586"/>
      <c r="AC18" s="2587"/>
      <c r="AD18" s="2141"/>
      <c r="AE18" s="2274"/>
      <c r="AF18" s="2299"/>
      <c r="AG18" s="2288"/>
      <c r="AH18" s="1721"/>
    </row>
    <row r="19" spans="1:34">
      <c r="A19" s="1934" t="s">
        <v>211</v>
      </c>
      <c r="B19" s="796" t="s">
        <v>54</v>
      </c>
      <c r="C19" s="18">
        <v>5025.1540000000005</v>
      </c>
      <c r="D19" s="19">
        <v>2358.6570000000002</v>
      </c>
      <c r="E19" s="18">
        <v>1587.854</v>
      </c>
      <c r="F19" s="18">
        <v>125.601</v>
      </c>
      <c r="G19" s="18">
        <v>3022.87</v>
      </c>
      <c r="H19" s="19">
        <v>44.926000000000002</v>
      </c>
      <c r="I19" s="18">
        <v>939.851</v>
      </c>
      <c r="J19" s="96">
        <v>1412.768</v>
      </c>
      <c r="K19" s="29"/>
      <c r="L19" s="99">
        <v>535.87300000000005</v>
      </c>
      <c r="M19" s="18">
        <v>1505.096</v>
      </c>
      <c r="N19" s="19">
        <v>101.881</v>
      </c>
      <c r="O19" s="339">
        <v>517.55700000000002</v>
      </c>
      <c r="P19" s="338">
        <f>SUM(C19:O19)</f>
        <v>17178.088000000003</v>
      </c>
      <c r="Q19" s="46"/>
      <c r="R19" s="99">
        <v>3111.1309999999999</v>
      </c>
      <c r="S19" s="18">
        <v>256.315</v>
      </c>
      <c r="T19" s="96">
        <v>2427.33</v>
      </c>
      <c r="U19" s="47"/>
      <c r="V19" s="109">
        <v>2812.576</v>
      </c>
      <c r="W19" s="373">
        <f t="shared" ref="W19:W29" si="1">SUM(R19:V19)</f>
        <v>8607.351999999999</v>
      </c>
      <c r="X19" s="53"/>
      <c r="Y19" s="900">
        <v>14287.657999999999</v>
      </c>
      <c r="Z19" s="1528"/>
      <c r="AA19" s="1529"/>
      <c r="AB19" s="1530"/>
      <c r="AC19" s="2243"/>
      <c r="AD19" s="2141"/>
      <c r="AE19" s="2274"/>
      <c r="AF19" s="2297">
        <v>8570.7360000000008</v>
      </c>
      <c r="AG19" s="2286">
        <v>14194.985000000001</v>
      </c>
      <c r="AH19" s="1720">
        <f>W19-V19-(IF(AND(Motpart!$Y$10="",Motpart!$Z$10=""),0,IF(AND(Motpart!$Y$10=0,Motpart!$Z$10=0),0,((T19/$T$30)*(Motpart!$Y$10+Motpart!$Z$10)))))</f>
        <v>5635.189337447111</v>
      </c>
    </row>
    <row r="20" spans="1:34">
      <c r="A20" s="1934" t="s">
        <v>212</v>
      </c>
      <c r="B20" s="794" t="s">
        <v>55</v>
      </c>
      <c r="C20" s="18">
        <v>678.524</v>
      </c>
      <c r="D20" s="19">
        <v>313.37799999999999</v>
      </c>
      <c r="E20" s="18">
        <v>39.991</v>
      </c>
      <c r="F20" s="18">
        <v>119.55</v>
      </c>
      <c r="G20" s="18">
        <v>599.52</v>
      </c>
      <c r="H20" s="19">
        <v>790.88400000000001</v>
      </c>
      <c r="I20" s="18">
        <v>32.015999999999998</v>
      </c>
      <c r="J20" s="96">
        <v>25.312000000000001</v>
      </c>
      <c r="K20" s="29"/>
      <c r="L20" s="100">
        <v>49.613999999999997</v>
      </c>
      <c r="M20" s="21">
        <v>87.376000000000005</v>
      </c>
      <c r="N20" s="19">
        <v>9.5879999999999992</v>
      </c>
      <c r="O20" s="339">
        <v>69.382000000000005</v>
      </c>
      <c r="P20" s="338">
        <f t="shared" ref="P20:P29" si="2">SUM(C20:O20)</f>
        <v>2815.1350000000002</v>
      </c>
      <c r="Q20" s="46"/>
      <c r="R20" s="100">
        <v>9.8030000000000008</v>
      </c>
      <c r="S20" s="21">
        <v>4.9790000000000001</v>
      </c>
      <c r="T20" s="97">
        <v>404.02699999999999</v>
      </c>
      <c r="U20" s="47"/>
      <c r="V20" s="110">
        <v>47.158999999999999</v>
      </c>
      <c r="W20" s="373">
        <f t="shared" si="1"/>
        <v>465.96799999999996</v>
      </c>
      <c r="X20" s="53"/>
      <c r="Y20" s="920">
        <v>2741.6260000000002</v>
      </c>
      <c r="Z20" s="1528"/>
      <c r="AA20" s="1529"/>
      <c r="AB20" s="1530"/>
      <c r="AC20" s="2243"/>
      <c r="AD20" s="2141"/>
      <c r="AE20" s="2274"/>
      <c r="AF20" s="2297">
        <v>2349.17</v>
      </c>
      <c r="AG20" s="2286">
        <v>1857.5450000000001</v>
      </c>
      <c r="AH20" s="1720">
        <f>W20-V20-(IF(AND(Motpart!$Y$10="",Motpart!$Z$10=""),0,IF(AND(Motpart!$Y$10=0,Motpart!$Z$10=0),0,((T20/$T$30)*(Motpart!$Y$10+Motpart!$Z$10)))))</f>
        <v>392.24593667063994</v>
      </c>
    </row>
    <row r="21" spans="1:34">
      <c r="A21" s="1934" t="s">
        <v>633</v>
      </c>
      <c r="B21" s="794" t="s">
        <v>56</v>
      </c>
      <c r="C21" s="18">
        <v>126.70399999999999</v>
      </c>
      <c r="D21" s="19">
        <v>57.646999999999998</v>
      </c>
      <c r="E21" s="18">
        <v>2.3820000000000001</v>
      </c>
      <c r="F21" s="18">
        <v>10.305</v>
      </c>
      <c r="G21" s="18">
        <v>18.77</v>
      </c>
      <c r="H21" s="19">
        <v>1.369</v>
      </c>
      <c r="I21" s="18">
        <v>3.9079999999999999</v>
      </c>
      <c r="J21" s="96">
        <v>0.39800000000000002</v>
      </c>
      <c r="K21" s="29"/>
      <c r="L21" s="100">
        <v>4.6289999999999996</v>
      </c>
      <c r="M21" s="21">
        <v>16.984000000000002</v>
      </c>
      <c r="N21" s="19">
        <v>1.94</v>
      </c>
      <c r="O21" s="339">
        <v>8.3659999999999997</v>
      </c>
      <c r="P21" s="338">
        <f t="shared" si="2"/>
        <v>253.40199999999999</v>
      </c>
      <c r="Q21" s="46"/>
      <c r="R21" s="100">
        <v>1.115</v>
      </c>
      <c r="S21" s="21">
        <v>0.22</v>
      </c>
      <c r="T21" s="97">
        <v>82.188999999999993</v>
      </c>
      <c r="U21" s="47"/>
      <c r="V21" s="110">
        <v>8.4649999999999999</v>
      </c>
      <c r="W21" s="373">
        <f t="shared" si="1"/>
        <v>91.98899999999999</v>
      </c>
      <c r="X21" s="53"/>
      <c r="Y21" s="920">
        <v>240.875</v>
      </c>
      <c r="Z21" s="1528"/>
      <c r="AA21" s="1529"/>
      <c r="AB21" s="1530"/>
      <c r="AC21" s="2243"/>
      <c r="AD21" s="2141"/>
      <c r="AE21" s="2274"/>
      <c r="AF21" s="2297">
        <v>161.41300000000001</v>
      </c>
      <c r="AG21" s="2286">
        <v>233.262</v>
      </c>
      <c r="AH21" s="1720">
        <f>W21-V21-(IF(AND(Motpart!$Y$10="",Motpart!$Z$10=""),0,IF(AND(Motpart!$Y$10=0,Motpart!$Z$10=0),0,((T21/$T$30)*(Motpart!$Y$10+Motpart!$Z$10)))))</f>
        <v>78.120421496640631</v>
      </c>
    </row>
    <row r="22" spans="1:34">
      <c r="A22" s="1934" t="s">
        <v>213</v>
      </c>
      <c r="B22" s="794" t="s">
        <v>57</v>
      </c>
      <c r="C22" s="18">
        <v>182.94399999999999</v>
      </c>
      <c r="D22" s="19">
        <v>83.816000000000003</v>
      </c>
      <c r="E22" s="18">
        <v>58.994999999999997</v>
      </c>
      <c r="F22" s="18">
        <v>128.51</v>
      </c>
      <c r="G22" s="18">
        <v>195.815</v>
      </c>
      <c r="H22" s="19">
        <v>298.74700000000001</v>
      </c>
      <c r="I22" s="18">
        <v>12.353</v>
      </c>
      <c r="J22" s="96">
        <v>57.673000000000002</v>
      </c>
      <c r="K22" s="29"/>
      <c r="L22" s="100">
        <v>32.637999999999998</v>
      </c>
      <c r="M22" s="21">
        <v>32.658000000000001</v>
      </c>
      <c r="N22" s="19">
        <v>2.4300000000000002</v>
      </c>
      <c r="O22" s="339">
        <v>26.783000000000001</v>
      </c>
      <c r="P22" s="338">
        <f t="shared" si="2"/>
        <v>1113.3619999999999</v>
      </c>
      <c r="Q22" s="46"/>
      <c r="R22" s="100">
        <v>43.161000000000001</v>
      </c>
      <c r="S22" s="21">
        <v>28.832999999999998</v>
      </c>
      <c r="T22" s="97">
        <v>158.38499999999999</v>
      </c>
      <c r="U22" s="47"/>
      <c r="V22" s="110">
        <v>13.865</v>
      </c>
      <c r="W22" s="373">
        <f t="shared" si="1"/>
        <v>244.244</v>
      </c>
      <c r="X22" s="53"/>
      <c r="Y22" s="920">
        <v>1093.0619999999999</v>
      </c>
      <c r="Z22" s="1531"/>
      <c r="AA22" s="1529"/>
      <c r="AB22" s="1530"/>
      <c r="AC22" s="2243"/>
      <c r="AD22" s="2141"/>
      <c r="AE22" s="2274"/>
      <c r="AF22" s="2297">
        <v>869.11900000000003</v>
      </c>
      <c r="AG22" s="2286">
        <v>672.24099999999999</v>
      </c>
      <c r="AH22" s="1720">
        <f>W22-V22-(IF(AND(Motpart!$Y$10="",Motpart!$Z$10=""),0,IF(AND(Motpart!$Y$10=0,Motpart!$Z$10=0),0,((T22/$T$30)*(Motpart!$Y$10+Motpart!$Z$10)))))</f>
        <v>219.96585735007639</v>
      </c>
    </row>
    <row r="23" spans="1:34">
      <c r="A23" s="1934" t="s">
        <v>214</v>
      </c>
      <c r="B23" s="802" t="s">
        <v>799</v>
      </c>
      <c r="C23" s="18">
        <v>2252.2260000000001</v>
      </c>
      <c r="D23" s="19">
        <v>1057.3630000000001</v>
      </c>
      <c r="E23" s="18">
        <v>4530.8969999999999</v>
      </c>
      <c r="F23" s="18">
        <v>4685.1499999999996</v>
      </c>
      <c r="G23" s="18">
        <v>1829.5039999999999</v>
      </c>
      <c r="H23" s="19">
        <v>2445.7840000000001</v>
      </c>
      <c r="I23" s="18">
        <v>130.52600000000001</v>
      </c>
      <c r="J23" s="96">
        <v>9222.1200000000008</v>
      </c>
      <c r="K23" s="29"/>
      <c r="L23" s="100">
        <v>388.74599999999998</v>
      </c>
      <c r="M23" s="21">
        <v>2118.0459999999998</v>
      </c>
      <c r="N23" s="19">
        <v>93.853999999999999</v>
      </c>
      <c r="O23" s="339">
        <v>758.10299999999995</v>
      </c>
      <c r="P23" s="338">
        <f t="shared" si="2"/>
        <v>29512.318999999996</v>
      </c>
      <c r="Q23" s="46"/>
      <c r="R23" s="100">
        <v>4355.8620000000001</v>
      </c>
      <c r="S23" s="21">
        <v>17.207000000000001</v>
      </c>
      <c r="T23" s="97">
        <v>3336.0459999999998</v>
      </c>
      <c r="U23" s="47"/>
      <c r="V23" s="110">
        <v>2037.836</v>
      </c>
      <c r="W23" s="373">
        <f t="shared" si="1"/>
        <v>9746.9509999999991</v>
      </c>
      <c r="X23" s="53"/>
      <c r="Y23" s="920">
        <v>27303.985000000001</v>
      </c>
      <c r="Z23" s="1531"/>
      <c r="AA23" s="1529"/>
      <c r="AB23" s="1530"/>
      <c r="AC23" s="2243"/>
      <c r="AD23" s="2141"/>
      <c r="AE23" s="2274"/>
      <c r="AF23" s="2297">
        <v>19765.364000000001</v>
      </c>
      <c r="AG23" s="2286">
        <v>20343.545999999998</v>
      </c>
      <c r="AH23" s="1720">
        <f>W23-V23-(IF(AND(Motpart!$Y$10="",Motpart!$Z$10=""),0,IF(AND(Motpart!$Y$10=0,Motpart!$Z$10=0),0,((T23/$T$30)*(Motpart!$Y$10+Motpart!$Z$10)))))</f>
        <v>7489.7841108077955</v>
      </c>
    </row>
    <row r="24" spans="1:34">
      <c r="A24" s="1934" t="s">
        <v>215</v>
      </c>
      <c r="B24" s="794" t="s">
        <v>16</v>
      </c>
      <c r="C24" s="18">
        <v>1409.415</v>
      </c>
      <c r="D24" s="19">
        <v>655.928</v>
      </c>
      <c r="E24" s="18">
        <v>709.44500000000005</v>
      </c>
      <c r="F24" s="18">
        <v>1414.8409999999999</v>
      </c>
      <c r="G24" s="18">
        <v>590.06700000000001</v>
      </c>
      <c r="H24" s="19">
        <v>34.162999999999997</v>
      </c>
      <c r="I24" s="18">
        <v>41.28</v>
      </c>
      <c r="J24" s="96">
        <v>1741.8140000000001</v>
      </c>
      <c r="K24" s="29"/>
      <c r="L24" s="100">
        <v>129.84700000000001</v>
      </c>
      <c r="M24" s="21">
        <v>1375.212</v>
      </c>
      <c r="N24" s="19">
        <v>33.970999999999997</v>
      </c>
      <c r="O24" s="339">
        <v>222.23699999999999</v>
      </c>
      <c r="P24" s="338">
        <f t="shared" si="2"/>
        <v>8358.2199999999975</v>
      </c>
      <c r="Q24" s="46"/>
      <c r="R24" s="100">
        <v>52.511000000000003</v>
      </c>
      <c r="S24" s="21">
        <v>4.3860000000000001</v>
      </c>
      <c r="T24" s="97">
        <v>527.49900000000002</v>
      </c>
      <c r="U24" s="47"/>
      <c r="V24" s="110">
        <v>942.23400000000004</v>
      </c>
      <c r="W24" s="373">
        <f t="shared" si="1"/>
        <v>1526.63</v>
      </c>
      <c r="X24" s="53"/>
      <c r="Y24" s="920">
        <v>7374.7669999999998</v>
      </c>
      <c r="Z24" s="1531"/>
      <c r="AA24" s="1529"/>
      <c r="AB24" s="1530"/>
      <c r="AC24" s="2243"/>
      <c r="AD24" s="2141"/>
      <c r="AE24" s="2274"/>
      <c r="AF24" s="2297">
        <v>6831.59</v>
      </c>
      <c r="AG24" s="2286">
        <v>5966.98</v>
      </c>
      <c r="AH24" s="1720">
        <f>W24-V24-(IF(AND(Motpart!$Y$10="",Motpart!$Z$10=""),0,IF(AND(Motpart!$Y$10=0,Motpart!$Z$10=0),0,((T24/$T$30)*(Motpart!$Y$10+Motpart!$Z$10)))))</f>
        <v>549.71517583930267</v>
      </c>
    </row>
    <row r="25" spans="1:34">
      <c r="A25" s="1934" t="s">
        <v>216</v>
      </c>
      <c r="B25" s="794" t="s">
        <v>59</v>
      </c>
      <c r="C25" s="18">
        <v>1614.316</v>
      </c>
      <c r="D25" s="19">
        <v>749.19299999999998</v>
      </c>
      <c r="E25" s="18">
        <v>59.866999999999997</v>
      </c>
      <c r="F25" s="18">
        <v>161.75</v>
      </c>
      <c r="G25" s="18">
        <v>219.863</v>
      </c>
      <c r="H25" s="19">
        <v>8.9499999999999993</v>
      </c>
      <c r="I25" s="18">
        <v>28.414999999999999</v>
      </c>
      <c r="J25" s="96">
        <v>12.127000000000001</v>
      </c>
      <c r="K25" s="29"/>
      <c r="L25" s="100">
        <v>82.766000000000005</v>
      </c>
      <c r="M25" s="21">
        <v>206.202</v>
      </c>
      <c r="N25" s="19">
        <v>21.866</v>
      </c>
      <c r="O25" s="339">
        <v>113.75700000000001</v>
      </c>
      <c r="P25" s="338">
        <f t="shared" si="2"/>
        <v>3279.0719999999997</v>
      </c>
      <c r="Q25" s="46"/>
      <c r="R25" s="100">
        <v>1092.886</v>
      </c>
      <c r="S25" s="21">
        <v>9.1999999999999998E-2</v>
      </c>
      <c r="T25" s="97">
        <v>124.928</v>
      </c>
      <c r="U25" s="47"/>
      <c r="V25" s="110">
        <v>264.149</v>
      </c>
      <c r="W25" s="373">
        <f t="shared" si="1"/>
        <v>1482.0549999999998</v>
      </c>
      <c r="X25" s="53"/>
      <c r="Y25" s="920">
        <v>2992.4940000000001</v>
      </c>
      <c r="Z25" s="1515"/>
      <c r="AA25" s="1529"/>
      <c r="AB25" s="1530"/>
      <c r="AC25" s="2243"/>
      <c r="AD25" s="2141"/>
      <c r="AE25" s="2274"/>
      <c r="AF25" s="2297">
        <v>1797.018</v>
      </c>
      <c r="AG25" s="2286">
        <v>2844.2249999999999</v>
      </c>
      <c r="AH25" s="1720">
        <f>W25-V25-(IF(AND(Motpart!$Y$10="",Motpart!$Z$10=""),0,IF(AND(Motpart!$Y$10=0,Motpart!$Z$10=0),0,((T25/$T$30)*(Motpart!$Y$10+Motpart!$Z$10)))))</f>
        <v>1209.6925133379445</v>
      </c>
    </row>
    <row r="26" spans="1:34">
      <c r="A26" s="1934" t="s">
        <v>217</v>
      </c>
      <c r="B26" s="794" t="s">
        <v>60</v>
      </c>
      <c r="C26" s="18">
        <v>633.55499999999995</v>
      </c>
      <c r="D26" s="19">
        <v>291.54899999999998</v>
      </c>
      <c r="E26" s="18">
        <v>181.261</v>
      </c>
      <c r="F26" s="18">
        <v>127.04</v>
      </c>
      <c r="G26" s="18">
        <v>511.94200000000001</v>
      </c>
      <c r="H26" s="19">
        <v>102.621</v>
      </c>
      <c r="I26" s="18">
        <v>13.042</v>
      </c>
      <c r="J26" s="96">
        <v>37.045000000000002</v>
      </c>
      <c r="K26" s="29"/>
      <c r="L26" s="100">
        <v>31.859000000000002</v>
      </c>
      <c r="M26" s="21">
        <v>183.39500000000001</v>
      </c>
      <c r="N26" s="19">
        <v>5.6070000000000002</v>
      </c>
      <c r="O26" s="339">
        <v>65.835999999999999</v>
      </c>
      <c r="P26" s="338">
        <f t="shared" si="2"/>
        <v>2184.752</v>
      </c>
      <c r="Q26" s="46"/>
      <c r="R26" s="100">
        <v>28.994</v>
      </c>
      <c r="S26" s="21">
        <v>0.41</v>
      </c>
      <c r="T26" s="97">
        <v>699.96900000000005</v>
      </c>
      <c r="U26" s="47"/>
      <c r="V26" s="110">
        <v>104.345</v>
      </c>
      <c r="W26" s="373">
        <f t="shared" si="1"/>
        <v>833.71800000000007</v>
      </c>
      <c r="X26" s="53"/>
      <c r="Y26" s="920">
        <v>2036.039</v>
      </c>
      <c r="Z26" s="1532"/>
      <c r="AA26" s="1519"/>
      <c r="AB26" s="1519"/>
      <c r="AC26" s="2241"/>
      <c r="AD26" s="2141"/>
      <c r="AE26" s="2274"/>
      <c r="AF26" s="2297">
        <v>1351.0360000000001</v>
      </c>
      <c r="AG26" s="2286">
        <v>1850.7470000000001</v>
      </c>
      <c r="AH26" s="1720">
        <f>W26-V26-(IF(AND(Motpart!$Y$10="",Motpart!$Z$10=""),0,IF(AND(Motpart!$Y$10=0,Motpart!$Z$10=0),0,((T26/$T$30)*(Motpart!$Y$10+Motpart!$Z$10)))))</f>
        <v>683.35300411955438</v>
      </c>
    </row>
    <row r="27" spans="1:34">
      <c r="A27" s="1934" t="s">
        <v>218</v>
      </c>
      <c r="B27" s="794" t="s">
        <v>61</v>
      </c>
      <c r="C27" s="18">
        <v>164.84100000000001</v>
      </c>
      <c r="D27" s="19">
        <v>75.540999999999997</v>
      </c>
      <c r="E27" s="18">
        <v>1.821</v>
      </c>
      <c r="F27" s="18">
        <v>12.898999999999999</v>
      </c>
      <c r="G27" s="18">
        <v>29.561</v>
      </c>
      <c r="H27" s="19">
        <v>0.185</v>
      </c>
      <c r="I27" s="18">
        <v>2.3820000000000001</v>
      </c>
      <c r="J27" s="96">
        <v>0.496</v>
      </c>
      <c r="K27" s="29"/>
      <c r="L27" s="100">
        <v>4.2679999999999998</v>
      </c>
      <c r="M27" s="21">
        <v>22.151</v>
      </c>
      <c r="N27" s="19">
        <v>1.3819999999999999</v>
      </c>
      <c r="O27" s="339">
        <v>11.516999999999999</v>
      </c>
      <c r="P27" s="338">
        <f t="shared" si="2"/>
        <v>327.04399999999998</v>
      </c>
      <c r="Q27" s="46"/>
      <c r="R27" s="100">
        <v>266.13200000000001</v>
      </c>
      <c r="S27" s="21">
        <v>3.9E-2</v>
      </c>
      <c r="T27" s="97">
        <v>21.503</v>
      </c>
      <c r="U27" s="47"/>
      <c r="V27" s="110">
        <v>10.491</v>
      </c>
      <c r="W27" s="373">
        <f t="shared" si="1"/>
        <v>298.16499999999996</v>
      </c>
      <c r="X27" s="53"/>
      <c r="Y27" s="920">
        <v>313.64699999999999</v>
      </c>
      <c r="Z27" s="1518"/>
      <c r="AA27" s="1519"/>
      <c r="AB27" s="1519"/>
      <c r="AC27" s="2241"/>
      <c r="AD27" s="2141"/>
      <c r="AE27" s="2274"/>
      <c r="AF27" s="2297">
        <v>28.879000000000001</v>
      </c>
      <c r="AG27" s="2286">
        <v>303.46800000000002</v>
      </c>
      <c r="AH27" s="1720">
        <f>W27-V27-(IF(AND(Motpart!$Y$10="",Motpart!$Z$10=""),0,IF(AND(Motpart!$Y$10=0,Motpart!$Z$10=0),0,((T27/$T$30)*(Motpart!$Y$10+Motpart!$Z$10)))))</f>
        <v>286.26026886131064</v>
      </c>
    </row>
    <row r="28" spans="1:34">
      <c r="A28" s="1934" t="s">
        <v>219</v>
      </c>
      <c r="B28" s="794" t="s">
        <v>17</v>
      </c>
      <c r="C28" s="18">
        <v>1660.3910000000001</v>
      </c>
      <c r="D28" s="19">
        <v>775.01499999999999</v>
      </c>
      <c r="E28" s="18">
        <v>239.71700000000001</v>
      </c>
      <c r="F28" s="18">
        <v>5706.1959999999999</v>
      </c>
      <c r="G28" s="18">
        <v>403.33499999999998</v>
      </c>
      <c r="H28" s="19">
        <v>750.41899999999998</v>
      </c>
      <c r="I28" s="18">
        <v>127.571</v>
      </c>
      <c r="J28" s="96">
        <v>245.47800000000001</v>
      </c>
      <c r="K28" s="29"/>
      <c r="L28" s="100">
        <v>294.27100000000002</v>
      </c>
      <c r="M28" s="21">
        <v>187.44900000000001</v>
      </c>
      <c r="N28" s="19">
        <v>30.076000000000001</v>
      </c>
      <c r="O28" s="339">
        <v>142.94200000000001</v>
      </c>
      <c r="P28" s="338">
        <f t="shared" si="2"/>
        <v>10562.859999999997</v>
      </c>
      <c r="Q28" s="46"/>
      <c r="R28" s="100">
        <v>151.642</v>
      </c>
      <c r="S28" s="21">
        <v>50.158999999999999</v>
      </c>
      <c r="T28" s="97">
        <v>523.03599999999994</v>
      </c>
      <c r="U28" s="47"/>
      <c r="V28" s="110">
        <v>187.66399999999999</v>
      </c>
      <c r="W28" s="373">
        <f t="shared" si="1"/>
        <v>912.50099999999998</v>
      </c>
      <c r="X28" s="53"/>
      <c r="Y28" s="920">
        <v>10221.915000000001</v>
      </c>
      <c r="Z28" s="1518"/>
      <c r="AA28" s="1519"/>
      <c r="AB28" s="1519"/>
      <c r="AC28" s="2241"/>
      <c r="AD28" s="2141"/>
      <c r="AE28" s="2274"/>
      <c r="AF28" s="2297">
        <v>9650.3590000000004</v>
      </c>
      <c r="AG28" s="2286">
        <v>3918.58</v>
      </c>
      <c r="AH28" s="1720">
        <f>W28-V28-(IF(AND(Motpart!$Y$10="",Motpart!$Z$10=""),0,IF(AND(Motpart!$Y$10=0,Motpart!$Z$10=0),0,((T28/$T$30)*(Motpart!$Y$10+Motpart!$Z$10)))))</f>
        <v>690.44959917892822</v>
      </c>
    </row>
    <row r="29" spans="1:34">
      <c r="A29" s="1934" t="s">
        <v>220</v>
      </c>
      <c r="B29" s="794" t="s">
        <v>62</v>
      </c>
      <c r="C29" s="18">
        <v>430.58600000000001</v>
      </c>
      <c r="D29" s="19">
        <v>197.75899999999999</v>
      </c>
      <c r="E29" s="18">
        <v>74.754999999999995</v>
      </c>
      <c r="F29" s="18">
        <v>27.76</v>
      </c>
      <c r="G29" s="18">
        <v>332.69600000000003</v>
      </c>
      <c r="H29" s="19">
        <v>16.992000000000001</v>
      </c>
      <c r="I29" s="18">
        <v>6.9790000000000001</v>
      </c>
      <c r="J29" s="96">
        <v>48.618000000000002</v>
      </c>
      <c r="K29" s="29"/>
      <c r="L29" s="100">
        <v>25.765000000000001</v>
      </c>
      <c r="M29" s="21">
        <v>80.010000000000005</v>
      </c>
      <c r="N29" s="19">
        <v>3.2069999999999999</v>
      </c>
      <c r="O29" s="339">
        <v>49.04</v>
      </c>
      <c r="P29" s="338">
        <f t="shared" si="2"/>
        <v>1294.1670000000001</v>
      </c>
      <c r="Q29" s="46"/>
      <c r="R29" s="100">
        <v>8.6539999999999999</v>
      </c>
      <c r="S29" s="21">
        <v>2.5680000000000001</v>
      </c>
      <c r="T29" s="97">
        <v>641.44399999999996</v>
      </c>
      <c r="U29" s="47"/>
      <c r="V29" s="110">
        <v>67.191000000000003</v>
      </c>
      <c r="W29" s="373">
        <f t="shared" si="1"/>
        <v>719.85699999999997</v>
      </c>
      <c r="X29" s="53"/>
      <c r="Y29" s="920">
        <v>1188.2139999999999</v>
      </c>
      <c r="Z29" s="1526"/>
      <c r="AA29" s="1527"/>
      <c r="AB29" s="1527"/>
      <c r="AC29" s="2244"/>
      <c r="AD29" s="2141"/>
      <c r="AE29" s="2274"/>
      <c r="AF29" s="2297">
        <v>574.30799999999999</v>
      </c>
      <c r="AG29" s="2286">
        <v>1182.223</v>
      </c>
      <c r="AH29" s="1720">
        <f>W29-V29-(IF(AND(Motpart!$Y$10="",Motpart!$Z$10=""),0,IF(AND(Motpart!$Y$10=0,Motpart!$Z$10=0),0,((T29/$T$30)*(Motpart!$Y$10+Motpart!$Z$10)))))</f>
        <v>610.49377489069286</v>
      </c>
    </row>
    <row r="30" spans="1:34" ht="12.75" customHeight="1" thickBot="1">
      <c r="A30" s="1947" t="s">
        <v>221</v>
      </c>
      <c r="B30" s="794" t="s">
        <v>63</v>
      </c>
      <c r="C30" s="334">
        <f t="shared" ref="C30:M30" si="3">SUM(C19:C29)</f>
        <v>14178.656000000001</v>
      </c>
      <c r="D30" s="24">
        <f t="shared" si="3"/>
        <v>6615.8460000000005</v>
      </c>
      <c r="E30" s="24">
        <f t="shared" si="3"/>
        <v>7486.9849999999997</v>
      </c>
      <c r="F30" s="342">
        <f t="shared" si="3"/>
        <v>12519.602000000001</v>
      </c>
      <c r="G30" s="343">
        <f t="shared" si="3"/>
        <v>7753.9429999999993</v>
      </c>
      <c r="H30" s="344">
        <f t="shared" si="3"/>
        <v>4495.04</v>
      </c>
      <c r="I30" s="334">
        <f t="shared" si="3"/>
        <v>1338.3229999999999</v>
      </c>
      <c r="J30" s="101">
        <f t="shared" si="3"/>
        <v>12803.849</v>
      </c>
      <c r="K30" s="141"/>
      <c r="L30" s="340">
        <f>SUM(L19:L29)</f>
        <v>1580.2760000000003</v>
      </c>
      <c r="M30" s="334">
        <f t="shared" si="3"/>
        <v>5814.5789999999997</v>
      </c>
      <c r="N30" s="24">
        <f t="shared" ref="N30:W30" si="4">SUM(N19:N29)</f>
        <v>305.80200000000002</v>
      </c>
      <c r="O30" s="24">
        <f t="shared" si="4"/>
        <v>1985.5200000000002</v>
      </c>
      <c r="P30" s="101">
        <f t="shared" si="4"/>
        <v>76878.421000000002</v>
      </c>
      <c r="Q30" s="46"/>
      <c r="R30" s="340">
        <f t="shared" si="4"/>
        <v>9121.8910000000014</v>
      </c>
      <c r="S30" s="334">
        <f t="shared" si="4"/>
        <v>365.20799999999997</v>
      </c>
      <c r="T30" s="101">
        <f t="shared" si="4"/>
        <v>8946.3559999999979</v>
      </c>
      <c r="U30" s="46"/>
      <c r="V30" s="113">
        <f t="shared" si="4"/>
        <v>6495.9750000000004</v>
      </c>
      <c r="W30" s="114">
        <f t="shared" si="4"/>
        <v>24929.430000000004</v>
      </c>
      <c r="X30" s="53"/>
      <c r="Y30" s="1534">
        <v>69794.282000000007</v>
      </c>
      <c r="Z30" s="901">
        <f>(P30-W30)*1000/invanare</f>
        <v>4906.5370131973768</v>
      </c>
      <c r="AA30" s="901">
        <f>Y30*1000/invanare</f>
        <v>6592.0092257910355</v>
      </c>
      <c r="AB30" s="901">
        <v>6071.4579999999996</v>
      </c>
      <c r="AC30" s="2242">
        <f>IF(ISERROR((AA30-AB30)/AB30)," ",((AA30-AB30)/AB30))</f>
        <v>8.5737433379434722E-2</v>
      </c>
      <c r="AD30" s="2141"/>
      <c r="AE30" s="2275">
        <f>IF(ISERROR(F30/(AA30/1000*invanare)),"",(F30/(AA30/100000*invanare)))</f>
        <v>17.937862015687763</v>
      </c>
      <c r="AF30" s="2297">
        <v>51949.012999999999</v>
      </c>
      <c r="AG30" s="2287">
        <v>53367.826000000001</v>
      </c>
      <c r="AH30" s="1722">
        <f>W30-V30-SUM(Motpart!Y10:Z10)</f>
        <v>17845.27</v>
      </c>
    </row>
    <row r="31" spans="1:34" ht="37.5" customHeight="1" thickBot="1">
      <c r="A31" s="1943"/>
      <c r="B31" s="797" t="s">
        <v>64</v>
      </c>
      <c r="C31" s="837"/>
      <c r="D31" s="838"/>
      <c r="E31" s="839"/>
      <c r="F31" s="840"/>
      <c r="G31" s="841"/>
      <c r="H31" s="842"/>
      <c r="I31" s="841"/>
      <c r="J31" s="843"/>
      <c r="K31" s="29"/>
      <c r="L31" s="867"/>
      <c r="M31" s="841"/>
      <c r="N31" s="838"/>
      <c r="O31" s="838"/>
      <c r="P31" s="843"/>
      <c r="Q31" s="47"/>
      <c r="R31" s="867"/>
      <c r="S31" s="841"/>
      <c r="T31" s="843"/>
      <c r="U31" s="47"/>
      <c r="V31" s="882"/>
      <c r="W31" s="883"/>
      <c r="X31" s="29"/>
      <c r="Y31" s="1535" t="s">
        <v>912</v>
      </c>
      <c r="Z31" s="2585"/>
      <c r="AA31" s="2586"/>
      <c r="AB31" s="2586"/>
      <c r="AC31" s="2587"/>
      <c r="AD31" s="2141"/>
      <c r="AE31" s="2274">
        <f>IF(ISERROR(F30/(AA30/1000*invanare)),"",(SUM(Motpart!D10,Motpart!F10)/(AA30/100000*invanare)))</f>
        <v>7.3764896671621329</v>
      </c>
      <c r="AF31" s="2300"/>
      <c r="AG31" s="2289"/>
      <c r="AH31" s="1723"/>
    </row>
    <row r="32" spans="1:34" ht="9" customHeight="1">
      <c r="A32" s="1949"/>
      <c r="B32" s="798" t="s">
        <v>65</v>
      </c>
      <c r="C32" s="844"/>
      <c r="D32" s="845"/>
      <c r="E32" s="846"/>
      <c r="F32" s="847"/>
      <c r="G32" s="848"/>
      <c r="H32" s="849"/>
      <c r="I32" s="848"/>
      <c r="J32" s="850"/>
      <c r="K32" s="29"/>
      <c r="L32" s="868"/>
      <c r="M32" s="848"/>
      <c r="N32" s="845"/>
      <c r="O32" s="845"/>
      <c r="P32" s="850"/>
      <c r="Q32" s="47"/>
      <c r="R32" s="868"/>
      <c r="S32" s="848"/>
      <c r="T32" s="850"/>
      <c r="U32" s="47"/>
      <c r="V32" s="884"/>
      <c r="W32" s="885"/>
      <c r="X32" s="29"/>
      <c r="Y32" s="1398"/>
      <c r="Z32" s="895"/>
      <c r="AA32" s="896"/>
      <c r="AB32" s="897"/>
      <c r="AC32" s="2245"/>
      <c r="AD32" s="2141"/>
      <c r="AE32" s="2274"/>
      <c r="AF32" s="2301"/>
      <c r="AG32" s="2290"/>
      <c r="AH32" s="1724"/>
    </row>
    <row r="33" spans="1:34" ht="12" customHeight="1">
      <c r="A33" s="1934" t="s">
        <v>222</v>
      </c>
      <c r="B33" s="796" t="s">
        <v>66</v>
      </c>
      <c r="C33" s="18">
        <v>15.207000000000001</v>
      </c>
      <c r="D33" s="19">
        <v>6.9539999999999997</v>
      </c>
      <c r="E33" s="415">
        <v>1.647</v>
      </c>
      <c r="F33" s="416">
        <v>0.28699999999999998</v>
      </c>
      <c r="G33" s="18">
        <v>5.859</v>
      </c>
      <c r="H33" s="417">
        <v>534.29600000000005</v>
      </c>
      <c r="I33" s="18">
        <v>1.698</v>
      </c>
      <c r="J33" s="96">
        <v>0.48</v>
      </c>
      <c r="K33" s="29"/>
      <c r="L33" s="99">
        <v>4.9960000000000004</v>
      </c>
      <c r="M33" s="18">
        <v>2.738</v>
      </c>
      <c r="N33" s="19">
        <v>0.66400000000000003</v>
      </c>
      <c r="O33" s="339">
        <v>1.7350000000000001</v>
      </c>
      <c r="P33" s="338">
        <f>SUM(C33:O33)</f>
        <v>576.56100000000004</v>
      </c>
      <c r="Q33" s="46"/>
      <c r="R33" s="99">
        <v>0.23300000000000001</v>
      </c>
      <c r="S33" s="18">
        <v>0.122</v>
      </c>
      <c r="T33" s="96">
        <v>2.3610000000000002</v>
      </c>
      <c r="U33" s="47"/>
      <c r="V33" s="109">
        <v>0.78100000000000003</v>
      </c>
      <c r="W33" s="373">
        <f>SUM(R33:V33)</f>
        <v>3.4970000000000003</v>
      </c>
      <c r="X33" s="53"/>
      <c r="Y33" s="900">
        <v>575.70299999999997</v>
      </c>
      <c r="Z33" s="895"/>
      <c r="AA33" s="895"/>
      <c r="AB33" s="895"/>
      <c r="AC33" s="2246"/>
      <c r="AD33" s="2141"/>
      <c r="AE33" s="2274"/>
      <c r="AF33" s="2297">
        <v>573.06399999999996</v>
      </c>
      <c r="AG33" s="2286">
        <v>41.197000000000003</v>
      </c>
      <c r="AH33" s="1720">
        <f>W33-V33-(IF(AND(Motpart!$Y$11="",Motpart!$Z$11=""),0,IF(AND(Motpart!$Y$11=0,Motpart!$Z$11=0),0,((T33/$T$37)*(Motpart!$Y$11+Motpart!$Z$11)))))</f>
        <v>2.6691089496173244</v>
      </c>
    </row>
    <row r="34" spans="1:34">
      <c r="A34" s="1934" t="s">
        <v>223</v>
      </c>
      <c r="B34" s="794" t="s">
        <v>67</v>
      </c>
      <c r="C34" s="18">
        <v>1501.319</v>
      </c>
      <c r="D34" s="19">
        <v>686.03800000000001</v>
      </c>
      <c r="E34" s="18">
        <v>264.72199999999998</v>
      </c>
      <c r="F34" s="18">
        <v>146.29400000000001</v>
      </c>
      <c r="G34" s="18">
        <v>985.74699999999996</v>
      </c>
      <c r="H34" s="22">
        <v>1434.8610000000001</v>
      </c>
      <c r="I34" s="21">
        <v>335.49200000000002</v>
      </c>
      <c r="J34" s="97">
        <v>180.55600000000001</v>
      </c>
      <c r="K34" s="29"/>
      <c r="L34" s="100">
        <v>895.98400000000004</v>
      </c>
      <c r="M34" s="21">
        <v>371.54599999999999</v>
      </c>
      <c r="N34" s="19">
        <v>17.260999999999999</v>
      </c>
      <c r="O34" s="339">
        <v>172.85</v>
      </c>
      <c r="P34" s="338">
        <f>SUM(C34:O34)</f>
        <v>6992.670000000001</v>
      </c>
      <c r="Q34" s="46"/>
      <c r="R34" s="100">
        <v>144.38200000000001</v>
      </c>
      <c r="S34" s="21">
        <v>104.41500000000001</v>
      </c>
      <c r="T34" s="97">
        <v>811.37300000000005</v>
      </c>
      <c r="U34" s="47"/>
      <c r="V34" s="110">
        <v>328.35599999999999</v>
      </c>
      <c r="W34" s="373">
        <f>SUM(R34:V34)</f>
        <v>1388.5260000000001</v>
      </c>
      <c r="X34" s="53"/>
      <c r="Y34" s="920">
        <v>6653.2020000000002</v>
      </c>
      <c r="Z34" s="895"/>
      <c r="AA34" s="895"/>
      <c r="AB34" s="895"/>
      <c r="AC34" s="2246"/>
      <c r="AD34" s="2141"/>
      <c r="AE34" s="2274"/>
      <c r="AF34" s="2297">
        <v>5604.1450000000004</v>
      </c>
      <c r="AG34" s="2286">
        <v>5083.16</v>
      </c>
      <c r="AH34" s="1720">
        <f>W34-V34-(IF(AND(Motpart!$Y$11="",Motpart!$Z$11=""),0,IF(AND(Motpart!$Y$11=0,Motpart!$Z$11=0),0,((T34/$T$37)*(Motpart!$Y$11+Motpart!$Z$11)))))</f>
        <v>1044.0555856746537</v>
      </c>
    </row>
    <row r="35" spans="1:34">
      <c r="A35" s="1934" t="s">
        <v>224</v>
      </c>
      <c r="B35" s="794" t="s">
        <v>68</v>
      </c>
      <c r="C35" s="18">
        <v>2173.4380000000001</v>
      </c>
      <c r="D35" s="19">
        <v>1000.627</v>
      </c>
      <c r="E35" s="21">
        <v>592.03700000000003</v>
      </c>
      <c r="F35" s="21">
        <v>43.366</v>
      </c>
      <c r="G35" s="21">
        <v>530.36800000000005</v>
      </c>
      <c r="H35" s="22">
        <v>4.444</v>
      </c>
      <c r="I35" s="21">
        <v>379.971</v>
      </c>
      <c r="J35" s="97">
        <v>157.45699999999999</v>
      </c>
      <c r="K35" s="29"/>
      <c r="L35" s="100">
        <v>716.43100000000004</v>
      </c>
      <c r="M35" s="21">
        <v>302.64600000000002</v>
      </c>
      <c r="N35" s="19">
        <v>29.882999999999999</v>
      </c>
      <c r="O35" s="339">
        <v>225.512</v>
      </c>
      <c r="P35" s="338">
        <f>SUM(C35:O35)</f>
        <v>6156.18</v>
      </c>
      <c r="Q35" s="46"/>
      <c r="R35" s="100">
        <v>34.816000000000003</v>
      </c>
      <c r="S35" s="21">
        <v>5.5780000000000003</v>
      </c>
      <c r="T35" s="97">
        <v>319.43799999999999</v>
      </c>
      <c r="U35" s="47"/>
      <c r="V35" s="110">
        <v>204.12200000000001</v>
      </c>
      <c r="W35" s="373">
        <f>SUM(R35:V35)</f>
        <v>563.95399999999995</v>
      </c>
      <c r="X35" s="53"/>
      <c r="Y35" s="920">
        <v>5943.0349999999999</v>
      </c>
      <c r="Z35" s="895"/>
      <c r="AA35" s="895"/>
      <c r="AB35" s="895"/>
      <c r="AC35" s="2246"/>
      <c r="AD35" s="2141"/>
      <c r="AE35" s="2274"/>
      <c r="AF35" s="2297">
        <v>5592.2290000000003</v>
      </c>
      <c r="AG35" s="2286">
        <v>5904.2479999999996</v>
      </c>
      <c r="AH35" s="1720">
        <f>W35-V35-(IF(AND(Motpart!$Y$11="",Motpart!$Z$11=""),0,IF(AND(Motpart!$Y$11=0,Motpart!$Z$11=0),0,((T35/$T$37)*(Motpart!$Y$11+Motpart!$Z$11)))))</f>
        <v>353.48774614479396</v>
      </c>
    </row>
    <row r="36" spans="1:34">
      <c r="A36" s="1934" t="s">
        <v>225</v>
      </c>
      <c r="B36" s="794" t="s">
        <v>69</v>
      </c>
      <c r="C36" s="18">
        <v>1891.2860000000001</v>
      </c>
      <c r="D36" s="19">
        <v>866.47900000000004</v>
      </c>
      <c r="E36" s="21">
        <v>91.887</v>
      </c>
      <c r="F36" s="21">
        <v>94.406000000000006</v>
      </c>
      <c r="G36" s="21">
        <v>206.876</v>
      </c>
      <c r="H36" s="22">
        <v>16.166</v>
      </c>
      <c r="I36" s="21">
        <v>127.556</v>
      </c>
      <c r="J36" s="97">
        <v>34.161999999999999</v>
      </c>
      <c r="K36" s="29"/>
      <c r="L36" s="100">
        <v>272.19099999999997</v>
      </c>
      <c r="M36" s="21">
        <v>202.137</v>
      </c>
      <c r="N36" s="19">
        <v>15.52</v>
      </c>
      <c r="O36" s="339">
        <v>145.447</v>
      </c>
      <c r="P36" s="338">
        <f>SUM(C36:O36)</f>
        <v>3964.1130000000007</v>
      </c>
      <c r="Q36" s="46"/>
      <c r="R36" s="100">
        <v>259.447</v>
      </c>
      <c r="S36" s="21">
        <v>3.536</v>
      </c>
      <c r="T36" s="97">
        <v>202.684</v>
      </c>
      <c r="U36" s="47"/>
      <c r="V36" s="110">
        <v>156.869</v>
      </c>
      <c r="W36" s="373">
        <f>SUM(R36:V36)</f>
        <v>622.53600000000006</v>
      </c>
      <c r="X36" s="53"/>
      <c r="Y36" s="920">
        <v>3800.9369999999999</v>
      </c>
      <c r="Z36" s="902">
        <f>(P36-W36)*1000/invanare</f>
        <v>315.60904104853654</v>
      </c>
      <c r="AA36" s="902">
        <f>Y36*1000/inv7_15</f>
        <v>3371.3734516571094</v>
      </c>
      <c r="AB36" s="902">
        <v>3217.3130000000001</v>
      </c>
      <c r="AC36" s="2247">
        <f>IF(ISERROR((AA36-AB36)/AB36)," ",((AA36-AB36)/AB36))</f>
        <v>4.7884819306393031E-2</v>
      </c>
      <c r="AD36" s="2141"/>
      <c r="AE36" s="2274"/>
      <c r="AF36" s="2297">
        <v>3341.5770000000002</v>
      </c>
      <c r="AG36" s="2286">
        <v>3696.6729999999998</v>
      </c>
      <c r="AH36" s="1720">
        <f>W36-V36-(IF(AND(Motpart!$Y$11="",Motpart!$Z$11=""),0,IF(AND(Motpart!$Y$11=0,Motpart!$Z$11=0),0,((T36/$T$37)*(Motpart!$Y$11+Motpart!$Z$11)))))</f>
        <v>461.64155923093512</v>
      </c>
    </row>
    <row r="37" spans="1:34">
      <c r="A37" s="1934" t="s">
        <v>226</v>
      </c>
      <c r="B37" s="794" t="s">
        <v>70</v>
      </c>
      <c r="C37" s="334">
        <f t="shared" ref="C37:M37" si="5">SUM(C33:C36)</f>
        <v>5581.25</v>
      </c>
      <c r="D37" s="24">
        <f t="shared" si="5"/>
        <v>2560.098</v>
      </c>
      <c r="E37" s="334">
        <f t="shared" si="5"/>
        <v>950.29299999999989</v>
      </c>
      <c r="F37" s="334">
        <f t="shared" si="5"/>
        <v>284.35300000000001</v>
      </c>
      <c r="G37" s="334">
        <f t="shared" si="5"/>
        <v>1728.8500000000001</v>
      </c>
      <c r="H37" s="24">
        <f t="shared" si="5"/>
        <v>1989.7670000000001</v>
      </c>
      <c r="I37" s="334">
        <f t="shared" si="5"/>
        <v>844.7170000000001</v>
      </c>
      <c r="J37" s="101">
        <f t="shared" si="5"/>
        <v>372.65499999999997</v>
      </c>
      <c r="K37" s="141"/>
      <c r="L37" s="340">
        <f>SUM(L33:L36)</f>
        <v>1889.6020000000001</v>
      </c>
      <c r="M37" s="334">
        <f t="shared" si="5"/>
        <v>879.06700000000001</v>
      </c>
      <c r="N37" s="24">
        <f t="shared" ref="N37:W37" si="6">SUM(N33:N36)</f>
        <v>63.328000000000003</v>
      </c>
      <c r="O37" s="24">
        <f t="shared" si="6"/>
        <v>545.54399999999998</v>
      </c>
      <c r="P37" s="101">
        <f t="shared" si="6"/>
        <v>17689.524000000001</v>
      </c>
      <c r="Q37" s="46"/>
      <c r="R37" s="340">
        <f t="shared" si="6"/>
        <v>438.87800000000004</v>
      </c>
      <c r="S37" s="334">
        <f t="shared" si="6"/>
        <v>113.65100000000001</v>
      </c>
      <c r="T37" s="101">
        <f t="shared" si="6"/>
        <v>1335.856</v>
      </c>
      <c r="U37" s="46"/>
      <c r="V37" s="113">
        <f t="shared" si="6"/>
        <v>690.12800000000004</v>
      </c>
      <c r="W37" s="114">
        <f t="shared" si="6"/>
        <v>2578.5129999999999</v>
      </c>
      <c r="X37" s="53"/>
      <c r="Y37" s="900">
        <v>16972.879000000001</v>
      </c>
      <c r="Z37" s="903">
        <f>(P37-W37)*1000/invanare</f>
        <v>1427.2218449504192</v>
      </c>
      <c r="AA37" s="904">
        <f>Y37*1000/invanare</f>
        <v>1603.0736580431465</v>
      </c>
      <c r="AB37" s="904">
        <v>1534.7360000000001</v>
      </c>
      <c r="AC37" s="2248">
        <f>IF(ISERROR((AA37-AB37)/AB37)," ",((AA37-AB37)/AB37))</f>
        <v>4.4527305049954093E-2</v>
      </c>
      <c r="AD37" s="2141"/>
      <c r="AE37" s="2274"/>
      <c r="AF37" s="2297">
        <v>15111.023999999999</v>
      </c>
      <c r="AG37" s="2286">
        <v>14725.291999999999</v>
      </c>
      <c r="AH37" s="1720">
        <f>W37-V37-SUM(Motpart!Y11:Z11)</f>
        <v>1861.8539999999998</v>
      </c>
    </row>
    <row r="38" spans="1:34" ht="9" customHeight="1">
      <c r="A38" s="1949"/>
      <c r="B38" s="798" t="s">
        <v>71</v>
      </c>
      <c r="C38" s="851"/>
      <c r="D38" s="852"/>
      <c r="E38" s="853"/>
      <c r="F38" s="853"/>
      <c r="G38" s="853"/>
      <c r="H38" s="852"/>
      <c r="I38" s="853"/>
      <c r="J38" s="854"/>
      <c r="K38" s="29"/>
      <c r="L38" s="869"/>
      <c r="M38" s="853"/>
      <c r="N38" s="852"/>
      <c r="O38" s="852"/>
      <c r="P38" s="854"/>
      <c r="Q38" s="47"/>
      <c r="R38" s="869"/>
      <c r="S38" s="853"/>
      <c r="T38" s="854"/>
      <c r="U38" s="47"/>
      <c r="V38" s="886"/>
      <c r="W38" s="887"/>
      <c r="X38" s="29"/>
      <c r="Y38" s="1398"/>
      <c r="Z38" s="895"/>
      <c r="AA38" s="896"/>
      <c r="AB38" s="897"/>
      <c r="AC38" s="2245"/>
      <c r="AD38" s="2141"/>
      <c r="AE38" s="2274"/>
      <c r="AF38" s="2297">
        <f t="shared" ref="AF38" si="7">P38-W38</f>
        <v>0</v>
      </c>
      <c r="AG38" s="2286">
        <f t="shared" ref="AG38" si="8">P38-F38-H38-V38</f>
        <v>0</v>
      </c>
      <c r="AH38" s="1720"/>
    </row>
    <row r="39" spans="1:34" ht="11.25" customHeight="1">
      <c r="A39" s="1934" t="s">
        <v>227</v>
      </c>
      <c r="B39" s="796" t="s">
        <v>72</v>
      </c>
      <c r="C39" s="18">
        <v>463.29300000000001</v>
      </c>
      <c r="D39" s="19">
        <v>213.982</v>
      </c>
      <c r="E39" s="18">
        <v>65.379000000000005</v>
      </c>
      <c r="F39" s="18">
        <v>78.555000000000007</v>
      </c>
      <c r="G39" s="18">
        <v>180.31200000000001</v>
      </c>
      <c r="H39" s="19">
        <v>1693.3689999999999</v>
      </c>
      <c r="I39" s="18">
        <v>76.548000000000002</v>
      </c>
      <c r="J39" s="96">
        <v>36.423000000000002</v>
      </c>
      <c r="K39" s="29"/>
      <c r="L39" s="99">
        <v>251.995</v>
      </c>
      <c r="M39" s="18">
        <v>116.6</v>
      </c>
      <c r="N39" s="19">
        <v>10.648999999999999</v>
      </c>
      <c r="O39" s="339">
        <v>50.927999999999997</v>
      </c>
      <c r="P39" s="338">
        <f>SUM(C39:O39)</f>
        <v>3238.0329999999994</v>
      </c>
      <c r="Q39" s="46"/>
      <c r="R39" s="99">
        <v>22.271000000000001</v>
      </c>
      <c r="S39" s="18">
        <v>17.596</v>
      </c>
      <c r="T39" s="96">
        <v>144.364</v>
      </c>
      <c r="U39" s="47"/>
      <c r="V39" s="109">
        <v>67.286000000000001</v>
      </c>
      <c r="W39" s="373">
        <f>SUM(R39:V39)</f>
        <v>251.517</v>
      </c>
      <c r="X39" s="53"/>
      <c r="Y39" s="920">
        <v>3169.2689999999998</v>
      </c>
      <c r="Z39" s="1537"/>
      <c r="AA39" s="1538"/>
      <c r="AB39" s="1538"/>
      <c r="AC39" s="2249"/>
      <c r="AD39" s="2141"/>
      <c r="AE39" s="2274"/>
      <c r="AF39" s="2297">
        <v>2986.5140000000001</v>
      </c>
      <c r="AG39" s="2286">
        <v>1398.8230000000001</v>
      </c>
      <c r="AH39" s="1720">
        <f>W39-V39-(IF(AND(Motpart!$Y$12="",Motpart!$Z$12=""),0,IF(AND(Motpart!$Y$12=0,Motpart!$Z$12=0),0,((T39/$T$42)*(Motpart!$Y$12+Motpart!$Z$12)))))</f>
        <v>181.40667030452988</v>
      </c>
    </row>
    <row r="40" spans="1:34">
      <c r="A40" s="1934" t="s">
        <v>228</v>
      </c>
      <c r="B40" s="794" t="s">
        <v>73</v>
      </c>
      <c r="C40" s="18">
        <v>2413.6509999999998</v>
      </c>
      <c r="D40" s="19">
        <v>1111.52</v>
      </c>
      <c r="E40" s="21">
        <v>1602.6489999999999</v>
      </c>
      <c r="F40" s="21">
        <v>649.86099999999999</v>
      </c>
      <c r="G40" s="21">
        <v>1097.443</v>
      </c>
      <c r="H40" s="22">
        <v>436.99</v>
      </c>
      <c r="I40" s="21">
        <v>1683.1559999999999</v>
      </c>
      <c r="J40" s="97">
        <v>1767.7249999999999</v>
      </c>
      <c r="K40" s="29"/>
      <c r="L40" s="100">
        <v>6780.5349999999999</v>
      </c>
      <c r="M40" s="21">
        <v>1178.7349999999999</v>
      </c>
      <c r="N40" s="19">
        <v>62.497</v>
      </c>
      <c r="O40" s="339">
        <v>643.51800000000003</v>
      </c>
      <c r="P40" s="338">
        <f>SUM(C40:O40)</f>
        <v>19428.28</v>
      </c>
      <c r="Q40" s="46"/>
      <c r="R40" s="100">
        <v>1086.5550000000001</v>
      </c>
      <c r="S40" s="21">
        <v>487.03399999999999</v>
      </c>
      <c r="T40" s="97">
        <v>1381.7260000000001</v>
      </c>
      <c r="U40" s="47"/>
      <c r="V40" s="110">
        <v>1392.0219999999999</v>
      </c>
      <c r="W40" s="373">
        <f>SUM(R40:V40)</f>
        <v>4347.3369999999995</v>
      </c>
      <c r="X40" s="53"/>
      <c r="Y40" s="920">
        <v>18007.153999999999</v>
      </c>
      <c r="Z40" s="1537"/>
      <c r="AA40" s="1538"/>
      <c r="AB40" s="1538"/>
      <c r="AC40" s="2249"/>
      <c r="AD40" s="2141"/>
      <c r="AE40" s="2274"/>
      <c r="AF40" s="2297">
        <v>15080.947</v>
      </c>
      <c r="AG40" s="2286">
        <v>16949.412</v>
      </c>
      <c r="AH40" s="1720">
        <f>W40-V40-(IF(AND(Motpart!$Y$12="",Motpart!$Z$12=""),0,IF(AND(Motpart!$Y$12=0,Motpart!$Z$12=0),0,((T40/$T$42)*(Motpart!$Y$12+Motpart!$Z$12)))))</f>
        <v>2928.2829852816271</v>
      </c>
    </row>
    <row r="41" spans="1:34">
      <c r="A41" s="1934" t="s">
        <v>229</v>
      </c>
      <c r="B41" s="794" t="s">
        <v>74</v>
      </c>
      <c r="C41" s="18">
        <v>1408.3710000000001</v>
      </c>
      <c r="D41" s="19">
        <v>650.19399999999996</v>
      </c>
      <c r="E41" s="21">
        <v>140.56899999999999</v>
      </c>
      <c r="F41" s="21">
        <v>151.40899999999999</v>
      </c>
      <c r="G41" s="21">
        <v>198.41200000000001</v>
      </c>
      <c r="H41" s="22">
        <v>60.866999999999997</v>
      </c>
      <c r="I41" s="21">
        <v>127.378</v>
      </c>
      <c r="J41" s="97">
        <v>25.443999999999999</v>
      </c>
      <c r="K41" s="29"/>
      <c r="L41" s="100">
        <v>299.95600000000002</v>
      </c>
      <c r="M41" s="21">
        <v>189.79499999999999</v>
      </c>
      <c r="N41" s="19">
        <v>9.8800000000000008</v>
      </c>
      <c r="O41" s="339">
        <v>119.27800000000001</v>
      </c>
      <c r="P41" s="338">
        <f>SUM(C41:O41)</f>
        <v>3381.5530000000003</v>
      </c>
      <c r="Q41" s="46"/>
      <c r="R41" s="100">
        <v>29.949000000000002</v>
      </c>
      <c r="S41" s="21">
        <v>7.5750000000000002</v>
      </c>
      <c r="T41" s="97">
        <v>103.438</v>
      </c>
      <c r="U41" s="47"/>
      <c r="V41" s="110">
        <v>122.142</v>
      </c>
      <c r="W41" s="373">
        <f>SUM(R41:V41)</f>
        <v>263.10399999999998</v>
      </c>
      <c r="X41" s="53"/>
      <c r="Y41" s="920">
        <v>3258.123</v>
      </c>
      <c r="Z41" s="1537"/>
      <c r="AA41" s="1538"/>
      <c r="AB41" s="1538"/>
      <c r="AC41" s="2249"/>
      <c r="AD41" s="2141"/>
      <c r="AE41" s="2274"/>
      <c r="AF41" s="2297">
        <v>3118.453</v>
      </c>
      <c r="AG41" s="2286">
        <v>3047.1370000000002</v>
      </c>
      <c r="AH41" s="1720">
        <f>W41-V41-(IF(AND(Motpart!$Y$12="",Motpart!$Z$12=""),0,IF(AND(Motpart!$Y$12=0,Motpart!$Z$12=0),0,((T41/$T$42)*(Motpart!$Y$12+Motpart!$Z$12)))))</f>
        <v>138.93834441384251</v>
      </c>
    </row>
    <row r="42" spans="1:34">
      <c r="A42" s="1934" t="s">
        <v>230</v>
      </c>
      <c r="B42" s="794" t="s">
        <v>75</v>
      </c>
      <c r="C42" s="334">
        <f t="shared" ref="C42:W42" si="9">SUM(C39:C41)</f>
        <v>4285.3150000000005</v>
      </c>
      <c r="D42" s="24">
        <f t="shared" si="9"/>
        <v>1975.6959999999999</v>
      </c>
      <c r="E42" s="334">
        <f t="shared" si="9"/>
        <v>1808.5969999999998</v>
      </c>
      <c r="F42" s="334">
        <f t="shared" si="9"/>
        <v>879.82499999999993</v>
      </c>
      <c r="G42" s="334">
        <f t="shared" si="9"/>
        <v>1476.1670000000001</v>
      </c>
      <c r="H42" s="24">
        <f t="shared" si="9"/>
        <v>2191.2260000000001</v>
      </c>
      <c r="I42" s="334">
        <f t="shared" si="9"/>
        <v>1887.0819999999999</v>
      </c>
      <c r="J42" s="101">
        <f t="shared" si="9"/>
        <v>1829.5919999999999</v>
      </c>
      <c r="K42" s="141"/>
      <c r="L42" s="340">
        <f>SUM(L39:L41)</f>
        <v>7332.4859999999999</v>
      </c>
      <c r="M42" s="334">
        <f t="shared" si="9"/>
        <v>1485.1299999999999</v>
      </c>
      <c r="N42" s="24">
        <f t="shared" si="9"/>
        <v>83.025999999999996</v>
      </c>
      <c r="O42" s="24">
        <f t="shared" si="9"/>
        <v>813.72400000000005</v>
      </c>
      <c r="P42" s="338">
        <f>SUM(C42:O42)</f>
        <v>26047.866000000002</v>
      </c>
      <c r="Q42" s="46"/>
      <c r="R42" s="340">
        <f t="shared" si="9"/>
        <v>1138.7750000000001</v>
      </c>
      <c r="S42" s="334">
        <f t="shared" si="9"/>
        <v>512.20500000000004</v>
      </c>
      <c r="T42" s="101">
        <f t="shared" si="9"/>
        <v>1629.5280000000002</v>
      </c>
      <c r="U42" s="46"/>
      <c r="V42" s="113">
        <f t="shared" si="9"/>
        <v>1581.45</v>
      </c>
      <c r="W42" s="114">
        <f t="shared" si="9"/>
        <v>4861.9579999999996</v>
      </c>
      <c r="X42" s="53"/>
      <c r="Y42" s="900">
        <v>24434.55</v>
      </c>
      <c r="Z42" s="903">
        <f>(P42-W42)*1000/invanare</f>
        <v>2000.9905824772311</v>
      </c>
      <c r="AA42" s="904">
        <f>Y42*1000/invanare</f>
        <v>2307.8219936133501</v>
      </c>
      <c r="AB42" s="904">
        <v>2142.395</v>
      </c>
      <c r="AC42" s="2248">
        <f>IF(ISERROR((AA42-AB42)/AB42)," ",((AA42-AB42)/AB42))</f>
        <v>7.7215916585573655E-2</v>
      </c>
      <c r="AD42" s="2141"/>
      <c r="AE42" s="2274"/>
      <c r="AF42" s="2297">
        <v>21185.919999999998</v>
      </c>
      <c r="AG42" s="2286">
        <v>21395.378000000001</v>
      </c>
      <c r="AH42" s="1720">
        <f>W42-V42-SUM(Motpart!Y12:Z12)</f>
        <v>3248.6279999999997</v>
      </c>
    </row>
    <row r="43" spans="1:34" ht="12.75" customHeight="1" thickBot="1">
      <c r="A43" s="1945" t="s">
        <v>231</v>
      </c>
      <c r="B43" s="799" t="s">
        <v>76</v>
      </c>
      <c r="C43" s="345">
        <f>SUM(C37,C42)</f>
        <v>9866.5650000000005</v>
      </c>
      <c r="D43" s="346">
        <f t="shared" ref="D43:P43" si="10">SUM(D37,D42)</f>
        <v>4535.7939999999999</v>
      </c>
      <c r="E43" s="345">
        <f t="shared" si="10"/>
        <v>2758.8899999999994</v>
      </c>
      <c r="F43" s="345">
        <f t="shared" si="10"/>
        <v>1164.1779999999999</v>
      </c>
      <c r="G43" s="345">
        <f t="shared" si="10"/>
        <v>3205.0170000000003</v>
      </c>
      <c r="H43" s="346">
        <f t="shared" si="10"/>
        <v>4180.9930000000004</v>
      </c>
      <c r="I43" s="345">
        <f t="shared" si="10"/>
        <v>2731.799</v>
      </c>
      <c r="J43" s="347">
        <f t="shared" si="10"/>
        <v>2202.2469999999998</v>
      </c>
      <c r="K43" s="141"/>
      <c r="L43" s="348">
        <f>SUM(L37,L42)</f>
        <v>9222.0879999999997</v>
      </c>
      <c r="M43" s="345">
        <f t="shared" si="10"/>
        <v>2364.1970000000001</v>
      </c>
      <c r="N43" s="346">
        <f t="shared" si="10"/>
        <v>146.35399999999998</v>
      </c>
      <c r="O43" s="346">
        <f t="shared" si="10"/>
        <v>1359.268</v>
      </c>
      <c r="P43" s="347">
        <f t="shared" si="10"/>
        <v>43737.39</v>
      </c>
      <c r="Q43" s="46"/>
      <c r="R43" s="348">
        <f>SUM(R37,R42)</f>
        <v>1577.6530000000002</v>
      </c>
      <c r="S43" s="345">
        <f>SUM(S37,S42)</f>
        <v>625.85599999999999</v>
      </c>
      <c r="T43" s="347">
        <f>SUM(T37,T42)</f>
        <v>2965.384</v>
      </c>
      <c r="U43" s="46"/>
      <c r="V43" s="375">
        <f>SUM(V37,V42)</f>
        <v>2271.578</v>
      </c>
      <c r="W43" s="374">
        <f>SUM(W37,W42)</f>
        <v>7440.4709999999995</v>
      </c>
      <c r="X43" s="53"/>
      <c r="Y43" s="927">
        <v>41407.419000000002</v>
      </c>
      <c r="Z43" s="905"/>
      <c r="AA43" s="906"/>
      <c r="AB43" s="907"/>
      <c r="AC43" s="2250"/>
      <c r="AD43" s="2141"/>
      <c r="AE43" s="2276"/>
      <c r="AF43" s="2298">
        <v>36296.934999999998</v>
      </c>
      <c r="AG43" s="2287">
        <v>36120.661</v>
      </c>
      <c r="AH43" s="1722">
        <f>AH37+AH42</f>
        <v>5110.482</v>
      </c>
    </row>
    <row r="44" spans="1:34" ht="48" customHeight="1" thickBot="1">
      <c r="A44" s="1949"/>
      <c r="B44" s="800" t="s">
        <v>77</v>
      </c>
      <c r="C44" s="909"/>
      <c r="D44" s="910"/>
      <c r="E44" s="911"/>
      <c r="F44" s="911"/>
      <c r="G44" s="911"/>
      <c r="H44" s="910"/>
      <c r="I44" s="911"/>
      <c r="J44" s="912"/>
      <c r="K44" s="30"/>
      <c r="L44" s="445"/>
      <c r="M44" s="446"/>
      <c r="N44" s="439"/>
      <c r="O44" s="439"/>
      <c r="P44" s="441"/>
      <c r="Q44" s="196"/>
      <c r="R44" s="445"/>
      <c r="S44" s="440"/>
      <c r="T44" s="441"/>
      <c r="U44" s="196"/>
      <c r="V44" s="449"/>
      <c r="W44" s="450"/>
      <c r="X44" s="30"/>
      <c r="Y44" s="1535" t="s">
        <v>913</v>
      </c>
      <c r="Z44" s="2588"/>
      <c r="AA44" s="2586"/>
      <c r="AB44" s="2586"/>
      <c r="AC44" s="2587"/>
      <c r="AD44" s="2141"/>
      <c r="AE44" s="2274"/>
      <c r="AF44" s="2302"/>
      <c r="AG44" s="2289"/>
      <c r="AH44" s="1723"/>
    </row>
    <row r="45" spans="1:34" ht="39.75" customHeight="1">
      <c r="A45" s="1950" t="s">
        <v>375</v>
      </c>
      <c r="B45" s="801" t="s">
        <v>521</v>
      </c>
      <c r="C45" s="913"/>
      <c r="D45" s="914"/>
      <c r="E45" s="915"/>
      <c r="F45" s="915"/>
      <c r="G45" s="915"/>
      <c r="H45" s="914"/>
      <c r="I45" s="915"/>
      <c r="J45" s="916"/>
      <c r="K45" s="30"/>
      <c r="L45" s="447"/>
      <c r="M45" s="448"/>
      <c r="N45" s="442"/>
      <c r="O45" s="442"/>
      <c r="P45" s="444"/>
      <c r="Q45" s="196"/>
      <c r="R45" s="447"/>
      <c r="S45" s="443"/>
      <c r="T45" s="444"/>
      <c r="U45" s="196"/>
      <c r="V45" s="451"/>
      <c r="W45" s="452"/>
      <c r="X45" s="30"/>
      <c r="Y45" s="1547"/>
      <c r="Z45" s="2589" t="s">
        <v>916</v>
      </c>
      <c r="AA45" s="2590"/>
      <c r="AB45" s="1556"/>
      <c r="AC45" s="2251"/>
      <c r="AD45" s="2141"/>
      <c r="AE45" s="2274"/>
      <c r="AF45" s="2303"/>
      <c r="AG45" s="2290"/>
      <c r="AH45" s="1724"/>
    </row>
    <row r="46" spans="1:34">
      <c r="A46" s="1934" t="s">
        <v>232</v>
      </c>
      <c r="B46" s="796" t="s">
        <v>78</v>
      </c>
      <c r="C46" s="18">
        <v>297.26400000000001</v>
      </c>
      <c r="D46" s="19">
        <v>134.96100000000001</v>
      </c>
      <c r="E46" s="18">
        <v>14.548</v>
      </c>
      <c r="F46" s="18">
        <v>17.184999999999999</v>
      </c>
      <c r="G46" s="18">
        <v>30.908999999999999</v>
      </c>
      <c r="H46" s="19">
        <v>0.127</v>
      </c>
      <c r="I46" s="18">
        <v>42.220999999999997</v>
      </c>
      <c r="J46" s="96">
        <v>4.59</v>
      </c>
      <c r="K46" s="29"/>
      <c r="L46" s="99">
        <v>69.924999999999997</v>
      </c>
      <c r="M46" s="18">
        <v>74.111000000000004</v>
      </c>
      <c r="N46" s="19">
        <v>1.5509999999999999</v>
      </c>
      <c r="O46" s="339">
        <v>23.803000000000001</v>
      </c>
      <c r="P46" s="338">
        <f>SUM(C46:O46)</f>
        <v>711.19500000000005</v>
      </c>
      <c r="Q46" s="46"/>
      <c r="R46" s="99">
        <v>2.3759999999999999</v>
      </c>
      <c r="S46" s="18">
        <v>2.5609999999999999</v>
      </c>
      <c r="T46" s="96">
        <v>32.024999999999999</v>
      </c>
      <c r="U46" s="47"/>
      <c r="V46" s="109">
        <v>66.516999999999996</v>
      </c>
      <c r="W46" s="373">
        <f t="shared" ref="W46:W51" si="11">SUM(R46:V46)</f>
        <v>103.47899999999998</v>
      </c>
      <c r="X46" s="53"/>
      <c r="Y46" s="900">
        <v>643.08500000000004</v>
      </c>
      <c r="Z46" s="1515"/>
      <c r="AA46" s="1529"/>
      <c r="AB46" s="1530"/>
      <c r="AC46" s="2243"/>
      <c r="AD46" s="2141"/>
      <c r="AE46" s="2274"/>
      <c r="AF46" s="2297">
        <v>607.71400000000006</v>
      </c>
      <c r="AG46" s="2286">
        <v>627.36599999999999</v>
      </c>
      <c r="AH46" s="1720">
        <f>W46-V46-(IF(AND(Motpart!$Y$16="",Motpart!$Z$16=""),0,IF(AND(Motpart!$Y$16=0,Motpart!$Z$16=0),0,((T46/($T$46+$T$49))*(Motpart!$Y$16+Motpart!$Z$16)))))</f>
        <v>34.966043623050957</v>
      </c>
    </row>
    <row r="47" spans="1:34">
      <c r="A47" s="1934" t="s">
        <v>233</v>
      </c>
      <c r="B47" s="794" t="s">
        <v>79</v>
      </c>
      <c r="C47" s="18">
        <v>36332.071000000004</v>
      </c>
      <c r="D47" s="19">
        <v>16703.246999999999</v>
      </c>
      <c r="E47" s="21">
        <v>2086.768</v>
      </c>
      <c r="F47" s="21">
        <v>19512.145</v>
      </c>
      <c r="G47" s="21">
        <v>2212.3919999999998</v>
      </c>
      <c r="H47" s="22">
        <v>70.183000000000007</v>
      </c>
      <c r="I47" s="21">
        <v>2707.4920000000002</v>
      </c>
      <c r="J47" s="97">
        <v>761.32899999999995</v>
      </c>
      <c r="K47" s="29"/>
      <c r="L47" s="100">
        <v>6860.9319999999998</v>
      </c>
      <c r="M47" s="21">
        <v>14968.101000000001</v>
      </c>
      <c r="N47" s="19">
        <v>240.292</v>
      </c>
      <c r="O47" s="339">
        <v>2856.3049999999998</v>
      </c>
      <c r="P47" s="338">
        <f>SUM(C47:O47)</f>
        <v>105311.25699999998</v>
      </c>
      <c r="Q47" s="46"/>
      <c r="R47" s="1776">
        <v>5807.5820000000003</v>
      </c>
      <c r="S47" s="1777">
        <v>17.076000000000001</v>
      </c>
      <c r="T47" s="214">
        <v>6893.0259999999998</v>
      </c>
      <c r="U47" s="47"/>
      <c r="V47" s="110">
        <v>10466.605</v>
      </c>
      <c r="W47" s="373">
        <f t="shared" si="11"/>
        <v>23184.289000000001</v>
      </c>
      <c r="X47" s="53"/>
      <c r="Y47" s="900">
        <v>94389.731</v>
      </c>
      <c r="Z47" s="1532"/>
      <c r="AA47" s="1519"/>
      <c r="AB47" s="1519"/>
      <c r="AC47" s="2241"/>
      <c r="AD47" s="2141"/>
      <c r="AE47" s="2274"/>
      <c r="AF47" s="2297">
        <v>82126.972999999998</v>
      </c>
      <c r="AG47" s="2286">
        <v>75262.33</v>
      </c>
      <c r="AH47" s="1720">
        <f>W47-V47-SUM(Motpart!Y13:Z13)</f>
        <v>12262.758000000002</v>
      </c>
    </row>
    <row r="48" spans="1:34">
      <c r="A48" s="1934" t="s">
        <v>234</v>
      </c>
      <c r="B48" s="794" t="s">
        <v>80</v>
      </c>
      <c r="C48" s="21">
        <v>218.071</v>
      </c>
      <c r="D48" s="19">
        <v>99.1</v>
      </c>
      <c r="E48" s="21">
        <v>5.5590000000000002</v>
      </c>
      <c r="F48" s="21">
        <v>541.57299999999998</v>
      </c>
      <c r="G48" s="21">
        <v>20.902999999999999</v>
      </c>
      <c r="H48" s="22">
        <v>0.434</v>
      </c>
      <c r="I48" s="25">
        <v>5.2249999999999996</v>
      </c>
      <c r="J48" s="97">
        <v>1.329</v>
      </c>
      <c r="K48" s="29"/>
      <c r="L48" s="100">
        <v>21.617999999999999</v>
      </c>
      <c r="M48" s="21">
        <v>117.922</v>
      </c>
      <c r="N48" s="19">
        <v>1.7490000000000001</v>
      </c>
      <c r="O48" s="339">
        <v>17.245999999999999</v>
      </c>
      <c r="P48" s="338">
        <f>SUM(C48:O48)</f>
        <v>1050.729</v>
      </c>
      <c r="Q48" s="46"/>
      <c r="R48" s="1776">
        <v>50.164999999999999</v>
      </c>
      <c r="S48" s="1777">
        <v>0.14399999999999999</v>
      </c>
      <c r="T48" s="214">
        <v>51.494999999999997</v>
      </c>
      <c r="U48" s="47"/>
      <c r="V48" s="110">
        <v>69.736999999999995</v>
      </c>
      <c r="W48" s="373">
        <f t="shared" si="11"/>
        <v>171.541</v>
      </c>
      <c r="X48" s="53"/>
      <c r="Y48" s="920">
        <v>977.30499999999995</v>
      </c>
      <c r="Z48" s="1518"/>
      <c r="AA48" s="1519"/>
      <c r="AB48" s="1519"/>
      <c r="AC48" s="2241"/>
      <c r="AD48" s="2141"/>
      <c r="AE48" s="2277">
        <f>(SUM(I51:L51))*1000/invanare</f>
        <v>1278.5127284370276</v>
      </c>
      <c r="AF48" s="2297">
        <v>879.18799999999999</v>
      </c>
      <c r="AG48" s="2286">
        <v>438.98599999999999</v>
      </c>
      <c r="AH48" s="1720">
        <f>W48-V48-SUM(Motpart!Y14:Z14)</f>
        <v>98.116</v>
      </c>
    </row>
    <row r="49" spans="1:34">
      <c r="A49" s="1934" t="s">
        <v>235</v>
      </c>
      <c r="B49" s="796" t="s">
        <v>81</v>
      </c>
      <c r="C49" s="18">
        <v>145.197</v>
      </c>
      <c r="D49" s="19">
        <v>66.867999999999995</v>
      </c>
      <c r="E49" s="18">
        <v>13.792</v>
      </c>
      <c r="F49" s="18">
        <v>77.147000000000006</v>
      </c>
      <c r="G49" s="18">
        <v>8.3780000000000001</v>
      </c>
      <c r="H49" s="19">
        <v>1.75</v>
      </c>
      <c r="I49" s="18">
        <v>9.2970000000000006</v>
      </c>
      <c r="J49" s="96">
        <v>0.48199999999999998</v>
      </c>
      <c r="K49" s="29"/>
      <c r="L49" s="99">
        <v>29.504999999999999</v>
      </c>
      <c r="M49" s="18">
        <v>73.581000000000003</v>
      </c>
      <c r="N49" s="19">
        <v>4.3780000000000001</v>
      </c>
      <c r="O49" s="339">
        <v>11.885999999999999</v>
      </c>
      <c r="P49" s="338">
        <f>SUM(C49:O49)</f>
        <v>442.26100000000008</v>
      </c>
      <c r="Q49" s="46"/>
      <c r="R49" s="1778">
        <v>53.881999999999998</v>
      </c>
      <c r="S49" s="1779">
        <v>1E-3</v>
      </c>
      <c r="T49" s="217">
        <v>13.318</v>
      </c>
      <c r="U49" s="47"/>
      <c r="V49" s="109">
        <v>65.465999999999994</v>
      </c>
      <c r="W49" s="373">
        <f t="shared" si="11"/>
        <v>132.66699999999997</v>
      </c>
      <c r="X49" s="53"/>
      <c r="Y49" s="920">
        <v>375.56200000000001</v>
      </c>
      <c r="Z49" s="1518"/>
      <c r="AA49" s="1519"/>
      <c r="AB49" s="1519"/>
      <c r="AC49" s="2241"/>
      <c r="AD49" s="2141"/>
      <c r="AE49" s="2277">
        <f>(R51)*1000/invanare</f>
        <v>911.14783083405223</v>
      </c>
      <c r="AF49" s="2297">
        <v>309.59399999999999</v>
      </c>
      <c r="AG49" s="2286">
        <v>297.89800000000002</v>
      </c>
      <c r="AH49" s="1720">
        <f>W49-V49-(IF(AND(Motpart!$Y$16="",Motpart!$Z$16=""),0,IF(AND(Motpart!$Y$16=0,Motpart!$Z$16=0),0,((T49/($T$49+$T$46))*(Motpart!$Y$16+Motpart!$Z$16)))))</f>
        <v>66.37095637694901</v>
      </c>
    </row>
    <row r="50" spans="1:34">
      <c r="A50" s="1934" t="s">
        <v>236</v>
      </c>
      <c r="B50" s="794" t="s">
        <v>82</v>
      </c>
      <c r="C50" s="18">
        <v>9726.8019999999997</v>
      </c>
      <c r="D50" s="19">
        <v>4477.9560000000001</v>
      </c>
      <c r="E50" s="21">
        <v>438.83800000000002</v>
      </c>
      <c r="F50" s="21">
        <v>3000.096</v>
      </c>
      <c r="G50" s="21">
        <v>484.37299999999999</v>
      </c>
      <c r="H50" s="22">
        <v>7.4820000000000002</v>
      </c>
      <c r="I50" s="25">
        <v>699.14300000000003</v>
      </c>
      <c r="J50" s="97">
        <v>128.82300000000001</v>
      </c>
      <c r="K50" s="29"/>
      <c r="L50" s="100">
        <v>2194.6109999999999</v>
      </c>
      <c r="M50" s="21">
        <v>4639.1959999999999</v>
      </c>
      <c r="N50" s="19">
        <v>58.902000000000001</v>
      </c>
      <c r="O50" s="339">
        <v>780.529</v>
      </c>
      <c r="P50" s="338">
        <f>SUM(C50:O50)</f>
        <v>26636.750999999997</v>
      </c>
      <c r="Q50" s="46"/>
      <c r="R50" s="1776">
        <v>3732.9639999999999</v>
      </c>
      <c r="S50" s="1777">
        <v>1.4219999999999999</v>
      </c>
      <c r="T50" s="214">
        <v>1099.03</v>
      </c>
      <c r="U50" s="47"/>
      <c r="V50" s="110">
        <v>3173.6149999999998</v>
      </c>
      <c r="W50" s="373">
        <f t="shared" si="11"/>
        <v>8007.0309999999999</v>
      </c>
      <c r="X50" s="53"/>
      <c r="Y50" s="920">
        <v>23291.173999999999</v>
      </c>
      <c r="Z50" s="1518"/>
      <c r="AA50" s="1519"/>
      <c r="AB50" s="1519"/>
      <c r="AC50" s="2241"/>
      <c r="AD50" s="2141"/>
      <c r="AE50" s="2274"/>
      <c r="AF50" s="2297">
        <v>18629.719000000001</v>
      </c>
      <c r="AG50" s="2286">
        <v>20455.558000000001</v>
      </c>
      <c r="AH50" s="1720">
        <f>W50-V50-SUM(Motpart!Y15:Z15)</f>
        <v>4661.4549999999999</v>
      </c>
    </row>
    <row r="51" spans="1:34" ht="13.5" thickBot="1">
      <c r="A51" s="1934" t="s">
        <v>237</v>
      </c>
      <c r="B51" s="802" t="s">
        <v>1172</v>
      </c>
      <c r="C51" s="334">
        <f t="shared" ref="C51:M51" si="12">SUM(C46:C50)</f>
        <v>46719.405000000013</v>
      </c>
      <c r="D51" s="24">
        <f t="shared" si="12"/>
        <v>21482.131999999998</v>
      </c>
      <c r="E51" s="334">
        <f t="shared" si="12"/>
        <v>2559.5050000000001</v>
      </c>
      <c r="F51" s="334">
        <f t="shared" si="12"/>
        <v>23148.146000000004</v>
      </c>
      <c r="G51" s="334">
        <f t="shared" si="12"/>
        <v>2756.9549999999999</v>
      </c>
      <c r="H51" s="24">
        <f t="shared" si="12"/>
        <v>79.975999999999999</v>
      </c>
      <c r="I51" s="334">
        <f t="shared" si="12"/>
        <v>3463.3780000000002</v>
      </c>
      <c r="J51" s="101">
        <f t="shared" si="12"/>
        <v>896.55299999999988</v>
      </c>
      <c r="K51" s="141"/>
      <c r="L51" s="340">
        <f>SUM(L46:L50)</f>
        <v>9176.5910000000003</v>
      </c>
      <c r="M51" s="334">
        <f t="shared" si="12"/>
        <v>19872.911</v>
      </c>
      <c r="N51" s="24">
        <f t="shared" ref="N51:V51" si="13">SUM(N46:N50)</f>
        <v>306.87199999999996</v>
      </c>
      <c r="O51" s="24">
        <f t="shared" si="13"/>
        <v>3689.7689999999998</v>
      </c>
      <c r="P51" s="101">
        <f t="shared" si="13"/>
        <v>134152.193</v>
      </c>
      <c r="Q51" s="46"/>
      <c r="R51" s="340">
        <f t="shared" si="13"/>
        <v>9646.969000000001</v>
      </c>
      <c r="S51" s="334">
        <f t="shared" si="13"/>
        <v>21.204000000000001</v>
      </c>
      <c r="T51" s="101">
        <f>SUM(T46:T50)</f>
        <v>8088.8939999999993</v>
      </c>
      <c r="U51" s="46"/>
      <c r="V51" s="113">
        <f t="shared" si="13"/>
        <v>13841.939999999999</v>
      </c>
      <c r="W51" s="373">
        <f t="shared" si="11"/>
        <v>31599.006999999998</v>
      </c>
      <c r="X51" s="53"/>
      <c r="Y51" s="900">
        <v>119676.856</v>
      </c>
      <c r="Z51" s="1551">
        <f>(P51-W51)*1000/invanare</f>
        <v>9686.0592139376695</v>
      </c>
      <c r="AA51" s="1552">
        <f>Y51*1000/invanare</f>
        <v>11303.374950768391</v>
      </c>
      <c r="AB51" s="1552">
        <v>10975.166999999999</v>
      </c>
      <c r="AC51" s="2252">
        <f>IF(ISERROR((AA51-AB51)/AB51)," ",((AA51-AB51)/AB51))</f>
        <v>2.9904597421469035E-2</v>
      </c>
      <c r="AD51" s="2141"/>
      <c r="AE51" s="2278">
        <f>IF(ISERROR(F51/(AA51/1000*invanare)),"",(F51/(AA51/100000*invanare)))</f>
        <v>19.342207652914951</v>
      </c>
      <c r="AF51" s="2297">
        <v>102553.189</v>
      </c>
      <c r="AG51" s="2286">
        <v>97082.138000000006</v>
      </c>
      <c r="AH51" s="1720">
        <f>W51-V51-SUM(Motpart!Y13:Z16)</f>
        <v>17123.665999999997</v>
      </c>
    </row>
    <row r="52" spans="1:34" ht="44.25" customHeight="1" thickBot="1">
      <c r="A52" s="1951"/>
      <c r="B52" s="800" t="s">
        <v>83</v>
      </c>
      <c r="C52" s="438"/>
      <c r="D52" s="437"/>
      <c r="E52" s="435"/>
      <c r="F52" s="435"/>
      <c r="G52" s="435"/>
      <c r="H52" s="437"/>
      <c r="I52" s="435"/>
      <c r="J52" s="436"/>
      <c r="K52" s="29"/>
      <c r="L52" s="434"/>
      <c r="M52" s="435"/>
      <c r="N52" s="437"/>
      <c r="O52" s="453"/>
      <c r="P52" s="436"/>
      <c r="Q52" s="47"/>
      <c r="R52" s="434"/>
      <c r="S52" s="435"/>
      <c r="T52" s="436"/>
      <c r="U52" s="47"/>
      <c r="V52" s="432"/>
      <c r="W52" s="433"/>
      <c r="X52" s="29"/>
      <c r="Y52" s="1535" t="s">
        <v>595</v>
      </c>
      <c r="Z52" s="2588"/>
      <c r="AA52" s="2586"/>
      <c r="AB52" s="2586"/>
      <c r="AC52" s="2587"/>
      <c r="AD52" s="2141"/>
      <c r="AE52" s="2274">
        <f>IF(ISERROR(F51/(AA51/1000*invanare)),"",(SUM(Motpart!D13:D16,Motpart!F13:F16)/(AA51/100000*invanare)))</f>
        <v>18.70587576264537</v>
      </c>
      <c r="AF52" s="2304"/>
      <c r="AG52" s="2291"/>
      <c r="AH52" s="1725"/>
    </row>
    <row r="53" spans="1:34">
      <c r="A53" s="1934" t="s">
        <v>382</v>
      </c>
      <c r="B53" s="786" t="s">
        <v>466</v>
      </c>
      <c r="C53" s="18">
        <v>3456.8919999999998</v>
      </c>
      <c r="D53" s="19">
        <v>1571.5930000000001</v>
      </c>
      <c r="E53" s="18">
        <v>219.27099999999999</v>
      </c>
      <c r="F53" s="18">
        <v>1340.5920000000001</v>
      </c>
      <c r="G53" s="18">
        <v>365.16500000000002</v>
      </c>
      <c r="H53" s="19">
        <v>1.1950000000000001</v>
      </c>
      <c r="I53" s="18">
        <v>505.32900000000001</v>
      </c>
      <c r="J53" s="96">
        <v>66.116</v>
      </c>
      <c r="K53" s="29"/>
      <c r="L53" s="99">
        <v>974.20399999999995</v>
      </c>
      <c r="M53" s="18">
        <v>1871.6120000000001</v>
      </c>
      <c r="N53" s="19">
        <v>32.270000000000003</v>
      </c>
      <c r="O53" s="339">
        <v>302.21800000000002</v>
      </c>
      <c r="P53" s="338">
        <f>SUM(C53:O53)</f>
        <v>10706.457000000002</v>
      </c>
      <c r="Q53" s="46"/>
      <c r="R53" s="99">
        <v>0.873</v>
      </c>
      <c r="S53" s="18">
        <v>0.22900000000000001</v>
      </c>
      <c r="T53" s="96">
        <v>534.29600000000005</v>
      </c>
      <c r="U53" s="47"/>
      <c r="V53" s="109">
        <v>1294.114</v>
      </c>
      <c r="W53" s="373">
        <f>SUM(R53:V53)</f>
        <v>1829.5120000000002</v>
      </c>
      <c r="X53" s="53"/>
      <c r="Y53" s="1399">
        <v>9353.32</v>
      </c>
      <c r="Z53" s="1792"/>
      <c r="AA53" s="1793"/>
      <c r="AB53" s="1794"/>
      <c r="AC53" s="2253"/>
      <c r="AD53" s="2141"/>
      <c r="AE53" s="2274"/>
      <c r="AF53" s="2303">
        <v>8876.9480000000003</v>
      </c>
      <c r="AG53" s="2290">
        <v>8070.5569999999998</v>
      </c>
      <c r="AH53" s="1724">
        <f>W53-V53-SUM(Motpart!Y17:Z17)</f>
        <v>476.37300000000016</v>
      </c>
    </row>
    <row r="54" spans="1:34">
      <c r="A54" s="1934" t="s">
        <v>465</v>
      </c>
      <c r="B54" s="784" t="s">
        <v>364</v>
      </c>
      <c r="C54" s="18">
        <v>61629.93</v>
      </c>
      <c r="D54" s="19">
        <v>28436.602999999999</v>
      </c>
      <c r="E54" s="21">
        <v>5068.2089999999998</v>
      </c>
      <c r="F54" s="21">
        <v>24346.887999999999</v>
      </c>
      <c r="G54" s="21">
        <v>9632.7810000000009</v>
      </c>
      <c r="H54" s="22">
        <v>50.831000000000003</v>
      </c>
      <c r="I54" s="21">
        <v>4524.2219999999998</v>
      </c>
      <c r="J54" s="97">
        <v>1937.2059999999999</v>
      </c>
      <c r="K54" s="29"/>
      <c r="L54" s="100">
        <v>12565.916999999999</v>
      </c>
      <c r="M54" s="21">
        <v>24493.839</v>
      </c>
      <c r="N54" s="19">
        <v>445.04</v>
      </c>
      <c r="O54" s="339">
        <v>5329.8549999999996</v>
      </c>
      <c r="P54" s="338">
        <f>SUM(C54:O54)</f>
        <v>178461.32100000003</v>
      </c>
      <c r="Q54" s="46"/>
      <c r="R54" s="100">
        <v>40.186999999999998</v>
      </c>
      <c r="S54" s="21">
        <v>23.751000000000001</v>
      </c>
      <c r="T54" s="97">
        <v>16024.902</v>
      </c>
      <c r="U54" s="47"/>
      <c r="V54" s="110">
        <v>17302.851999999999</v>
      </c>
      <c r="W54" s="373">
        <f>SUM(R54:V54)</f>
        <v>33391.691999999995</v>
      </c>
      <c r="X54" s="53"/>
      <c r="Y54" s="1399">
        <v>159497.91200000001</v>
      </c>
      <c r="Z54" s="1548"/>
      <c r="AA54" s="1549"/>
      <c r="AB54" s="1795"/>
      <c r="AC54" s="2240"/>
      <c r="AD54" s="2141"/>
      <c r="AE54" s="2274"/>
      <c r="AF54" s="2297">
        <v>145069.628</v>
      </c>
      <c r="AG54" s="2286">
        <v>136760.74799999999</v>
      </c>
      <c r="AH54" s="1724">
        <f>W54-V54-SUM(Motpart!Y18:Z18)</f>
        <v>14428.284999999996</v>
      </c>
    </row>
    <row r="55" spans="1:34">
      <c r="A55" s="1934" t="s">
        <v>238</v>
      </c>
      <c r="B55" s="2309" t="s">
        <v>1180</v>
      </c>
      <c r="C55" s="18">
        <v>4226.143</v>
      </c>
      <c r="D55" s="19">
        <v>1952.9590000000001</v>
      </c>
      <c r="E55" s="21">
        <v>159.559</v>
      </c>
      <c r="F55" s="21">
        <v>756.38</v>
      </c>
      <c r="G55" s="21">
        <v>952.43499999999995</v>
      </c>
      <c r="H55" s="22">
        <v>0.39400000000000002</v>
      </c>
      <c r="I55" s="21">
        <v>214.57400000000001</v>
      </c>
      <c r="J55" s="97">
        <v>42.609000000000002</v>
      </c>
      <c r="K55" s="29"/>
      <c r="L55" s="100">
        <v>454.233</v>
      </c>
      <c r="M55" s="21">
        <v>1374.7439999999999</v>
      </c>
      <c r="N55" s="19">
        <v>21.213000000000001</v>
      </c>
      <c r="O55" s="339">
        <v>325.548</v>
      </c>
      <c r="P55" s="338">
        <f>SUM(C55:O55)</f>
        <v>10480.791000000003</v>
      </c>
      <c r="Q55" s="46"/>
      <c r="R55" s="100">
        <v>4.8150000000000004</v>
      </c>
      <c r="S55" s="21">
        <v>6.4000000000000001E-2</v>
      </c>
      <c r="T55" s="97">
        <v>547.56399999999996</v>
      </c>
      <c r="U55" s="47"/>
      <c r="V55" s="110">
        <v>1091.6980000000001</v>
      </c>
      <c r="W55" s="373">
        <f>SUM(R55:V55)</f>
        <v>1644.1410000000001</v>
      </c>
      <c r="X55" s="53"/>
      <c r="Y55" s="1399">
        <v>9059.08</v>
      </c>
      <c r="Z55" s="1548"/>
      <c r="AA55" s="1549"/>
      <c r="AB55" s="1795"/>
      <c r="AC55" s="2240"/>
      <c r="AD55" s="2141"/>
      <c r="AE55" s="2274"/>
      <c r="AF55" s="2297">
        <v>8836.6530000000002</v>
      </c>
      <c r="AG55" s="2286">
        <v>8632.3209999999999</v>
      </c>
      <c r="AH55" s="1724">
        <f>W55-V55-SUM(Motpart!Y19:Z19)</f>
        <v>222.42699999999996</v>
      </c>
    </row>
    <row r="56" spans="1:34">
      <c r="A56" s="1934" t="s">
        <v>239</v>
      </c>
      <c r="B56" s="794" t="s">
        <v>84</v>
      </c>
      <c r="C56" s="18">
        <v>15313.811</v>
      </c>
      <c r="D56" s="19">
        <v>7034.326</v>
      </c>
      <c r="E56" s="21">
        <v>1616.2329999999999</v>
      </c>
      <c r="F56" s="21">
        <v>26632.855</v>
      </c>
      <c r="G56" s="21">
        <v>3635.5459999999998</v>
      </c>
      <c r="H56" s="22">
        <v>272.37299999999999</v>
      </c>
      <c r="I56" s="21">
        <v>1312.5219999999999</v>
      </c>
      <c r="J56" s="97">
        <v>520.63400000000001</v>
      </c>
      <c r="K56" s="29"/>
      <c r="L56" s="100">
        <v>3542.7469999999998</v>
      </c>
      <c r="M56" s="21">
        <v>6355.0860000000002</v>
      </c>
      <c r="N56" s="19">
        <v>130.19900000000001</v>
      </c>
      <c r="O56" s="339">
        <v>1287.0350000000001</v>
      </c>
      <c r="P56" s="338">
        <f>SUM(C56:O56)</f>
        <v>67653.366999999998</v>
      </c>
      <c r="Q56" s="46"/>
      <c r="R56" s="100">
        <v>37.741</v>
      </c>
      <c r="S56" s="21">
        <v>32.832999999999998</v>
      </c>
      <c r="T56" s="97">
        <v>11824.981</v>
      </c>
      <c r="U56" s="47"/>
      <c r="V56" s="110">
        <v>4477.1530000000002</v>
      </c>
      <c r="W56" s="373">
        <f>SUM(R56:V56)</f>
        <v>16372.708000000001</v>
      </c>
      <c r="X56" s="53"/>
      <c r="Y56" s="1399">
        <v>54583.783000000003</v>
      </c>
      <c r="Z56" s="1216"/>
      <c r="AA56" s="1550"/>
      <c r="AB56" s="700"/>
      <c r="AC56" s="2240"/>
      <c r="AD56" s="2141"/>
      <c r="AE56" s="2274"/>
      <c r="AF56" s="2297">
        <v>51280.658000000003</v>
      </c>
      <c r="AG56" s="2286">
        <v>36270.985000000001</v>
      </c>
      <c r="AH56" s="1724">
        <f>W56-V56-SUM(Motpart!Y20:Z20)</f>
        <v>3303.1240000000016</v>
      </c>
    </row>
    <row r="57" spans="1:34">
      <c r="A57" s="1934" t="s">
        <v>240</v>
      </c>
      <c r="B57" s="2309" t="s">
        <v>1181</v>
      </c>
      <c r="C57" s="18">
        <v>1644.29</v>
      </c>
      <c r="D57" s="19">
        <v>761.70299999999997</v>
      </c>
      <c r="E57" s="21">
        <v>76.009</v>
      </c>
      <c r="F57" s="21">
        <v>1374.944</v>
      </c>
      <c r="G57" s="21">
        <v>444.16500000000002</v>
      </c>
      <c r="H57" s="22">
        <v>3.359</v>
      </c>
      <c r="I57" s="21">
        <v>94.423000000000002</v>
      </c>
      <c r="J57" s="97">
        <v>17.276</v>
      </c>
      <c r="K57" s="29"/>
      <c r="L57" s="100">
        <v>210.124</v>
      </c>
      <c r="M57" s="21">
        <v>491.54399999999998</v>
      </c>
      <c r="N57" s="19">
        <v>11.238</v>
      </c>
      <c r="O57" s="339">
        <v>120.545</v>
      </c>
      <c r="P57" s="338">
        <f>SUM(C57:O57)</f>
        <v>5249.62</v>
      </c>
      <c r="Q57" s="46"/>
      <c r="R57" s="100">
        <v>1.829</v>
      </c>
      <c r="S57" s="21">
        <v>9.5000000000000001E-2</v>
      </c>
      <c r="T57" s="97">
        <v>971.72500000000002</v>
      </c>
      <c r="U57" s="47"/>
      <c r="V57" s="110">
        <v>363.17700000000002</v>
      </c>
      <c r="W57" s="373">
        <f>SUM(R57:V57)</f>
        <v>1336.826</v>
      </c>
      <c r="X57" s="53"/>
      <c r="Y57" s="920">
        <v>4045.83</v>
      </c>
      <c r="Z57" s="1216"/>
      <c r="AA57" s="1516"/>
      <c r="AB57" s="700"/>
      <c r="AC57" s="2240"/>
      <c r="AD57" s="2141"/>
      <c r="AE57" s="2274"/>
      <c r="AF57" s="2297">
        <v>3912.7959999999998</v>
      </c>
      <c r="AG57" s="2286">
        <v>3508.1410000000001</v>
      </c>
      <c r="AH57" s="1724">
        <f>W57-V57-SUM(Motpart!Y21:Z21)</f>
        <v>133.03300000000002</v>
      </c>
    </row>
    <row r="58" spans="1:34">
      <c r="A58" s="1934" t="s">
        <v>241</v>
      </c>
      <c r="B58" s="794" t="s">
        <v>85</v>
      </c>
      <c r="C58" s="334">
        <f t="shared" ref="C58:J58" si="14">SUM(C53:C57)</f>
        <v>86271.065999999992</v>
      </c>
      <c r="D58" s="24">
        <f t="shared" si="14"/>
        <v>39757.184000000001</v>
      </c>
      <c r="E58" s="334">
        <f t="shared" si="14"/>
        <v>7139.2809999999999</v>
      </c>
      <c r="F58" s="334">
        <f t="shared" si="14"/>
        <v>54451.659</v>
      </c>
      <c r="G58" s="334">
        <f t="shared" si="14"/>
        <v>15030.092000000002</v>
      </c>
      <c r="H58" s="24">
        <f t="shared" si="14"/>
        <v>328.15199999999999</v>
      </c>
      <c r="I58" s="334">
        <f t="shared" si="14"/>
        <v>6651.0699999999988</v>
      </c>
      <c r="J58" s="101">
        <f t="shared" si="14"/>
        <v>2583.8409999999994</v>
      </c>
      <c r="K58" s="141"/>
      <c r="L58" s="340">
        <f>SUM(L53:L57)</f>
        <v>17747.224999999999</v>
      </c>
      <c r="M58" s="334">
        <f>SUM(M53:M57)</f>
        <v>34586.825000000004</v>
      </c>
      <c r="N58" s="24">
        <f>SUM(N53:N57)</f>
        <v>639.96</v>
      </c>
      <c r="O58" s="24">
        <f>SUM(O53:O57)</f>
        <v>7365.2009999999991</v>
      </c>
      <c r="P58" s="101">
        <f>SUM(P53:P57)</f>
        <v>272551.55599999998</v>
      </c>
      <c r="Q58" s="46"/>
      <c r="R58" s="340">
        <f>SUM(R53:R57)</f>
        <v>85.444999999999979</v>
      </c>
      <c r="S58" s="334">
        <f>SUM(S53:S57)</f>
        <v>56.971999999999994</v>
      </c>
      <c r="T58" s="101">
        <f>SUM(T53:T57)</f>
        <v>29903.467999999997</v>
      </c>
      <c r="U58" s="46"/>
      <c r="V58" s="113">
        <f>SUM(V53:V57)</f>
        <v>24528.994000000002</v>
      </c>
      <c r="W58" s="114">
        <f>SUM(W53:W57)</f>
        <v>54574.879000000001</v>
      </c>
      <c r="X58" s="53"/>
      <c r="Y58" s="1553">
        <v>236539.932</v>
      </c>
      <c r="Z58" s="1531"/>
      <c r="AA58" s="1516"/>
      <c r="AB58" s="1517"/>
      <c r="AC58" s="2240"/>
      <c r="AD58" s="2141"/>
      <c r="AE58" s="2274"/>
      <c r="AF58" s="2297">
        <v>217976.68900000001</v>
      </c>
      <c r="AG58" s="2286">
        <v>193242.76</v>
      </c>
      <c r="AH58" s="1720">
        <f>W58-V58-SUM(Motpart!Y17:Z21)</f>
        <v>18563.241999999998</v>
      </c>
    </row>
    <row r="59" spans="1:34" ht="13.5" customHeight="1">
      <c r="A59" s="1952"/>
      <c r="B59" s="803" t="s">
        <v>86</v>
      </c>
      <c r="C59" s="455"/>
      <c r="D59" s="456"/>
      <c r="E59" s="457"/>
      <c r="F59" s="458"/>
      <c r="G59" s="457"/>
      <c r="H59" s="459"/>
      <c r="I59" s="457"/>
      <c r="J59" s="460"/>
      <c r="K59" s="30"/>
      <c r="L59" s="461"/>
      <c r="M59" s="457"/>
      <c r="N59" s="456"/>
      <c r="O59" s="456"/>
      <c r="P59" s="460"/>
      <c r="Q59" s="196"/>
      <c r="R59" s="461"/>
      <c r="S59" s="457"/>
      <c r="T59" s="460"/>
      <c r="U59" s="196"/>
      <c r="V59" s="462"/>
      <c r="W59" s="463"/>
      <c r="X59" s="30"/>
      <c r="Y59" s="1554"/>
      <c r="Z59" s="1555"/>
      <c r="AA59" s="1555"/>
      <c r="AB59" s="1555"/>
      <c r="AC59" s="2254"/>
      <c r="AD59" s="2141"/>
      <c r="AE59" s="2274"/>
      <c r="AF59" s="2297"/>
      <c r="AG59" s="2286"/>
      <c r="AH59" s="1720"/>
    </row>
    <row r="60" spans="1:34">
      <c r="A60" s="1953" t="s">
        <v>473</v>
      </c>
      <c r="B60" s="804" t="s">
        <v>365</v>
      </c>
      <c r="C60" s="454">
        <v>614.10599999999999</v>
      </c>
      <c r="D60" s="19">
        <v>279.67099999999999</v>
      </c>
      <c r="E60" s="18">
        <v>28.116</v>
      </c>
      <c r="F60" s="18">
        <v>401.77699999999999</v>
      </c>
      <c r="G60" s="18">
        <v>79.376999999999995</v>
      </c>
      <c r="H60" s="19">
        <v>1.665</v>
      </c>
      <c r="I60" s="18">
        <v>51.82</v>
      </c>
      <c r="J60" s="96">
        <v>11.467000000000001</v>
      </c>
      <c r="K60" s="29"/>
      <c r="L60" s="99">
        <v>103.708</v>
      </c>
      <c r="M60" s="18">
        <v>132.80699999999999</v>
      </c>
      <c r="N60" s="19">
        <v>5.149</v>
      </c>
      <c r="O60" s="339">
        <v>48.787999999999997</v>
      </c>
      <c r="P60" s="338">
        <f>SUM(C60:O60)</f>
        <v>1758.451</v>
      </c>
      <c r="Q60" s="46"/>
      <c r="R60" s="99">
        <v>1.131</v>
      </c>
      <c r="S60" s="18">
        <v>0.51700000000000002</v>
      </c>
      <c r="T60" s="96">
        <v>170.11199999999999</v>
      </c>
      <c r="U60" s="47"/>
      <c r="V60" s="109">
        <v>91.733999999999995</v>
      </c>
      <c r="W60" s="373">
        <f t="shared" ref="W60:W66" si="15">SUM(R60:V60)</f>
        <v>263.49399999999997</v>
      </c>
      <c r="X60" s="53"/>
      <c r="Y60" s="920">
        <v>1598.4559999999999</v>
      </c>
      <c r="Z60" s="1531"/>
      <c r="AA60" s="1516"/>
      <c r="AB60" s="1517"/>
      <c r="AC60" s="2240"/>
      <c r="AD60" s="2141"/>
      <c r="AE60" s="2274"/>
      <c r="AF60" s="2297">
        <v>1494.9549999999999</v>
      </c>
      <c r="AG60" s="2286">
        <v>1263.2750000000001</v>
      </c>
      <c r="AH60" s="1720">
        <f>W60-V60-SUM(Motpart!Y22:Z22)</f>
        <v>103.49999999999999</v>
      </c>
    </row>
    <row r="61" spans="1:34">
      <c r="A61" s="1947" t="s">
        <v>474</v>
      </c>
      <c r="B61" s="805" t="s">
        <v>366</v>
      </c>
      <c r="C61" s="20">
        <v>1945.097</v>
      </c>
      <c r="D61" s="19">
        <v>890.42700000000002</v>
      </c>
      <c r="E61" s="18">
        <v>131.44999999999999</v>
      </c>
      <c r="F61" s="18">
        <v>2241.3850000000002</v>
      </c>
      <c r="G61" s="18">
        <v>287.32400000000001</v>
      </c>
      <c r="H61" s="19">
        <v>17.27</v>
      </c>
      <c r="I61" s="18">
        <v>142.333</v>
      </c>
      <c r="J61" s="96">
        <v>34.268000000000001</v>
      </c>
      <c r="K61" s="464"/>
      <c r="L61" s="99">
        <v>281.28800000000001</v>
      </c>
      <c r="M61" s="18">
        <v>450.351</v>
      </c>
      <c r="N61" s="19">
        <v>15.81</v>
      </c>
      <c r="O61" s="339">
        <v>149.94900000000001</v>
      </c>
      <c r="P61" s="338">
        <f>SUM(C61:O61)</f>
        <v>6586.9520000000002</v>
      </c>
      <c r="Q61" s="46"/>
      <c r="R61" s="100">
        <v>22.506</v>
      </c>
      <c r="S61" s="21">
        <v>1.5009999999999999</v>
      </c>
      <c r="T61" s="97">
        <v>3070.3960000000002</v>
      </c>
      <c r="U61" s="47"/>
      <c r="V61" s="110">
        <v>318.26100000000002</v>
      </c>
      <c r="W61" s="373">
        <f t="shared" si="15"/>
        <v>3412.6640000000002</v>
      </c>
      <c r="X61" s="53"/>
      <c r="Y61" s="920">
        <v>5833.0219999999999</v>
      </c>
      <c r="Z61" s="1515"/>
      <c r="AA61" s="1516"/>
      <c r="AB61" s="1517"/>
      <c r="AC61" s="2240"/>
      <c r="AD61" s="2141"/>
      <c r="AE61" s="2274"/>
      <c r="AF61" s="2297">
        <v>3174.2910000000002</v>
      </c>
      <c r="AG61" s="2286">
        <v>4010.0390000000002</v>
      </c>
      <c r="AH61" s="1720">
        <f>W61-V61-SUM(Motpart!Y23:Z23)</f>
        <v>2658.7300000000005</v>
      </c>
    </row>
    <row r="62" spans="1:34">
      <c r="A62" s="2308">
        <v>476</v>
      </c>
      <c r="B62" s="2310" t="s">
        <v>1190</v>
      </c>
      <c r="C62" s="20">
        <v>1484.1610000000001</v>
      </c>
      <c r="D62" s="19">
        <v>674.81</v>
      </c>
      <c r="E62" s="18">
        <v>56.746000000000002</v>
      </c>
      <c r="F62" s="18">
        <v>851.66399999999999</v>
      </c>
      <c r="G62" s="18">
        <v>127.41500000000001</v>
      </c>
      <c r="H62" s="19">
        <v>2.0739999999999998</v>
      </c>
      <c r="I62" s="18">
        <v>121.35599999999999</v>
      </c>
      <c r="J62" s="96">
        <v>17.393999999999998</v>
      </c>
      <c r="K62" s="464"/>
      <c r="L62" s="99">
        <v>206.14400000000001</v>
      </c>
      <c r="M62" s="18">
        <v>230.61699999999999</v>
      </c>
      <c r="N62" s="19">
        <v>12.528</v>
      </c>
      <c r="O62" s="339">
        <v>111.04300000000001</v>
      </c>
      <c r="P62" s="338">
        <f>SUM(C62:O62)</f>
        <v>3895.9520000000002</v>
      </c>
      <c r="Q62" s="46"/>
      <c r="R62" s="100">
        <v>1.0629999999999999</v>
      </c>
      <c r="S62" s="21">
        <v>0.47799999999999998</v>
      </c>
      <c r="T62" s="97">
        <v>687.93600000000004</v>
      </c>
      <c r="U62" s="47"/>
      <c r="V62" s="110">
        <v>182.351</v>
      </c>
      <c r="W62" s="373">
        <f>SUM(R62:V62)</f>
        <v>871.82800000000009</v>
      </c>
      <c r="X62" s="53"/>
      <c r="Y62" s="1398">
        <v>3625.703</v>
      </c>
      <c r="Z62" s="1515"/>
      <c r="AA62" s="1516"/>
      <c r="AB62" s="1517"/>
      <c r="AC62" s="2240"/>
      <c r="AD62" s="2141"/>
      <c r="AE62" s="2274"/>
      <c r="AF62" s="2297">
        <v>3024.1239999999998</v>
      </c>
      <c r="AG62" s="2286">
        <v>2859.8629999999998</v>
      </c>
      <c r="AH62" s="1720">
        <f>W62-V62-SUM(Motpart!Y24:Z24)</f>
        <v>601.58200000000011</v>
      </c>
    </row>
    <row r="63" spans="1:34" ht="13.5" customHeight="1">
      <c r="A63" s="1949"/>
      <c r="B63" s="2311" t="s">
        <v>18</v>
      </c>
      <c r="C63" s="438"/>
      <c r="D63" s="437"/>
      <c r="E63" s="435"/>
      <c r="F63" s="458"/>
      <c r="G63" s="435"/>
      <c r="H63" s="459"/>
      <c r="I63" s="435"/>
      <c r="J63" s="436"/>
      <c r="K63" s="464"/>
      <c r="L63" s="434"/>
      <c r="M63" s="435"/>
      <c r="N63" s="437"/>
      <c r="O63" s="437"/>
      <c r="P63" s="436"/>
      <c r="Q63" s="47"/>
      <c r="R63" s="434"/>
      <c r="S63" s="435"/>
      <c r="T63" s="436"/>
      <c r="U63" s="47"/>
      <c r="V63" s="432"/>
      <c r="W63" s="433"/>
      <c r="X63" s="29"/>
      <c r="Y63" s="900"/>
      <c r="Z63" s="1532"/>
      <c r="AA63" s="1519"/>
      <c r="AB63" s="1519"/>
      <c r="AC63" s="2241"/>
      <c r="AD63" s="2141"/>
      <c r="AE63" s="2274"/>
      <c r="AF63" s="2297"/>
      <c r="AG63" s="2286"/>
      <c r="AH63" s="1720"/>
    </row>
    <row r="64" spans="1:34">
      <c r="A64" s="1934" t="s">
        <v>242</v>
      </c>
      <c r="B64" s="794" t="s">
        <v>1187</v>
      </c>
      <c r="C64" s="18">
        <v>151.36000000000001</v>
      </c>
      <c r="D64" s="19">
        <v>68.936000000000007</v>
      </c>
      <c r="E64" s="18">
        <v>6.2309999999999999</v>
      </c>
      <c r="F64" s="18">
        <v>35.058</v>
      </c>
      <c r="G64" s="18">
        <v>11.992000000000001</v>
      </c>
      <c r="H64" s="19">
        <v>0.25900000000000001</v>
      </c>
      <c r="I64" s="18">
        <v>12.840999999999999</v>
      </c>
      <c r="J64" s="96">
        <v>1.8089999999999999</v>
      </c>
      <c r="K64" s="29"/>
      <c r="L64" s="99">
        <v>20.452000000000002</v>
      </c>
      <c r="M64" s="18">
        <v>16.167999999999999</v>
      </c>
      <c r="N64" s="19">
        <v>0.94799999999999995</v>
      </c>
      <c r="O64" s="339">
        <v>11.053000000000001</v>
      </c>
      <c r="P64" s="338">
        <f>SUM(C64:O64)</f>
        <v>337.10700000000008</v>
      </c>
      <c r="Q64" s="46"/>
      <c r="R64" s="99">
        <v>0.10199999999999999</v>
      </c>
      <c r="S64" s="18">
        <v>1.7000000000000001E-2</v>
      </c>
      <c r="T64" s="96">
        <v>42.945999999999998</v>
      </c>
      <c r="U64" s="47"/>
      <c r="V64" s="109">
        <v>8.5549999999999997</v>
      </c>
      <c r="W64" s="373">
        <f t="shared" si="15"/>
        <v>51.62</v>
      </c>
      <c r="X64" s="53"/>
      <c r="Y64" s="900">
        <v>312.57299999999998</v>
      </c>
      <c r="Z64" s="1518"/>
      <c r="AA64" s="1519"/>
      <c r="AB64" s="1519"/>
      <c r="AC64" s="2241"/>
      <c r="AD64" s="2141"/>
      <c r="AE64" s="2274"/>
      <c r="AF64" s="2297">
        <v>285.49</v>
      </c>
      <c r="AG64" s="2286">
        <v>293.23599999999999</v>
      </c>
      <c r="AH64" s="1720">
        <f>W64-V64-SUM(Motpart!Y25:Z25)</f>
        <v>27.083999999999996</v>
      </c>
    </row>
    <row r="65" spans="1:34">
      <c r="A65" s="1934" t="s">
        <v>243</v>
      </c>
      <c r="B65" s="794" t="s">
        <v>87</v>
      </c>
      <c r="C65" s="18">
        <v>446.90800000000002</v>
      </c>
      <c r="D65" s="19">
        <v>203.149</v>
      </c>
      <c r="E65" s="21">
        <v>44.741999999999997</v>
      </c>
      <c r="F65" s="21">
        <v>127.68600000000001</v>
      </c>
      <c r="G65" s="21">
        <v>223.01599999999999</v>
      </c>
      <c r="H65" s="22">
        <v>59.67</v>
      </c>
      <c r="I65" s="21">
        <v>56.811999999999998</v>
      </c>
      <c r="J65" s="97">
        <v>23.184999999999999</v>
      </c>
      <c r="K65" s="29"/>
      <c r="L65" s="100">
        <v>134.01499999999999</v>
      </c>
      <c r="M65" s="21">
        <v>52.926000000000002</v>
      </c>
      <c r="N65" s="19">
        <v>2.5979999999999999</v>
      </c>
      <c r="O65" s="339">
        <v>41.070999999999998</v>
      </c>
      <c r="P65" s="338">
        <f>SUM(C65:O65)</f>
        <v>1415.7779999999998</v>
      </c>
      <c r="Q65" s="46"/>
      <c r="R65" s="100">
        <v>6.516</v>
      </c>
      <c r="S65" s="21">
        <v>9.1679999999999993</v>
      </c>
      <c r="T65" s="97">
        <v>824.69799999999998</v>
      </c>
      <c r="U65" s="47"/>
      <c r="V65" s="110">
        <v>28.846</v>
      </c>
      <c r="W65" s="373">
        <f t="shared" si="15"/>
        <v>869.22799999999995</v>
      </c>
      <c r="X65" s="53"/>
      <c r="Y65" s="920">
        <v>1377.4480000000001</v>
      </c>
      <c r="Z65" s="1518"/>
      <c r="AA65" s="1519"/>
      <c r="AB65" s="1519"/>
      <c r="AC65" s="2241"/>
      <c r="AD65" s="2141"/>
      <c r="AE65" s="2274"/>
      <c r="AF65" s="2297">
        <v>546.55100000000004</v>
      </c>
      <c r="AG65" s="2286">
        <v>1199.577</v>
      </c>
      <c r="AH65" s="1720">
        <f>W65-V65-SUM(Motpart!Y26:Z26)</f>
        <v>830.89699999999993</v>
      </c>
    </row>
    <row r="66" spans="1:34">
      <c r="A66" s="1934" t="s">
        <v>244</v>
      </c>
      <c r="B66" s="802" t="s">
        <v>885</v>
      </c>
      <c r="C66" s="18">
        <v>135.02199999999999</v>
      </c>
      <c r="D66" s="19">
        <v>62.176000000000002</v>
      </c>
      <c r="E66" s="21">
        <v>8.7129999999999992</v>
      </c>
      <c r="F66" s="21">
        <v>11.099</v>
      </c>
      <c r="G66" s="21">
        <v>29.178000000000001</v>
      </c>
      <c r="H66" s="22">
        <v>1.544</v>
      </c>
      <c r="I66" s="21">
        <v>5.9</v>
      </c>
      <c r="J66" s="97">
        <v>3.11</v>
      </c>
      <c r="K66" s="29"/>
      <c r="L66" s="100">
        <v>10.538</v>
      </c>
      <c r="M66" s="21">
        <v>15.234</v>
      </c>
      <c r="N66" s="19">
        <v>1.032</v>
      </c>
      <c r="O66" s="339">
        <v>11.554</v>
      </c>
      <c r="P66" s="338">
        <f>SUM(C66:O66)</f>
        <v>295.09999999999991</v>
      </c>
      <c r="Q66" s="46"/>
      <c r="R66" s="100">
        <v>1.827</v>
      </c>
      <c r="S66" s="21">
        <v>0.621</v>
      </c>
      <c r="T66" s="97">
        <v>75.234999999999999</v>
      </c>
      <c r="U66" s="47"/>
      <c r="V66" s="110">
        <v>33.134999999999998</v>
      </c>
      <c r="W66" s="373">
        <f t="shared" si="15"/>
        <v>110.81799999999998</v>
      </c>
      <c r="X66" s="53"/>
      <c r="Y66" s="920">
        <v>260.58300000000003</v>
      </c>
      <c r="Z66" s="816" t="s">
        <v>93</v>
      </c>
      <c r="AA66" s="896"/>
      <c r="AB66" s="897"/>
      <c r="AC66" s="2245"/>
      <c r="AD66" s="2141"/>
      <c r="AE66" s="2274"/>
      <c r="AF66" s="2297">
        <v>184.28299999999999</v>
      </c>
      <c r="AG66" s="2286">
        <v>249.32300000000001</v>
      </c>
      <c r="AH66" s="1720">
        <f>W66-V66-SUM(Motpart!Y27:Z27)</f>
        <v>76.3</v>
      </c>
    </row>
    <row r="67" spans="1:34">
      <c r="A67" s="1934" t="s">
        <v>245</v>
      </c>
      <c r="B67" s="794" t="s">
        <v>19</v>
      </c>
      <c r="C67" s="334">
        <f t="shared" ref="C67:J67" si="16">SUM(C58,C60:C62,C64:C66)</f>
        <v>91047.719999999987</v>
      </c>
      <c r="D67" s="24">
        <f t="shared" si="16"/>
        <v>41936.353000000003</v>
      </c>
      <c r="E67" s="491">
        <f t="shared" si="16"/>
        <v>7415.2789999999995</v>
      </c>
      <c r="F67" s="334">
        <f t="shared" si="16"/>
        <v>58120.328000000001</v>
      </c>
      <c r="G67" s="334">
        <f t="shared" si="16"/>
        <v>15788.394000000004</v>
      </c>
      <c r="H67" s="334">
        <f t="shared" si="16"/>
        <v>410.63400000000001</v>
      </c>
      <c r="I67" s="334">
        <f t="shared" si="16"/>
        <v>7042.1319999999978</v>
      </c>
      <c r="J67" s="101">
        <f t="shared" si="16"/>
        <v>2675.0739999999996</v>
      </c>
      <c r="K67" s="141"/>
      <c r="L67" s="340">
        <f>SUM(L58,L60:L62,L64:L66)</f>
        <v>18503.37</v>
      </c>
      <c r="M67" s="334">
        <f>SUM(M58,M60:M62,M64:M66)</f>
        <v>35484.928</v>
      </c>
      <c r="N67" s="24">
        <f>SUM(N58,N60:N62,N64:N66)</f>
        <v>678.02499999999998</v>
      </c>
      <c r="O67" s="343">
        <f>SUM(O58,O60:O62,O64:O66)</f>
        <v>7738.6589999999978</v>
      </c>
      <c r="P67" s="101">
        <f>SUM(P58,P60:P62,P64:P66)</f>
        <v>286840.89599999995</v>
      </c>
      <c r="Q67" s="46"/>
      <c r="R67" s="340">
        <f>SUM(R58,R60:R62,R64:R66)</f>
        <v>118.58999999999999</v>
      </c>
      <c r="S67" s="334">
        <f>SUM(S58,S60:S62,S64:S66)</f>
        <v>69.273999999999987</v>
      </c>
      <c r="T67" s="101">
        <f>SUM(T58,T60:T62,T64:T66)</f>
        <v>34774.790999999997</v>
      </c>
      <c r="U67" s="46"/>
      <c r="V67" s="113">
        <f>SUM(V58,V60:V62,V64:V66)</f>
        <v>25191.876</v>
      </c>
      <c r="W67" s="114">
        <f>SUM(W58,W60:W62,W64:W66)</f>
        <v>60154.531000000003</v>
      </c>
      <c r="X67" s="53"/>
      <c r="Y67" s="900">
        <v>249547.73300000001</v>
      </c>
      <c r="Z67" s="903">
        <f>(P67-W67)*1000/invanare</f>
        <v>21410.3299958159</v>
      </c>
      <c r="AA67" s="904">
        <f>Y67*1000/invanare</f>
        <v>23569.566317928999</v>
      </c>
      <c r="AB67" s="904">
        <v>22485.648000000001</v>
      </c>
      <c r="AC67" s="2255">
        <f>IF(ISERROR((AA67-AB67)/AB67)," ",((AA67-AB67)/AB67))</f>
        <v>4.8204895759686249E-2</v>
      </c>
      <c r="AD67" s="2141"/>
      <c r="AE67" s="2278">
        <f>IF(ISERROR(F67/(AA67/1000*invanare)),"",(F67/(AA67/100000*invanare)))</f>
        <v>23.290264872893076</v>
      </c>
      <c r="AF67" s="2297">
        <v>226686.39499999999</v>
      </c>
      <c r="AG67" s="2286">
        <v>203118.08900000001</v>
      </c>
      <c r="AH67" s="1720">
        <f>W67-V67-SUM(Motpart!Y17:Z27)</f>
        <v>22861.334999999999</v>
      </c>
    </row>
    <row r="68" spans="1:34" ht="12.75" customHeight="1" thickBot="1">
      <c r="A68" s="1945" t="s">
        <v>246</v>
      </c>
      <c r="B68" s="799" t="s">
        <v>94</v>
      </c>
      <c r="C68" s="345">
        <f t="shared" ref="C68:J68" si="17">SUM(C51,C67)</f>
        <v>137767.125</v>
      </c>
      <c r="D68" s="346">
        <f t="shared" si="17"/>
        <v>63418.485000000001</v>
      </c>
      <c r="E68" s="345">
        <f t="shared" si="17"/>
        <v>9974.7839999999997</v>
      </c>
      <c r="F68" s="345">
        <f t="shared" si="17"/>
        <v>81268.474000000002</v>
      </c>
      <c r="G68" s="345">
        <f t="shared" si="17"/>
        <v>18545.349000000002</v>
      </c>
      <c r="H68" s="346">
        <f t="shared" si="17"/>
        <v>490.61</v>
      </c>
      <c r="I68" s="345">
        <f t="shared" si="17"/>
        <v>10505.509999999998</v>
      </c>
      <c r="J68" s="347">
        <f t="shared" si="17"/>
        <v>3571.6269999999995</v>
      </c>
      <c r="K68" s="141"/>
      <c r="L68" s="348">
        <f>SUM(L51,L67)</f>
        <v>27679.960999999999</v>
      </c>
      <c r="M68" s="345">
        <f>SUM(M51,M67)</f>
        <v>55357.839</v>
      </c>
      <c r="N68" s="346">
        <f>SUM(N51,N67)</f>
        <v>984.89699999999993</v>
      </c>
      <c r="O68" s="346">
        <f>SUM(O51,O67)</f>
        <v>11428.427999999998</v>
      </c>
      <c r="P68" s="347">
        <f>SUM(P51,P67)</f>
        <v>420993.08899999992</v>
      </c>
      <c r="Q68" s="46"/>
      <c r="R68" s="348">
        <f>SUM(R51,R67)</f>
        <v>9765.5590000000011</v>
      </c>
      <c r="S68" s="345">
        <f>SUM(S51,S67)</f>
        <v>90.47799999999998</v>
      </c>
      <c r="T68" s="347">
        <f>SUM(T51,T67)</f>
        <v>42863.684999999998</v>
      </c>
      <c r="U68" s="46"/>
      <c r="V68" s="375">
        <f>SUM(V51,V67)</f>
        <v>39033.815999999999</v>
      </c>
      <c r="W68" s="374">
        <f>SUM(W51,W67)</f>
        <v>91753.538</v>
      </c>
      <c r="X68" s="53"/>
      <c r="Y68" s="927">
        <v>369224.59700000001</v>
      </c>
      <c r="Z68" s="905"/>
      <c r="AA68" s="906"/>
      <c r="AB68" s="907"/>
      <c r="AC68" s="2250"/>
      <c r="AD68" s="2141"/>
      <c r="AE68" s="2276">
        <f>IF(ISERROR(F67/(AA67/1000*invanare)),"",(SUM(Motpart!D17:D27,Motpart!F17:F27)/(AA67/100000*invanare)))</f>
        <v>16.550329070711289</v>
      </c>
      <c r="AF68" s="2298">
        <v>329239.592</v>
      </c>
      <c r="AG68" s="2287">
        <v>300200.23300000001</v>
      </c>
      <c r="AH68" s="1722">
        <f>SUM(AH51,AH58,AH60:AH62,AH64:AH66)</f>
        <v>39985.001000000004</v>
      </c>
    </row>
    <row r="69" spans="1:34" ht="17.25" customHeight="1">
      <c r="A69" s="1949"/>
      <c r="B69" s="800" t="s">
        <v>95</v>
      </c>
      <c r="C69" s="465"/>
      <c r="D69" s="466"/>
      <c r="E69" s="467"/>
      <c r="F69" s="467"/>
      <c r="G69" s="467"/>
      <c r="H69" s="466"/>
      <c r="I69" s="467"/>
      <c r="J69" s="468"/>
      <c r="K69" s="36"/>
      <c r="L69" s="469"/>
      <c r="M69" s="467"/>
      <c r="N69" s="466"/>
      <c r="O69" s="466"/>
      <c r="P69" s="470"/>
      <c r="Q69" s="48"/>
      <c r="R69" s="469"/>
      <c r="S69" s="467"/>
      <c r="T69" s="468"/>
      <c r="U69" s="48"/>
      <c r="V69" s="471"/>
      <c r="W69" s="472"/>
      <c r="X69" s="36"/>
      <c r="Y69" s="1400"/>
      <c r="Z69" s="1542"/>
      <c r="AA69" s="1543"/>
      <c r="AB69" s="1544"/>
      <c r="AC69" s="2256"/>
      <c r="AD69" s="2141"/>
      <c r="AE69" s="2274"/>
      <c r="AF69" s="2299"/>
      <c r="AG69" s="2288"/>
      <c r="AH69" s="1721"/>
    </row>
    <row r="70" spans="1:34">
      <c r="A70" s="1934" t="s">
        <v>247</v>
      </c>
      <c r="B70" s="796" t="s">
        <v>96</v>
      </c>
      <c r="C70" s="18">
        <v>124.19799999999999</v>
      </c>
      <c r="D70" s="19">
        <v>68.849999999999994</v>
      </c>
      <c r="E70" s="18">
        <v>11.439</v>
      </c>
      <c r="F70" s="18">
        <v>62.993000000000002</v>
      </c>
      <c r="G70" s="18">
        <v>42.302999999999997</v>
      </c>
      <c r="H70" s="19">
        <v>5.6000000000000001E-2</v>
      </c>
      <c r="I70" s="18">
        <v>2.222</v>
      </c>
      <c r="J70" s="96">
        <v>0.79800000000000004</v>
      </c>
      <c r="K70" s="29"/>
      <c r="L70" s="99">
        <v>20.231999999999999</v>
      </c>
      <c r="M70" s="18">
        <v>166.03700000000001</v>
      </c>
      <c r="N70" s="19">
        <v>0</v>
      </c>
      <c r="O70" s="339">
        <v>6.726</v>
      </c>
      <c r="P70" s="338">
        <f>SUM(C70:O70)</f>
        <v>505.85400000000004</v>
      </c>
      <c r="Q70" s="46"/>
      <c r="R70" s="99">
        <v>16.986000000000001</v>
      </c>
      <c r="S70" s="18">
        <v>0.215</v>
      </c>
      <c r="T70" s="96">
        <v>37.621000000000002</v>
      </c>
      <c r="U70" s="47"/>
      <c r="V70" s="109">
        <v>170.54</v>
      </c>
      <c r="W70" s="373">
        <f>SUM(R70:V70)</f>
        <v>225.36199999999999</v>
      </c>
      <c r="X70" s="53"/>
      <c r="Y70" s="900">
        <v>321.62</v>
      </c>
      <c r="Z70" s="1545"/>
      <c r="AA70" s="1539"/>
      <c r="AB70" s="1539"/>
      <c r="AC70" s="2257"/>
      <c r="AD70" s="2141"/>
      <c r="AE70" s="2274"/>
      <c r="AF70" s="2297">
        <v>280.49200000000002</v>
      </c>
      <c r="AG70" s="2286">
        <v>272.26499999999999</v>
      </c>
      <c r="AH70" s="1720">
        <f>W70-V70-(IF(AND(Motpart!$Y$28="",Motpart!$Z$28=""),0,IF(AND(Motpart!$Y$28=0,Motpart!$Z$28=0),0,((T70/($T$70+$T$71))*(Motpart!$Y$28+Motpart!$Z$28)))))</f>
        <v>40.693899773021244</v>
      </c>
    </row>
    <row r="71" spans="1:34" ht="26.1" customHeight="1" thickBot="1">
      <c r="A71" s="1934" t="s">
        <v>248</v>
      </c>
      <c r="B71" s="1771" t="s">
        <v>982</v>
      </c>
      <c r="C71" s="21">
        <v>894.423</v>
      </c>
      <c r="D71" s="19">
        <v>496.58699999999999</v>
      </c>
      <c r="E71" s="21">
        <v>494.76900000000001</v>
      </c>
      <c r="F71" s="21">
        <v>347.589</v>
      </c>
      <c r="G71" s="21">
        <v>367.072</v>
      </c>
      <c r="H71" s="22">
        <v>1.1679999999999999</v>
      </c>
      <c r="I71" s="21">
        <v>15.868</v>
      </c>
      <c r="J71" s="97">
        <v>29.437999999999999</v>
      </c>
      <c r="K71" s="29"/>
      <c r="L71" s="100">
        <v>130.27099999999999</v>
      </c>
      <c r="M71" s="21">
        <v>210.42599999999999</v>
      </c>
      <c r="N71" s="19">
        <v>1.639</v>
      </c>
      <c r="O71" s="339">
        <v>58.948999999999998</v>
      </c>
      <c r="P71" s="338">
        <f>SUM(C71:O71)</f>
        <v>3048.1990000000005</v>
      </c>
      <c r="Q71" s="46"/>
      <c r="R71" s="100">
        <v>54.573999999999998</v>
      </c>
      <c r="S71" s="21">
        <v>3.6040000000000001</v>
      </c>
      <c r="T71" s="97">
        <v>243.02199999999999</v>
      </c>
      <c r="U71" s="47"/>
      <c r="V71" s="110">
        <v>161.16399999999999</v>
      </c>
      <c r="W71" s="908">
        <f>SUM(R71:V71)</f>
        <v>462.36399999999998</v>
      </c>
      <c r="X71" s="53"/>
      <c r="Y71" s="920">
        <v>2795.3359999999998</v>
      </c>
      <c r="Z71" s="1540"/>
      <c r="AA71" s="1541"/>
      <c r="AB71" s="1541"/>
      <c r="AC71" s="2258"/>
      <c r="AD71" s="2141"/>
      <c r="AE71" s="2274"/>
      <c r="AF71" s="2297">
        <v>2585.8359999999998</v>
      </c>
      <c r="AG71" s="2286">
        <v>2538.279</v>
      </c>
      <c r="AH71" s="1720">
        <f>W71-V71-(IF(AND(Motpart!$Y$28="",Motpart!$Z$28=""),0,IF(AND(Motpart!$Y$28=0,Motpart!$Z$28=0),0,((T71/($T$70+$T$71))*(Motpart!$Y$28+Motpart!$Z$28)))))</f>
        <v>209.93610022697874</v>
      </c>
    </row>
    <row r="72" spans="1:34" ht="36" customHeight="1" thickBot="1">
      <c r="A72" s="1954"/>
      <c r="B72" s="1546" t="s">
        <v>98</v>
      </c>
      <c r="C72" s="438"/>
      <c r="D72" s="437"/>
      <c r="E72" s="435"/>
      <c r="F72" s="435"/>
      <c r="G72" s="435"/>
      <c r="H72" s="437"/>
      <c r="I72" s="435"/>
      <c r="J72" s="436"/>
      <c r="K72" s="29"/>
      <c r="L72" s="434"/>
      <c r="M72" s="435"/>
      <c r="N72" s="437"/>
      <c r="O72" s="437"/>
      <c r="P72" s="436"/>
      <c r="Q72" s="47"/>
      <c r="R72" s="434"/>
      <c r="S72" s="435"/>
      <c r="T72" s="436"/>
      <c r="U72" s="47"/>
      <c r="V72" s="432"/>
      <c r="W72" s="433"/>
      <c r="X72" s="29"/>
      <c r="Y72" s="1535" t="s">
        <v>918</v>
      </c>
      <c r="Z72" s="2588"/>
      <c r="AA72" s="2586"/>
      <c r="AB72" s="2586"/>
      <c r="AC72" s="2587"/>
      <c r="AD72" s="2141"/>
      <c r="AE72" s="2279">
        <f>IF(ISERROR((F73+F74)/((AA73+AA74)/1000*invanare)),"",((F73+F74)/((AA73+AA74)/100000*invanare)))</f>
        <v>16.153214948676517</v>
      </c>
      <c r="AF72" s="2297"/>
      <c r="AG72" s="2286"/>
      <c r="AH72" s="1720"/>
    </row>
    <row r="73" spans="1:34">
      <c r="A73" s="1934" t="s">
        <v>425</v>
      </c>
      <c r="B73" s="802" t="s">
        <v>476</v>
      </c>
      <c r="C73" s="18">
        <v>70132.607000000004</v>
      </c>
      <c r="D73" s="19">
        <v>32196.662</v>
      </c>
      <c r="E73" s="18">
        <v>5492.9979999999996</v>
      </c>
      <c r="F73" s="18">
        <v>25738.143</v>
      </c>
      <c r="G73" s="18">
        <v>7334.2820000000002</v>
      </c>
      <c r="H73" s="19">
        <v>1228.479</v>
      </c>
      <c r="I73" s="18">
        <v>4647.9139999999998</v>
      </c>
      <c r="J73" s="96">
        <v>1477.59</v>
      </c>
      <c r="K73" s="29"/>
      <c r="L73" s="99">
        <v>7524.11</v>
      </c>
      <c r="M73" s="18">
        <v>21374.219000000001</v>
      </c>
      <c r="N73" s="19">
        <v>441.68799999999999</v>
      </c>
      <c r="O73" s="339">
        <v>5320.9589999999998</v>
      </c>
      <c r="P73" s="338">
        <f>SUM(C73:O73)</f>
        <v>182909.65099999998</v>
      </c>
      <c r="Q73" s="46"/>
      <c r="R73" s="1778">
        <v>7278.8159999999998</v>
      </c>
      <c r="S73" s="18">
        <v>4985.5209999999997</v>
      </c>
      <c r="T73" s="96">
        <v>12571.096</v>
      </c>
      <c r="U73" s="47"/>
      <c r="V73" s="109">
        <v>16258.683000000001</v>
      </c>
      <c r="W73" s="373">
        <f>SUM(R73:V73)</f>
        <v>41094.115999999995</v>
      </c>
      <c r="X73" s="53"/>
      <c r="Y73" s="900">
        <v>166079.12</v>
      </c>
      <c r="Z73" s="903">
        <f>(P73-W73)*1000/invanare</f>
        <v>13394.353925447522</v>
      </c>
      <c r="AA73" s="904">
        <f>Y73*1000/invanare</f>
        <v>15686.028423521235</v>
      </c>
      <c r="AB73" s="918">
        <v>14946.638999999999</v>
      </c>
      <c r="AC73" s="2248">
        <f>IF(ISERROR((AA73-AB73)/AB73)," ",((AA73-AB73)/AB73))</f>
        <v>4.9468607860351455E-2</v>
      </c>
      <c r="AD73" s="2141"/>
      <c r="AE73" s="2278"/>
      <c r="AF73" s="2297">
        <v>141815.533</v>
      </c>
      <c r="AG73" s="2286">
        <v>139684.34299999999</v>
      </c>
      <c r="AH73" s="1720">
        <f>W73-V73-SUM(Motpart!Y29:Z29)</f>
        <v>24263.587999999992</v>
      </c>
    </row>
    <row r="74" spans="1:34" ht="18.75">
      <c r="A74" s="1934" t="s">
        <v>424</v>
      </c>
      <c r="B74" s="806" t="s">
        <v>360</v>
      </c>
      <c r="C74" s="18">
        <v>6695.9780000000001</v>
      </c>
      <c r="D74" s="19">
        <v>3062.0189999999998</v>
      </c>
      <c r="E74" s="18">
        <v>349.13400000000001</v>
      </c>
      <c r="F74" s="18">
        <v>3927.0239999999999</v>
      </c>
      <c r="G74" s="18">
        <v>753.46500000000003</v>
      </c>
      <c r="H74" s="19">
        <v>454.96199999999999</v>
      </c>
      <c r="I74" s="18">
        <v>480.33</v>
      </c>
      <c r="J74" s="96">
        <v>75.048000000000002</v>
      </c>
      <c r="K74" s="29"/>
      <c r="L74" s="99">
        <v>547.85</v>
      </c>
      <c r="M74" s="18">
        <v>1997.2249999999999</v>
      </c>
      <c r="N74" s="19">
        <v>53.289000000000001</v>
      </c>
      <c r="O74" s="339">
        <v>490.55500000000001</v>
      </c>
      <c r="P74" s="338">
        <f>SUM(C74:O74)</f>
        <v>18886.879000000001</v>
      </c>
      <c r="Q74" s="46"/>
      <c r="R74" s="1778">
        <v>387.64699999999999</v>
      </c>
      <c r="S74" s="18">
        <v>361.52800000000002</v>
      </c>
      <c r="T74" s="96">
        <v>1021.981</v>
      </c>
      <c r="U74" s="47"/>
      <c r="V74" s="109">
        <v>1270.674</v>
      </c>
      <c r="W74" s="373">
        <f>SUM(R74:V74)</f>
        <v>3041.83</v>
      </c>
      <c r="X74" s="53"/>
      <c r="Y74" s="900">
        <v>17569.565999999999</v>
      </c>
      <c r="Z74" s="903">
        <f>(P74-W74)*1000/invanare</f>
        <v>1496.5510955626855</v>
      </c>
      <c r="AA74" s="904">
        <f>Y74*1000/invanare</f>
        <v>1659.4302261773321</v>
      </c>
      <c r="AB74" s="918">
        <v>1639.2449999999999</v>
      </c>
      <c r="AC74" s="2248">
        <f>IF(ISERROR((AA74-AB74)/AB74)," ",((AA74-AB74)/AB74))</f>
        <v>1.2313733564739986E-2</v>
      </c>
      <c r="AD74" s="2141"/>
      <c r="AE74" s="2277">
        <f>(Y77-Y76)*1000/invanare</f>
        <v>24958.790238871294</v>
      </c>
      <c r="AF74" s="2297">
        <v>15845.050999999999</v>
      </c>
      <c r="AG74" s="2286">
        <v>13234.22</v>
      </c>
      <c r="AH74" s="1720">
        <f>W74-V74-SUM(Motpart!Y30:Z30)</f>
        <v>1724.5170000000001</v>
      </c>
    </row>
    <row r="75" spans="1:34">
      <c r="A75" s="1934" t="s">
        <v>249</v>
      </c>
      <c r="B75" s="802" t="s">
        <v>361</v>
      </c>
      <c r="C75" s="2313">
        <v>32133.767</v>
      </c>
      <c r="D75" s="19">
        <v>14664.83</v>
      </c>
      <c r="E75" s="21">
        <v>1270.6610000000001</v>
      </c>
      <c r="F75" s="2313">
        <v>16201.638999999999</v>
      </c>
      <c r="G75" s="21">
        <v>2197.402</v>
      </c>
      <c r="H75" s="22">
        <v>5281.1419999999998</v>
      </c>
      <c r="I75" s="21">
        <v>1858.53</v>
      </c>
      <c r="J75" s="97">
        <v>377.89800000000002</v>
      </c>
      <c r="K75" s="29"/>
      <c r="L75" s="100">
        <v>3163.116</v>
      </c>
      <c r="M75" s="2313">
        <v>6539.2749999999996</v>
      </c>
      <c r="N75" s="2324">
        <v>203.96700000000001</v>
      </c>
      <c r="O75" s="2326">
        <v>2155.2170000000001</v>
      </c>
      <c r="P75" s="338">
        <f>SUM(C75:O75)</f>
        <v>86047.443999999989</v>
      </c>
      <c r="Q75" s="46"/>
      <c r="R75" s="1776">
        <v>159.29499999999999</v>
      </c>
      <c r="S75" s="21">
        <v>1607.9739999999999</v>
      </c>
      <c r="T75" s="97">
        <v>7841.19</v>
      </c>
      <c r="U75" s="47"/>
      <c r="V75" s="2327">
        <v>5179.4390000000003</v>
      </c>
      <c r="W75" s="373">
        <f>SUM(R75:V75)</f>
        <v>14787.897999999999</v>
      </c>
      <c r="X75" s="53"/>
      <c r="Y75" s="900">
        <v>80607.745999999999</v>
      </c>
      <c r="Z75" s="903">
        <f>(P75-W75)*1000/invanare</f>
        <v>6730.402136061527</v>
      </c>
      <c r="AA75" s="904">
        <f>Y75*1000/invanare</f>
        <v>7613.3314947236004</v>
      </c>
      <c r="AB75" s="918">
        <v>7245.817</v>
      </c>
      <c r="AC75" s="2248">
        <f>IF(ISERROR((AA75-AB75)/AB75)," ",((AA75-AB75)/AB75))</f>
        <v>5.0720918665707451E-2</v>
      </c>
      <c r="AD75" s="2141"/>
      <c r="AE75" s="2274"/>
      <c r="AF75" s="2297">
        <v>71259.543999999994</v>
      </c>
      <c r="AG75" s="2286">
        <v>59385.222999999998</v>
      </c>
      <c r="AH75" s="1720">
        <f>W75-V75-SUM(Motpart!Y31:Z31)</f>
        <v>9348.2019999999993</v>
      </c>
    </row>
    <row r="76" spans="1:34">
      <c r="A76" s="1934" t="s">
        <v>250</v>
      </c>
      <c r="B76" s="794" t="s">
        <v>99</v>
      </c>
      <c r="C76" s="21">
        <v>136.221</v>
      </c>
      <c r="D76" s="19">
        <v>62.857999999999997</v>
      </c>
      <c r="E76" s="21">
        <v>2.6640000000000001</v>
      </c>
      <c r="F76" s="21">
        <v>2142.3879999999999</v>
      </c>
      <c r="G76" s="21">
        <v>520.34299999999996</v>
      </c>
      <c r="H76" s="22">
        <v>35.176000000000002</v>
      </c>
      <c r="I76" s="21">
        <v>1.738</v>
      </c>
      <c r="J76" s="97">
        <v>1.155</v>
      </c>
      <c r="K76" s="29"/>
      <c r="L76" s="100">
        <v>6.7709999999999999</v>
      </c>
      <c r="M76" s="21">
        <v>130.56299999999999</v>
      </c>
      <c r="N76" s="19">
        <v>8.6219999999999999</v>
      </c>
      <c r="O76" s="339">
        <v>23.550999999999998</v>
      </c>
      <c r="P76" s="338">
        <f>SUM(C76:O76)</f>
        <v>3072.0499999999997</v>
      </c>
      <c r="Q76" s="46"/>
      <c r="R76" s="1776">
        <v>122.959</v>
      </c>
      <c r="S76" s="21">
        <v>8.9999999999999993E-3</v>
      </c>
      <c r="T76" s="97">
        <v>69.945999999999998</v>
      </c>
      <c r="U76" s="47"/>
      <c r="V76" s="110">
        <v>117.81699999999999</v>
      </c>
      <c r="W76" s="373">
        <f>SUM(R76:V76)</f>
        <v>310.73099999999999</v>
      </c>
      <c r="X76" s="53"/>
      <c r="Y76" s="900">
        <v>2944.9110000000001</v>
      </c>
      <c r="Z76" s="903">
        <f>(P76-W76)*1000/invanare</f>
        <v>260.80417767392566</v>
      </c>
      <c r="AA76" s="904">
        <f>Y76*1000/invanare</f>
        <v>278.14428238023146</v>
      </c>
      <c r="AB76" s="921">
        <v>263.173</v>
      </c>
      <c r="AC76" s="2248">
        <f>IF(ISERROR((AA76-AB76)/AB76)," ",((AA76-AB76)/AB76))</f>
        <v>5.6887607696197773E-2</v>
      </c>
      <c r="AD76" s="2141"/>
      <c r="AE76" s="2277"/>
      <c r="AF76" s="2297">
        <v>2761.3180000000002</v>
      </c>
      <c r="AG76" s="2286">
        <v>776.66899999999998</v>
      </c>
      <c r="AH76" s="1720">
        <f>W76-V76-SUM(Motpart!Y32:Z32)</f>
        <v>183.59199999999998</v>
      </c>
    </row>
    <row r="77" spans="1:34">
      <c r="A77" s="1934" t="s">
        <v>487</v>
      </c>
      <c r="B77" s="794" t="s">
        <v>101</v>
      </c>
      <c r="C77" s="334">
        <f t="shared" ref="C77:J77" si="18">SUM(C73:C76)</f>
        <v>109098.57300000002</v>
      </c>
      <c r="D77" s="24">
        <f t="shared" si="18"/>
        <v>49986.368999999999</v>
      </c>
      <c r="E77" s="334">
        <f t="shared" si="18"/>
        <v>7115.4569999999994</v>
      </c>
      <c r="F77" s="334">
        <f t="shared" si="18"/>
        <v>48009.193999999996</v>
      </c>
      <c r="G77" s="334">
        <f t="shared" si="18"/>
        <v>10805.492000000002</v>
      </c>
      <c r="H77" s="24">
        <f t="shared" si="18"/>
        <v>6999.759</v>
      </c>
      <c r="I77" s="334">
        <f t="shared" si="18"/>
        <v>6988.5119999999997</v>
      </c>
      <c r="J77" s="101">
        <f t="shared" si="18"/>
        <v>1931.691</v>
      </c>
      <c r="K77" s="141"/>
      <c r="L77" s="340">
        <f>SUM(L73:L76)</f>
        <v>11241.847000000002</v>
      </c>
      <c r="M77" s="334">
        <f>SUM(M73:M76)</f>
        <v>30041.281999999996</v>
      </c>
      <c r="N77" s="24">
        <f>SUM(N73:N76)</f>
        <v>707.56599999999992</v>
      </c>
      <c r="O77" s="24">
        <f>SUM(O73:O76)</f>
        <v>7990.2820000000002</v>
      </c>
      <c r="P77" s="101">
        <f>SUM(P73:P76)</f>
        <v>290916.02399999992</v>
      </c>
      <c r="Q77" s="46"/>
      <c r="R77" s="340">
        <f>SUM(R73:R76)</f>
        <v>7948.7169999999996</v>
      </c>
      <c r="S77" s="334">
        <f>SUM(S73:S76)</f>
        <v>6955.0320000000002</v>
      </c>
      <c r="T77" s="101">
        <f>SUM(T73:T76)</f>
        <v>21504.213</v>
      </c>
      <c r="U77" s="46"/>
      <c r="V77" s="113">
        <f>SUM(V73:V76)</f>
        <v>22826.613000000001</v>
      </c>
      <c r="W77" s="114">
        <f>SUM(W73:W76)</f>
        <v>59234.574999999997</v>
      </c>
      <c r="X77" s="53"/>
      <c r="Y77" s="900">
        <v>267201.34399999998</v>
      </c>
      <c r="Z77" s="1557">
        <f>(P77-W77)*1000/invanare</f>
        <v>21882.111334745656</v>
      </c>
      <c r="AA77" s="921">
        <f>Y77*1000/invanare</f>
        <v>25236.934521251525</v>
      </c>
      <c r="AB77" s="1558">
        <v>24094.876</v>
      </c>
      <c r="AC77" s="2252">
        <f t="shared" ref="AC77:AC84" si="19">IF(ISERROR((AA77-AB77)/AB77)," ",((AA77-AB77)/AB77))</f>
        <v>4.7398397951976395E-2</v>
      </c>
      <c r="AD77" s="2141"/>
      <c r="AE77" s="2278">
        <f>IF(ISERROR(F77/(AA77/1000*invanare)),"",(F77/(AA77/100000*invanare)))</f>
        <v>17.967422349492374</v>
      </c>
      <c r="AF77" s="2297">
        <v>231681.45</v>
      </c>
      <c r="AG77" s="2286">
        <v>213080.45600000001</v>
      </c>
      <c r="AH77" s="1720">
        <f>W77-V77-SUM(Motpart!Y29:Z32)</f>
        <v>35519.898999999998</v>
      </c>
    </row>
    <row r="78" spans="1:34" ht="13.5" customHeight="1">
      <c r="A78" s="1954"/>
      <c r="B78" s="807" t="s">
        <v>102</v>
      </c>
      <c r="C78" s="438"/>
      <c r="D78" s="437"/>
      <c r="E78" s="435"/>
      <c r="F78" s="435"/>
      <c r="G78" s="435"/>
      <c r="H78" s="437"/>
      <c r="I78" s="435"/>
      <c r="J78" s="436"/>
      <c r="K78" s="29"/>
      <c r="L78" s="434"/>
      <c r="M78" s="435"/>
      <c r="N78" s="437"/>
      <c r="O78" s="437"/>
      <c r="P78" s="436"/>
      <c r="Q78" s="47"/>
      <c r="R78" s="434"/>
      <c r="S78" s="435"/>
      <c r="T78" s="436"/>
      <c r="U78" s="47"/>
      <c r="V78" s="432"/>
      <c r="W78" s="433"/>
      <c r="X78" s="29"/>
      <c r="Y78" s="1533"/>
      <c r="Z78" s="1559"/>
      <c r="AA78" s="1571"/>
      <c r="AB78" s="1571"/>
      <c r="AC78" s="2259" t="str">
        <f t="shared" si="19"/>
        <v xml:space="preserve"> </v>
      </c>
      <c r="AD78" s="2141"/>
      <c r="AE78" s="2274">
        <f>IF(ISERROR(F77/(AA77/1000*invanare)),"",(SUM(Motpart!D29:D32,Motpart!F29:F32)/(AA77/100000*invanare)))</f>
        <v>16.295697225235514</v>
      </c>
      <c r="AF78" s="2297"/>
      <c r="AG78" s="2286"/>
      <c r="AH78" s="1720"/>
    </row>
    <row r="79" spans="1:34">
      <c r="A79" s="1934" t="s">
        <v>429</v>
      </c>
      <c r="B79" s="808" t="s">
        <v>195</v>
      </c>
      <c r="C79" s="18">
        <v>2878.6759999999999</v>
      </c>
      <c r="D79" s="19">
        <v>1319.0709999999999</v>
      </c>
      <c r="E79" s="18">
        <v>136.69800000000001</v>
      </c>
      <c r="F79" s="18">
        <v>3191.6990000000001</v>
      </c>
      <c r="G79" s="18">
        <v>506.17200000000003</v>
      </c>
      <c r="H79" s="19">
        <v>142.03800000000001</v>
      </c>
      <c r="I79" s="18">
        <v>504.25400000000002</v>
      </c>
      <c r="J79" s="96">
        <v>29.966999999999999</v>
      </c>
      <c r="K79" s="29"/>
      <c r="L79" s="99">
        <v>423.49299999999999</v>
      </c>
      <c r="M79" s="18">
        <v>399.53500000000003</v>
      </c>
      <c r="N79" s="19">
        <v>16.867000000000001</v>
      </c>
      <c r="O79" s="339">
        <v>228.24100000000001</v>
      </c>
      <c r="P79" s="338">
        <f>SUM(C79:O79)</f>
        <v>9776.711000000003</v>
      </c>
      <c r="Q79" s="46"/>
      <c r="R79" s="99">
        <v>40.326999999999998</v>
      </c>
      <c r="S79" s="18">
        <v>326.95100000000002</v>
      </c>
      <c r="T79" s="96">
        <v>468.35599999999999</v>
      </c>
      <c r="U79" s="47"/>
      <c r="V79" s="109">
        <v>278.85700000000003</v>
      </c>
      <c r="W79" s="373">
        <f>SUM(R79:V79)</f>
        <v>1114.491</v>
      </c>
      <c r="X79" s="53"/>
      <c r="Y79" s="900">
        <v>9467.3889999999992</v>
      </c>
      <c r="Z79" s="903">
        <f t="shared" ref="Z79:Z84" si="20">(P79-W79)*1000/invanare</f>
        <v>818.13914434755054</v>
      </c>
      <c r="AA79" s="904">
        <f t="shared" ref="AA79:AA84" si="21">Y79*1000/invanare</f>
        <v>894.18665603799127</v>
      </c>
      <c r="AB79" s="904">
        <v>870.971</v>
      </c>
      <c r="AC79" s="2248">
        <f t="shared" si="19"/>
        <v>2.6654912778945872E-2</v>
      </c>
      <c r="AD79" s="2141"/>
      <c r="AE79" s="2277">
        <f>F85-F76-F71-F70</f>
        <v>60881.634999999995</v>
      </c>
      <c r="AF79" s="2297">
        <v>8662.2250000000004</v>
      </c>
      <c r="AG79" s="2286">
        <v>6164.12</v>
      </c>
      <c r="AH79" s="1720">
        <f>W79-V79-SUM(Motpart!Y33:Z33)</f>
        <v>805.16700000000003</v>
      </c>
    </row>
    <row r="80" spans="1:34">
      <c r="A80" s="1934" t="s">
        <v>428</v>
      </c>
      <c r="B80" s="808" t="s">
        <v>103</v>
      </c>
      <c r="C80" s="18">
        <v>12142.18</v>
      </c>
      <c r="D80" s="19">
        <v>5196.5360000000001</v>
      </c>
      <c r="E80" s="18">
        <v>185.751</v>
      </c>
      <c r="F80" s="18">
        <v>10489.955</v>
      </c>
      <c r="G80" s="18">
        <v>2716.895</v>
      </c>
      <c r="H80" s="19">
        <v>135.53200000000001</v>
      </c>
      <c r="I80" s="18">
        <v>376.60700000000003</v>
      </c>
      <c r="J80" s="96">
        <v>56.746000000000002</v>
      </c>
      <c r="K80" s="29"/>
      <c r="L80" s="99">
        <v>625.71100000000001</v>
      </c>
      <c r="M80" s="18">
        <v>1014.446</v>
      </c>
      <c r="N80" s="19">
        <v>80.198999999999998</v>
      </c>
      <c r="O80" s="339">
        <v>853.87</v>
      </c>
      <c r="P80" s="338">
        <f>SUM(C80:O80)</f>
        <v>33874.428</v>
      </c>
      <c r="Q80" s="46"/>
      <c r="R80" s="99">
        <v>72.638000000000005</v>
      </c>
      <c r="S80" s="18">
        <v>42.552</v>
      </c>
      <c r="T80" s="96">
        <v>1776.8510000000001</v>
      </c>
      <c r="U80" s="47"/>
      <c r="V80" s="109">
        <v>647.49800000000005</v>
      </c>
      <c r="W80" s="373">
        <f>SUM(R80:V80)</f>
        <v>2539.5390000000002</v>
      </c>
      <c r="X80" s="53"/>
      <c r="Y80" s="920">
        <v>33017.357000000004</v>
      </c>
      <c r="Z80" s="903">
        <f t="shared" si="20"/>
        <v>2959.5530100465544</v>
      </c>
      <c r="AA80" s="904">
        <f t="shared" si="21"/>
        <v>3118.4606491866521</v>
      </c>
      <c r="AB80" s="918">
        <v>2887.1840000000002</v>
      </c>
      <c r="AC80" s="2247">
        <f t="shared" si="19"/>
        <v>8.0104575664956532E-2</v>
      </c>
      <c r="AD80" s="2141"/>
      <c r="AE80" s="2277">
        <f>H85-H76-H71-H70</f>
        <v>18255.037</v>
      </c>
      <c r="AF80" s="2297">
        <v>31334.887999999999</v>
      </c>
      <c r="AG80" s="2286">
        <v>22601.444</v>
      </c>
      <c r="AH80" s="1720">
        <f>W80-V80-SUM(Motpart!Y35:Z35)</f>
        <v>1682.4670000000001</v>
      </c>
    </row>
    <row r="81" spans="1:34">
      <c r="A81" s="1934" t="s">
        <v>431</v>
      </c>
      <c r="B81" s="808" t="s">
        <v>164</v>
      </c>
      <c r="C81" s="18">
        <v>1069.0340000000001</v>
      </c>
      <c r="D81" s="19">
        <v>490.97300000000001</v>
      </c>
      <c r="E81" s="18">
        <v>39.343000000000004</v>
      </c>
      <c r="F81" s="18">
        <v>1073.2159999999999</v>
      </c>
      <c r="G81" s="18">
        <v>217.959</v>
      </c>
      <c r="H81" s="19">
        <v>318.06400000000002</v>
      </c>
      <c r="I81" s="18">
        <v>241.626</v>
      </c>
      <c r="J81" s="96">
        <v>16.126000000000001</v>
      </c>
      <c r="K81" s="29"/>
      <c r="L81" s="99">
        <v>239.941</v>
      </c>
      <c r="M81" s="18">
        <v>216.07599999999999</v>
      </c>
      <c r="N81" s="19">
        <v>9.0190000000000001</v>
      </c>
      <c r="O81" s="339">
        <v>90.081999999999994</v>
      </c>
      <c r="P81" s="338">
        <f>SUM(C81:O81)</f>
        <v>4021.4589999999994</v>
      </c>
      <c r="Q81" s="46"/>
      <c r="R81" s="99">
        <v>7.6040000000000001</v>
      </c>
      <c r="S81" s="18">
        <v>185.75200000000001</v>
      </c>
      <c r="T81" s="96">
        <v>384.98899999999998</v>
      </c>
      <c r="U81" s="47"/>
      <c r="V81" s="109">
        <v>125.31</v>
      </c>
      <c r="W81" s="373">
        <f>SUM(R81:V81)</f>
        <v>703.65499999999997</v>
      </c>
      <c r="X81" s="53"/>
      <c r="Y81" s="920">
        <v>3842.9250000000002</v>
      </c>
      <c r="Z81" s="903">
        <f t="shared" si="20"/>
        <v>313.36370187698748</v>
      </c>
      <c r="AA81" s="904">
        <f t="shared" si="21"/>
        <v>362.9609235613745</v>
      </c>
      <c r="AB81" s="918">
        <v>348.983</v>
      </c>
      <c r="AC81" s="2247">
        <f t="shared" si="19"/>
        <v>4.0053307930112629E-2</v>
      </c>
      <c r="AD81" s="2141"/>
      <c r="AE81" s="2274"/>
      <c r="AF81" s="2297">
        <v>3317.8040000000001</v>
      </c>
      <c r="AG81" s="2286">
        <v>2504.8690000000001</v>
      </c>
      <c r="AH81" s="1720">
        <f>W81-V81-IFO!G29</f>
        <v>525.12</v>
      </c>
    </row>
    <row r="82" spans="1:34">
      <c r="A82" s="1934" t="s">
        <v>430</v>
      </c>
      <c r="B82" s="808" t="s">
        <v>104</v>
      </c>
      <c r="C82" s="18">
        <v>2454.4650000000001</v>
      </c>
      <c r="D82" s="19">
        <v>1133.2360000000001</v>
      </c>
      <c r="E82" s="18">
        <v>39.915999999999997</v>
      </c>
      <c r="F82" s="18">
        <v>50.137</v>
      </c>
      <c r="G82" s="18">
        <v>389.57100000000003</v>
      </c>
      <c r="H82" s="19">
        <v>10690.323</v>
      </c>
      <c r="I82" s="18">
        <v>121.363</v>
      </c>
      <c r="J82" s="96">
        <v>20.625</v>
      </c>
      <c r="K82" s="29"/>
      <c r="L82" s="99">
        <v>144.11799999999999</v>
      </c>
      <c r="M82" s="18">
        <v>330.08699999999999</v>
      </c>
      <c r="N82" s="19">
        <v>24.337</v>
      </c>
      <c r="O82" s="339">
        <v>174.09299999999999</v>
      </c>
      <c r="P82" s="338">
        <f>SUM(C82:O82)</f>
        <v>15572.271000000001</v>
      </c>
      <c r="Q82" s="46"/>
      <c r="R82" s="99">
        <v>23.619</v>
      </c>
      <c r="S82" s="18">
        <v>31.494</v>
      </c>
      <c r="T82" s="96">
        <v>615.99800000000005</v>
      </c>
      <c r="U82" s="47"/>
      <c r="V82" s="109">
        <v>140.27199999999999</v>
      </c>
      <c r="W82" s="373">
        <f>SUM(R82:V82)</f>
        <v>811.38300000000004</v>
      </c>
      <c r="X82" s="53"/>
      <c r="Y82" s="920">
        <v>15406.333000000001</v>
      </c>
      <c r="Z82" s="903">
        <f t="shared" si="20"/>
        <v>1394.1530321476505</v>
      </c>
      <c r="AA82" s="904">
        <f t="shared" si="21"/>
        <v>1455.1147509707012</v>
      </c>
      <c r="AB82" s="918">
        <v>1378.1</v>
      </c>
      <c r="AC82" s="2247">
        <f t="shared" si="19"/>
        <v>5.5884733307235507E-2</v>
      </c>
      <c r="AD82" s="2141"/>
      <c r="AE82" s="2274"/>
      <c r="AF82" s="2297">
        <v>14760.885</v>
      </c>
      <c r="AG82" s="2286">
        <v>4691.5370000000003</v>
      </c>
      <c r="AH82" s="1720">
        <f>W82-V82-IFO!G30</f>
        <v>645.44700000000012</v>
      </c>
    </row>
    <row r="83" spans="1:34">
      <c r="A83" s="1934" t="s">
        <v>342</v>
      </c>
      <c r="B83" s="794" t="s">
        <v>105</v>
      </c>
      <c r="C83" s="334">
        <f>SUM(C79:C82)</f>
        <v>18544.355</v>
      </c>
      <c r="D83" s="24">
        <f t="shared" ref="D83:J83" si="22">SUM(D79:D82)</f>
        <v>8139.8159999999998</v>
      </c>
      <c r="E83" s="341">
        <f t="shared" si="22"/>
        <v>401.70800000000003</v>
      </c>
      <c r="F83" s="334">
        <f t="shared" si="22"/>
        <v>14805.007000000001</v>
      </c>
      <c r="G83" s="334">
        <f t="shared" si="22"/>
        <v>3830.5969999999998</v>
      </c>
      <c r="H83" s="24">
        <f t="shared" si="22"/>
        <v>11285.957</v>
      </c>
      <c r="I83" s="491">
        <f t="shared" si="22"/>
        <v>1243.8500000000001</v>
      </c>
      <c r="J83" s="101">
        <f t="shared" si="22"/>
        <v>123.464</v>
      </c>
      <c r="K83" s="141"/>
      <c r="L83" s="340">
        <f>SUM(L79:L82)</f>
        <v>1433.2629999999999</v>
      </c>
      <c r="M83" s="334">
        <f>SUM(M79:M82)</f>
        <v>1960.144</v>
      </c>
      <c r="N83" s="24">
        <f>SUM(N79:N82)</f>
        <v>130.422</v>
      </c>
      <c r="O83" s="349">
        <f t="shared" ref="O83" si="23">IF(I$120=0,0,(SUM(C83:E83,G83,I83:M83)-V83)/(SUM(C$110:E$110,G$110,I$110:M$110)-V$110)*I$120)</f>
        <v>1358.8483555084583</v>
      </c>
      <c r="P83" s="338">
        <f>SUM(P79:P82)</f>
        <v>63244.869000000006</v>
      </c>
      <c r="Q83" s="46"/>
      <c r="R83" s="340">
        <f>SUM(R79:R82)</f>
        <v>144.18799999999999</v>
      </c>
      <c r="S83" s="334">
        <f>SUM(S79:S82)</f>
        <v>586.74900000000014</v>
      </c>
      <c r="T83" s="101">
        <f>SUM(T79:T82)</f>
        <v>3246.1940000000004</v>
      </c>
      <c r="U83" s="46"/>
      <c r="V83" s="113">
        <f>SUM(V79:V82)</f>
        <v>1191.9369999999999</v>
      </c>
      <c r="W83" s="373">
        <f>SUM(W79:W82)</f>
        <v>5169.0680000000002</v>
      </c>
      <c r="X83" s="53"/>
      <c r="Y83" s="922">
        <v>61734.023000000001</v>
      </c>
      <c r="Z83" s="903">
        <f>(P83+P84-W83-W84)*1000/invanare</f>
        <v>5600.1934318185904</v>
      </c>
      <c r="AA83" s="904">
        <f>SUM(Y83:Y84)*1000/invanare</f>
        <v>5950.9597448362301</v>
      </c>
      <c r="AB83" s="904">
        <v>5594.585</v>
      </c>
      <c r="AC83" s="2247">
        <f t="shared" si="19"/>
        <v>6.3699942861933478E-2</v>
      </c>
      <c r="AD83" s="2141"/>
      <c r="AE83" s="2278">
        <f>IF(ISERROR((F83+F84)/((F83+F84)/1000*invanare)),"",((F83+F84)/(AA83/100000*invanare)))</f>
        <v>23.830400465116313</v>
      </c>
      <c r="AF83" s="2297">
        <v>58075.822</v>
      </c>
      <c r="AG83" s="2286">
        <v>35961.99</v>
      </c>
      <c r="AH83" s="1720">
        <f>W83-V83-IFO!G31</f>
        <v>3658.2010000000005</v>
      </c>
    </row>
    <row r="84" spans="1:34">
      <c r="A84" s="1934" t="s">
        <v>437</v>
      </c>
      <c r="B84" s="794" t="s">
        <v>106</v>
      </c>
      <c r="C84" s="21">
        <v>637.47400000000005</v>
      </c>
      <c r="D84" s="19">
        <v>289.52300000000002</v>
      </c>
      <c r="E84" s="21">
        <v>8.1489999999999991</v>
      </c>
      <c r="F84" s="21">
        <v>209.822</v>
      </c>
      <c r="G84" s="21">
        <v>105.402</v>
      </c>
      <c r="H84" s="22">
        <v>4.4969999999999999</v>
      </c>
      <c r="I84" s="21">
        <v>22.221</v>
      </c>
      <c r="J84" s="97">
        <v>3.5950000000000002</v>
      </c>
      <c r="K84" s="28"/>
      <c r="L84" s="100">
        <v>37.31</v>
      </c>
      <c r="M84" s="21">
        <v>64.545000000000002</v>
      </c>
      <c r="N84" s="22">
        <v>3.8460000000000001</v>
      </c>
      <c r="O84" s="339">
        <v>43.738999999999997</v>
      </c>
      <c r="P84" s="338">
        <f>SUM(C84:O84)</f>
        <v>1430.1230000000003</v>
      </c>
      <c r="Q84" s="46"/>
      <c r="R84" s="100">
        <v>15.103999999999999</v>
      </c>
      <c r="S84" s="21">
        <v>0.81100000000000005</v>
      </c>
      <c r="T84" s="97">
        <v>152.76599999999999</v>
      </c>
      <c r="U84" s="197"/>
      <c r="V84" s="110">
        <v>44.018999999999998</v>
      </c>
      <c r="W84" s="373">
        <f>SUM(R84:V84)</f>
        <v>212.7</v>
      </c>
      <c r="X84" s="53"/>
      <c r="Y84" s="920">
        <v>1273.0129999999999</v>
      </c>
      <c r="Z84" s="903">
        <f t="shared" si="20"/>
        <v>114.9845433998476</v>
      </c>
      <c r="AA84" s="904">
        <f t="shared" si="21"/>
        <v>120.23497054603877</v>
      </c>
      <c r="AB84" s="918">
        <v>109.34699999999999</v>
      </c>
      <c r="AC84" s="2247">
        <f t="shared" si="19"/>
        <v>9.9572649876437144E-2</v>
      </c>
      <c r="AD84" s="2141"/>
      <c r="AE84" s="2274">
        <f>IF(ISERROR(F83+F84/(F83+F84/1000*invanare)),"",(SUM(Motpart!D33,Motpart!D35,Motpart!D37,Motpart!F33,Motpart!F35,Motpart!F37)/(AA83/100000*invanare)))</f>
        <v>20.018794408929189</v>
      </c>
      <c r="AF84" s="2297">
        <v>1217.424</v>
      </c>
      <c r="AG84" s="2286">
        <v>1171.7860000000001</v>
      </c>
      <c r="AH84" s="1720">
        <f>W84-V84-SUM(IFO!G33:G34)</f>
        <v>55.588999999999984</v>
      </c>
    </row>
    <row r="85" spans="1:34" ht="13.5" thickBot="1">
      <c r="A85" s="1945" t="s">
        <v>343</v>
      </c>
      <c r="B85" s="799" t="s">
        <v>107</v>
      </c>
      <c r="C85" s="345">
        <f t="shared" ref="C85:J85" si="24">SUM(C70:C71,C77,C83,C84)</f>
        <v>129299.02300000002</v>
      </c>
      <c r="D85" s="346">
        <f t="shared" si="24"/>
        <v>58981.144999999997</v>
      </c>
      <c r="E85" s="342">
        <f t="shared" si="24"/>
        <v>8031.521999999999</v>
      </c>
      <c r="F85" s="345">
        <f t="shared" si="24"/>
        <v>63434.604999999996</v>
      </c>
      <c r="G85" s="345">
        <f t="shared" si="24"/>
        <v>15150.866000000002</v>
      </c>
      <c r="H85" s="346">
        <f t="shared" si="24"/>
        <v>18291.437000000002</v>
      </c>
      <c r="I85" s="345">
        <f t="shared" si="24"/>
        <v>8272.6729999999989</v>
      </c>
      <c r="J85" s="347">
        <f t="shared" si="24"/>
        <v>2088.9859999999999</v>
      </c>
      <c r="K85" s="141"/>
      <c r="L85" s="348">
        <f>SUM(L70:L71,L77,L83,L84)</f>
        <v>12862.923000000001</v>
      </c>
      <c r="M85" s="345">
        <f>SUM(M70:M71,M77,M83,M84)</f>
        <v>32442.433999999994</v>
      </c>
      <c r="N85" s="346">
        <f>SUM(N70:N71,N77,N83,N84)</f>
        <v>843.47299999999996</v>
      </c>
      <c r="O85" s="346">
        <f>SUM(O70:O71,O77,O83,O84)</f>
        <v>9458.5443555084585</v>
      </c>
      <c r="P85" s="347">
        <f>SUM(P70:P71,P77,P83,P84)</f>
        <v>359145.06899999996</v>
      </c>
      <c r="Q85" s="46"/>
      <c r="R85" s="348">
        <f>SUM(R70:R71,R77,R83,R84)</f>
        <v>8179.5690000000004</v>
      </c>
      <c r="S85" s="345">
        <f>SUM(S70:S71,S77,S83,S84)</f>
        <v>7546.4110000000001</v>
      </c>
      <c r="T85" s="347">
        <f>SUM(T70:T71,T77,T83,T84)</f>
        <v>25183.815999999999</v>
      </c>
      <c r="U85" s="46"/>
      <c r="V85" s="375">
        <f>SUM(V70:V71,V77,V83,V84)</f>
        <v>24394.273000000001</v>
      </c>
      <c r="W85" s="374">
        <f>SUM(W70:W71,W77,W83,W84)</f>
        <v>65304.068999999996</v>
      </c>
      <c r="X85" s="53"/>
      <c r="Y85" s="1401">
        <v>333325.33600000001</v>
      </c>
      <c r="Z85" s="905"/>
      <c r="AA85" s="906"/>
      <c r="AB85" s="907"/>
      <c r="AC85" s="2250"/>
      <c r="AD85" s="2141"/>
      <c r="AE85" s="2280">
        <f>IF(ISERROR((F83)/((F83)/1000*invanare)),"",SUM(AA77,AA83)*100/AA90)</f>
        <v>39.636170126147519</v>
      </c>
      <c r="AF85" s="2298">
        <v>293841.02100000001</v>
      </c>
      <c r="AG85" s="2287">
        <v>253024.77600000001</v>
      </c>
      <c r="AH85" s="1722">
        <f>SUM(AH70,AH71,AH77,AH83,AH84)</f>
        <v>39484.318999999996</v>
      </c>
    </row>
    <row r="86" spans="1:34" ht="40.5" customHeight="1" thickBot="1">
      <c r="A86" s="1954"/>
      <c r="B86" s="803" t="s">
        <v>108</v>
      </c>
      <c r="C86" s="414"/>
      <c r="D86" s="413"/>
      <c r="E86" s="411"/>
      <c r="F86" s="411"/>
      <c r="G86" s="411"/>
      <c r="H86" s="413"/>
      <c r="I86" s="411"/>
      <c r="J86" s="412"/>
      <c r="K86" s="29"/>
      <c r="L86" s="410"/>
      <c r="M86" s="411"/>
      <c r="N86" s="413"/>
      <c r="O86" s="413"/>
      <c r="P86" s="412"/>
      <c r="Q86" s="47"/>
      <c r="R86" s="410"/>
      <c r="S86" s="411"/>
      <c r="T86" s="412"/>
      <c r="U86" s="47"/>
      <c r="V86" s="408"/>
      <c r="W86" s="409"/>
      <c r="X86" s="29"/>
      <c r="Y86" s="1535" t="s">
        <v>911</v>
      </c>
      <c r="Z86" s="2588"/>
      <c r="AA86" s="2586"/>
      <c r="AB86" s="2586"/>
      <c r="AC86" s="2587"/>
      <c r="AD86" s="2141"/>
      <c r="AE86" s="2281">
        <f>IF(ISERROR((F83)/((F83)/1000*invanare)),"",(F83/((AA83-AA84)/100000*invanare)))</f>
        <v>23.981924845558833</v>
      </c>
      <c r="AF86" s="2299"/>
      <c r="AG86" s="2288"/>
      <c r="AH86" s="1721"/>
    </row>
    <row r="87" spans="1:34">
      <c r="A87" s="1934" t="s">
        <v>251</v>
      </c>
      <c r="B87" s="796" t="s">
        <v>110</v>
      </c>
      <c r="C87" s="18">
        <v>914.56600000000003</v>
      </c>
      <c r="D87" s="19">
        <v>400.77600000000001</v>
      </c>
      <c r="E87" s="18">
        <v>61.328000000000003</v>
      </c>
      <c r="F87" s="18">
        <v>251.93</v>
      </c>
      <c r="G87" s="18">
        <v>243.99199999999999</v>
      </c>
      <c r="H87" s="19">
        <v>423.37900000000002</v>
      </c>
      <c r="I87" s="18">
        <v>652.41999999999996</v>
      </c>
      <c r="J87" s="96">
        <v>12.242000000000001</v>
      </c>
      <c r="K87" s="29"/>
      <c r="L87" s="99">
        <v>426.26600000000002</v>
      </c>
      <c r="M87" s="18">
        <v>226.68</v>
      </c>
      <c r="N87" s="19">
        <v>15.483000000000001</v>
      </c>
      <c r="O87" s="339">
        <v>110.006</v>
      </c>
      <c r="P87" s="338">
        <f>SUM(C87:O87)</f>
        <v>3739.0680000000002</v>
      </c>
      <c r="Q87" s="46"/>
      <c r="R87" s="99">
        <v>3.5430000000000001</v>
      </c>
      <c r="S87" s="18">
        <v>222.18</v>
      </c>
      <c r="T87" s="96">
        <v>3604.6280000000002</v>
      </c>
      <c r="U87" s="47"/>
      <c r="V87" s="109">
        <v>125.246</v>
      </c>
      <c r="W87" s="373">
        <f>SUM(R87:V87)</f>
        <v>3955.5970000000002</v>
      </c>
      <c r="X87" s="53"/>
      <c r="Y87" s="900">
        <v>3569.971</v>
      </c>
      <c r="Z87" s="903">
        <f>(P87-W87)*1000/invanare</f>
        <v>-20.450975706739232</v>
      </c>
      <c r="AA87" s="904">
        <f>Y87*1000/invanare</f>
        <v>337.18065568475151</v>
      </c>
      <c r="AB87" s="926">
        <v>387.12</v>
      </c>
      <c r="AC87" s="2248">
        <f>IF(ISERROR((AA87-AB87)/AB87)," ",((AA87-AB87)/AB87))</f>
        <v>-0.12900223268043109</v>
      </c>
      <c r="AD87" s="2141"/>
      <c r="AE87" s="2274"/>
      <c r="AF87" s="2297">
        <v>-216.529</v>
      </c>
      <c r="AG87" s="2286">
        <v>2938.5129999999999</v>
      </c>
      <c r="AH87" s="1720">
        <f>W87-V87-SUM(Motpart!Y38:Z38)</f>
        <v>3786.4960000000001</v>
      </c>
    </row>
    <row r="88" spans="1:34">
      <c r="A88" s="1934" t="s">
        <v>252</v>
      </c>
      <c r="B88" s="794" t="s">
        <v>111</v>
      </c>
      <c r="C88" s="21">
        <v>5485.8590000000004</v>
      </c>
      <c r="D88" s="19">
        <v>2518.9499999999998</v>
      </c>
      <c r="E88" s="21">
        <v>273.31599999999997</v>
      </c>
      <c r="F88" s="21">
        <v>187.82400000000001</v>
      </c>
      <c r="G88" s="21">
        <v>466.42500000000001</v>
      </c>
      <c r="H88" s="22">
        <v>175.08799999999999</v>
      </c>
      <c r="I88" s="21">
        <v>277.03399999999999</v>
      </c>
      <c r="J88" s="97">
        <v>40.073</v>
      </c>
      <c r="K88" s="29"/>
      <c r="L88" s="100">
        <v>308.31</v>
      </c>
      <c r="M88" s="21">
        <v>584.51199999999994</v>
      </c>
      <c r="N88" s="22">
        <v>35.395000000000003</v>
      </c>
      <c r="O88" s="339">
        <v>352.94600000000003</v>
      </c>
      <c r="P88" s="338">
        <f>SUM(C88:O88)</f>
        <v>10705.732</v>
      </c>
      <c r="Q88" s="46"/>
      <c r="R88" s="100">
        <v>17.738</v>
      </c>
      <c r="S88" s="21">
        <v>40.789000000000001</v>
      </c>
      <c r="T88" s="97">
        <v>3284.7420000000002</v>
      </c>
      <c r="U88" s="47"/>
      <c r="V88" s="110">
        <v>664.24900000000002</v>
      </c>
      <c r="W88" s="373">
        <f>SUM(R88:V88)</f>
        <v>4007.518</v>
      </c>
      <c r="X88" s="53"/>
      <c r="Y88" s="1533">
        <v>9982.6020000000008</v>
      </c>
      <c r="Z88" s="903">
        <f>(P88-W88)*1000/invanare</f>
        <v>632.64048599744422</v>
      </c>
      <c r="AA88" s="904">
        <f>Y88*1000/invanare</f>
        <v>942.84807574064655</v>
      </c>
      <c r="AB88" s="926">
        <v>920.61099999999999</v>
      </c>
      <c r="AC88" s="2248">
        <f>IF(ISERROR((AA88-AB88)/AB88)," ",((AA88-AB88)/AB88))</f>
        <v>2.4154692634181605E-2</v>
      </c>
      <c r="AD88" s="2141"/>
      <c r="AE88" s="2274"/>
      <c r="AF88" s="2297">
        <v>6698.2129999999997</v>
      </c>
      <c r="AG88" s="2286">
        <v>9678.5689999999995</v>
      </c>
      <c r="AH88" s="1720">
        <f>W88-V88-SUM(Motpart!Y39:Z39)</f>
        <v>3284.3900000000003</v>
      </c>
    </row>
    <row r="89" spans="1:34" ht="12.75" customHeight="1" thickBot="1">
      <c r="A89" s="1945" t="s">
        <v>253</v>
      </c>
      <c r="B89" s="799" t="s">
        <v>112</v>
      </c>
      <c r="C89" s="351">
        <f>SUM(C87:C88)</f>
        <v>6400.4250000000002</v>
      </c>
      <c r="D89" s="352">
        <f t="shared" ref="D89:P89" si="25">SUM(D87:D88)</f>
        <v>2919.7259999999997</v>
      </c>
      <c r="E89" s="351">
        <f t="shared" si="25"/>
        <v>334.64400000000001</v>
      </c>
      <c r="F89" s="351">
        <f t="shared" si="25"/>
        <v>439.75400000000002</v>
      </c>
      <c r="G89" s="351">
        <f t="shared" si="25"/>
        <v>710.41700000000003</v>
      </c>
      <c r="H89" s="352">
        <f t="shared" si="25"/>
        <v>598.46699999999998</v>
      </c>
      <c r="I89" s="351">
        <f t="shared" si="25"/>
        <v>929.45399999999995</v>
      </c>
      <c r="J89" s="353">
        <f t="shared" si="25"/>
        <v>52.314999999999998</v>
      </c>
      <c r="K89" s="142"/>
      <c r="L89" s="350">
        <f>SUM(L87:L88)</f>
        <v>734.57600000000002</v>
      </c>
      <c r="M89" s="351">
        <f t="shared" si="25"/>
        <v>811.19200000000001</v>
      </c>
      <c r="N89" s="352">
        <f t="shared" si="25"/>
        <v>50.878</v>
      </c>
      <c r="O89" s="352">
        <f t="shared" si="25"/>
        <v>462.952</v>
      </c>
      <c r="P89" s="353">
        <f t="shared" si="25"/>
        <v>14444.8</v>
      </c>
      <c r="Q89" s="49"/>
      <c r="R89" s="350">
        <f>SUM(R87:R88)</f>
        <v>21.280999999999999</v>
      </c>
      <c r="S89" s="351">
        <f>SUM(S87:S88)</f>
        <v>262.96899999999999</v>
      </c>
      <c r="T89" s="353">
        <f>SUM(T87:T88)</f>
        <v>6889.3700000000008</v>
      </c>
      <c r="U89" s="49"/>
      <c r="V89" s="377">
        <f>SUM(V87:V88)</f>
        <v>789.495</v>
      </c>
      <c r="W89" s="376">
        <f>SUM(W87:W88)</f>
        <v>7963.1149999999998</v>
      </c>
      <c r="X89" s="54"/>
      <c r="Y89" s="1533">
        <v>13552.573</v>
      </c>
      <c r="Z89" s="928">
        <f>(P89-W89)*1000/invanare</f>
        <v>612.1895102907049</v>
      </c>
      <c r="AA89" s="929">
        <f>Y89*1000/invanare</f>
        <v>1280.0287314253981</v>
      </c>
      <c r="AB89" s="901">
        <v>1307.731</v>
      </c>
      <c r="AC89" s="2260">
        <f>IF(ISERROR((AA89-AB89)/AB89)," ",((AA89-AB89)/AB89))</f>
        <v>-2.1183460952292125E-2</v>
      </c>
      <c r="AD89" s="2141"/>
      <c r="AE89" s="2274"/>
      <c r="AF89" s="2304">
        <v>6481.6869999999999</v>
      </c>
      <c r="AG89" s="2291">
        <v>12617.084999999999</v>
      </c>
      <c r="AH89" s="1725">
        <f>W89-V89-SUM(Motpart!Y38:Z39)</f>
        <v>7070.8859999999995</v>
      </c>
    </row>
    <row r="90" spans="1:34" ht="12.75" customHeight="1" thickBot="1">
      <c r="A90" s="1945" t="s">
        <v>254</v>
      </c>
      <c r="B90" s="799" t="s">
        <v>20</v>
      </c>
      <c r="C90" s="345">
        <f t="shared" ref="C90:J90" si="26">SUM(C17,C30,C43,C68,C85,C89)</f>
        <v>301783.391</v>
      </c>
      <c r="D90" s="346">
        <f t="shared" si="26"/>
        <v>138177.49899999998</v>
      </c>
      <c r="E90" s="345">
        <f t="shared" si="26"/>
        <v>28668.182999999997</v>
      </c>
      <c r="F90" s="345">
        <f t="shared" si="26"/>
        <v>159112.31599999996</v>
      </c>
      <c r="G90" s="345">
        <f t="shared" si="26"/>
        <v>46632.772000000004</v>
      </c>
      <c r="H90" s="346">
        <f t="shared" si="26"/>
        <v>28768.106000000003</v>
      </c>
      <c r="I90" s="345">
        <f t="shared" si="26"/>
        <v>23839.580999999998</v>
      </c>
      <c r="J90" s="347">
        <f t="shared" si="26"/>
        <v>20742.647999999997</v>
      </c>
      <c r="K90" s="141"/>
      <c r="L90" s="348">
        <f>SUM(L17,L30,L43,L68,L85,L89)</f>
        <v>52215.107000000004</v>
      </c>
      <c r="M90" s="345">
        <f>SUM(M17,M30,M43,M68,M85,M89)</f>
        <v>97235.28899999999</v>
      </c>
      <c r="N90" s="346">
        <f>SUM(N17,N30,N43,N68,N85,N89)</f>
        <v>2359.096</v>
      </c>
      <c r="O90" s="346">
        <f>SUM(O17,O30,O43,O68,O85,O89)</f>
        <v>25015.066355508457</v>
      </c>
      <c r="P90" s="347">
        <f>SUM(P17,P30,P43,P68,P85,P89)</f>
        <v>924536.49199999985</v>
      </c>
      <c r="Q90" s="46"/>
      <c r="R90" s="348">
        <f>SUM(R17,R30,R43,R68,R85,R89)</f>
        <v>28713.9</v>
      </c>
      <c r="S90" s="345">
        <f>SUM(S17,S30,S43,S68,S85,S89)</f>
        <v>8895.8109999999997</v>
      </c>
      <c r="T90" s="347">
        <f>SUM(T17,T30,T43,T68,T85,T89)</f>
        <v>87326.322999999989</v>
      </c>
      <c r="U90" s="46"/>
      <c r="V90" s="375">
        <f>SUM(V17,V30,V43,V68,V85,V89)</f>
        <v>73206.329999999987</v>
      </c>
      <c r="W90" s="374">
        <f>SUM(W17,W30,W43,W68,W85,W89)</f>
        <v>198142.36399999997</v>
      </c>
      <c r="X90" s="53"/>
      <c r="Y90" s="927">
        <v>836215.56700000004</v>
      </c>
      <c r="Z90" s="928">
        <f>(P90-W90)*1000/invanare</f>
        <v>68607.293550730043</v>
      </c>
      <c r="AA90" s="929">
        <f>SUM(AA17,AA30,AA37,AA42,AA51,AA67,AA77,AA83,AA89)</f>
        <v>78685.43849425418</v>
      </c>
      <c r="AB90" s="901">
        <v>74985.119999999995</v>
      </c>
      <c r="AC90" s="2260">
        <f>IF(ISERROR((AA90-AB90)/AB90)," ",((AA90-AB90)/AB90))</f>
        <v>4.9347370441684767E-2</v>
      </c>
      <c r="AD90" s="2141"/>
      <c r="AE90" s="2282">
        <f>IF(ISERROR(F90/(AA90/1000*invanare)),"",(F90/(AA90/100000*invanare)))</f>
        <v>19.098857594532713</v>
      </c>
      <c r="AF90" s="2305">
        <v>726394.255</v>
      </c>
      <c r="AG90" s="2292">
        <v>663449.86899999995</v>
      </c>
      <c r="AH90" s="1726">
        <f>SUM(AH17,AH30,AH43,AH51,AH67,AH85,AH89)</f>
        <v>109821.31299999999</v>
      </c>
    </row>
    <row r="91" spans="1:34" ht="38.25" customHeight="1" thickBot="1">
      <c r="A91" s="1949"/>
      <c r="B91" s="800" t="s">
        <v>113</v>
      </c>
      <c r="C91" s="418"/>
      <c r="D91" s="419"/>
      <c r="E91" s="420"/>
      <c r="F91" s="420"/>
      <c r="G91" s="420"/>
      <c r="H91" s="419"/>
      <c r="I91" s="420"/>
      <c r="J91" s="421"/>
      <c r="K91" s="29"/>
      <c r="L91" s="426"/>
      <c r="M91" s="420"/>
      <c r="N91" s="419"/>
      <c r="O91" s="419"/>
      <c r="P91" s="421"/>
      <c r="Q91" s="47"/>
      <c r="R91" s="426"/>
      <c r="S91" s="420"/>
      <c r="T91" s="421"/>
      <c r="U91" s="47"/>
      <c r="V91" s="428"/>
      <c r="W91" s="429"/>
      <c r="X91" s="29"/>
      <c r="Y91" s="1535" t="s">
        <v>914</v>
      </c>
      <c r="Z91" s="2588"/>
      <c r="AA91" s="2586"/>
      <c r="AB91" s="2586"/>
      <c r="AC91" s="2587"/>
      <c r="AD91" s="2141"/>
      <c r="AE91" s="2274">
        <f>IF(ISERROR(F90/(AA90/1000*invanare)),"",((SUM(Motpart!D42,Motpart!F42)-SUM(Motpart!D40,Motpart!D41,Motpart!F40,Motpart!F41))/(AA90/100000*invanare)))</f>
        <v>15.160623651699218</v>
      </c>
      <c r="AF91" s="2300"/>
      <c r="AG91" s="2289"/>
      <c r="AH91" s="1723"/>
    </row>
    <row r="92" spans="1:34">
      <c r="A92" s="1949"/>
      <c r="B92" s="800" t="s">
        <v>114</v>
      </c>
      <c r="C92" s="422"/>
      <c r="D92" s="423"/>
      <c r="E92" s="424"/>
      <c r="F92" s="424"/>
      <c r="G92" s="424"/>
      <c r="H92" s="423"/>
      <c r="I92" s="424"/>
      <c r="J92" s="425"/>
      <c r="K92" s="29"/>
      <c r="L92" s="427"/>
      <c r="M92" s="424"/>
      <c r="N92" s="423"/>
      <c r="O92" s="423"/>
      <c r="P92" s="425"/>
      <c r="Q92" s="47"/>
      <c r="R92" s="427"/>
      <c r="S92" s="424"/>
      <c r="T92" s="425"/>
      <c r="U92" s="47"/>
      <c r="V92" s="430"/>
      <c r="W92" s="431"/>
      <c r="X92" s="29"/>
      <c r="Y92" s="1398"/>
      <c r="Z92" s="896"/>
      <c r="AA92" s="896"/>
      <c r="AB92" s="897"/>
      <c r="AC92" s="2245"/>
      <c r="AD92" s="2141"/>
      <c r="AE92" s="2277">
        <f>(C113-C109+D113-D109)*1000/invanare</f>
        <v>45280.408322479561</v>
      </c>
      <c r="AF92" s="2303"/>
      <c r="AG92" s="2290"/>
      <c r="AH92" s="1724"/>
    </row>
    <row r="93" spans="1:34" s="497" customFormat="1">
      <c r="A93" s="1955" t="s">
        <v>255</v>
      </c>
      <c r="B93" s="809" t="s">
        <v>115</v>
      </c>
      <c r="C93" s="62">
        <v>134.845</v>
      </c>
      <c r="D93" s="1289">
        <v>89.543999999999997</v>
      </c>
      <c r="E93" s="62">
        <v>425.36200000000002</v>
      </c>
      <c r="F93" s="62">
        <v>34.787999999999997</v>
      </c>
      <c r="G93" s="62">
        <v>311.54500000000002</v>
      </c>
      <c r="H93" s="1289">
        <v>11.592000000000001</v>
      </c>
      <c r="I93" s="62">
        <v>211.19300000000001</v>
      </c>
      <c r="J93" s="95">
        <v>395.89499999999998</v>
      </c>
      <c r="K93" s="493"/>
      <c r="L93" s="404">
        <v>108.822</v>
      </c>
      <c r="M93" s="62">
        <v>140.26400000000001</v>
      </c>
      <c r="N93" s="1289">
        <v>1.1859999999999999</v>
      </c>
      <c r="O93" s="1290">
        <v>54.122999999999998</v>
      </c>
      <c r="P93" s="402">
        <f>SUM(C93:O93)</f>
        <v>1919.1590000000003</v>
      </c>
      <c r="Q93" s="494"/>
      <c r="R93" s="404">
        <v>21.484000000000002</v>
      </c>
      <c r="S93" s="62">
        <v>786.16800000000001</v>
      </c>
      <c r="T93" s="95">
        <v>2204.7730000000001</v>
      </c>
      <c r="U93" s="495"/>
      <c r="V93" s="1291">
        <v>341.39400000000001</v>
      </c>
      <c r="W93" s="1292">
        <f>SUM(R93:V93)</f>
        <v>3353.8190000000004</v>
      </c>
      <c r="X93" s="496"/>
      <c r="Y93" s="900">
        <v>1572.278</v>
      </c>
      <c r="Z93" s="930"/>
      <c r="AA93" s="931"/>
      <c r="AB93" s="931"/>
      <c r="AC93" s="2261"/>
      <c r="AD93" s="2141"/>
      <c r="AE93" s="2283">
        <f>IF(ISERROR(F90/(AA90/1000*invanare)),"",AE92*invanare/10/(P125-P109+J109))</f>
        <v>57.038024315104039</v>
      </c>
      <c r="AF93" s="2297">
        <v>-1434.662</v>
      </c>
      <c r="AG93" s="2286">
        <v>1531.385</v>
      </c>
      <c r="AH93" s="1720">
        <f>W93-V93-(IF(AND(Motpart!$Y$40="",Motpart!$Z$40=""),0,IF(AND(Motpart!$Y$40=0,Motpart!$Z$40=0),0,((T93/$T$109)*(Motpart!$Y$40+Motpart!$Z$40)))))</f>
        <v>2969.9959146367696</v>
      </c>
    </row>
    <row r="94" spans="1:34">
      <c r="A94" s="1934" t="s">
        <v>256</v>
      </c>
      <c r="B94" s="794" t="s">
        <v>21</v>
      </c>
      <c r="C94" s="21">
        <v>36.249000000000002</v>
      </c>
      <c r="D94" s="19">
        <v>16.033999999999999</v>
      </c>
      <c r="E94" s="21">
        <v>65.102000000000004</v>
      </c>
      <c r="F94" s="21">
        <v>24.661999999999999</v>
      </c>
      <c r="G94" s="21">
        <v>44.924999999999997</v>
      </c>
      <c r="H94" s="22">
        <v>0.19500000000000001</v>
      </c>
      <c r="I94" s="21">
        <v>2.9039999999999999</v>
      </c>
      <c r="J94" s="97">
        <v>455.40199999999999</v>
      </c>
      <c r="K94" s="29"/>
      <c r="L94" s="100">
        <v>4.0339999999999998</v>
      </c>
      <c r="M94" s="21">
        <v>26.145</v>
      </c>
      <c r="N94" s="22">
        <v>5.6000000000000001E-2</v>
      </c>
      <c r="O94" s="339">
        <v>18.09</v>
      </c>
      <c r="P94" s="338">
        <f>SUM(C94:O94)</f>
        <v>693.798</v>
      </c>
      <c r="Q94" s="46"/>
      <c r="R94" s="100">
        <v>162</v>
      </c>
      <c r="S94" s="21">
        <v>27.902000000000001</v>
      </c>
      <c r="T94" s="97">
        <v>440.76</v>
      </c>
      <c r="U94" s="47"/>
      <c r="V94" s="110">
        <v>9.5990000000000002</v>
      </c>
      <c r="W94" s="373">
        <f>SUM(R94:V94)</f>
        <v>640.26100000000008</v>
      </c>
      <c r="X94" s="53"/>
      <c r="Y94" s="900">
        <v>667.46900000000005</v>
      </c>
      <c r="Z94" s="923"/>
      <c r="AA94" s="924"/>
      <c r="AB94" s="925"/>
      <c r="AC94" s="2262"/>
      <c r="AD94" s="2141"/>
      <c r="AE94" s="2274"/>
      <c r="AF94" s="2297">
        <v>53.536999999999999</v>
      </c>
      <c r="AG94" s="2286">
        <v>659.34199999999998</v>
      </c>
      <c r="AH94" s="1720">
        <f>W94-V94-(IF(AND(Motpart!$Y$40="",Motpart!$Z$40=""),0,IF(AND(Motpart!$Y$40=0,Motpart!$Z$40=0),0,((T94/$T$109)*(Motpart!$Y$40+Motpart!$Z$40)))))</f>
        <v>622.17992784803812</v>
      </c>
    </row>
    <row r="95" spans="1:34">
      <c r="A95" s="1934" t="s">
        <v>257</v>
      </c>
      <c r="B95" s="794" t="s">
        <v>22</v>
      </c>
      <c r="C95" s="21">
        <v>276.95499999999998</v>
      </c>
      <c r="D95" s="19">
        <v>122.661</v>
      </c>
      <c r="E95" s="21">
        <v>315.37299999999999</v>
      </c>
      <c r="F95" s="21">
        <v>81.22</v>
      </c>
      <c r="G95" s="21">
        <v>411.91800000000001</v>
      </c>
      <c r="H95" s="22">
        <v>28.303999999999998</v>
      </c>
      <c r="I95" s="21">
        <v>63.92</v>
      </c>
      <c r="J95" s="97">
        <v>424.12099999999998</v>
      </c>
      <c r="K95" s="29"/>
      <c r="L95" s="100">
        <v>38.883000000000003</v>
      </c>
      <c r="M95" s="21">
        <v>152.91900000000001</v>
      </c>
      <c r="N95" s="22">
        <v>5.1310000000000002</v>
      </c>
      <c r="O95" s="339">
        <v>47.902999999999999</v>
      </c>
      <c r="P95" s="338">
        <f>SUM(C95:O95)</f>
        <v>1969.3080000000004</v>
      </c>
      <c r="Q95" s="46"/>
      <c r="R95" s="100">
        <v>210.76400000000001</v>
      </c>
      <c r="S95" s="21">
        <v>292.18099999999998</v>
      </c>
      <c r="T95" s="97">
        <v>1681.7950000000001</v>
      </c>
      <c r="U95" s="47"/>
      <c r="V95" s="110">
        <v>482.98500000000001</v>
      </c>
      <c r="W95" s="373">
        <f>SUM(R95:V95)</f>
        <v>2667.7250000000004</v>
      </c>
      <c r="X95" s="53"/>
      <c r="Y95" s="900">
        <v>1444.472</v>
      </c>
      <c r="Z95" s="923"/>
      <c r="AA95" s="924"/>
      <c r="AB95" s="925"/>
      <c r="AC95" s="2262"/>
      <c r="AD95" s="2141"/>
      <c r="AE95" s="2274"/>
      <c r="AF95" s="2297">
        <v>-698.41600000000005</v>
      </c>
      <c r="AG95" s="2286">
        <v>1376.8</v>
      </c>
      <c r="AH95" s="1720">
        <f>W95-V95-(IF(AND(Motpart!$Y$40="",Motpart!$Z$40=""),0,IF(AND(Motpart!$Y$40=0,Motpart!$Z$40=0),0,((T95/$T$109)*(Motpart!$Y$40+Motpart!$Z$40)))))</f>
        <v>2152.3752061557116</v>
      </c>
    </row>
    <row r="96" spans="1:34">
      <c r="A96" s="1934" t="s">
        <v>258</v>
      </c>
      <c r="B96" s="794" t="s">
        <v>23</v>
      </c>
      <c r="C96" s="21">
        <v>214.35499999999999</v>
      </c>
      <c r="D96" s="19">
        <v>112.73099999999999</v>
      </c>
      <c r="E96" s="21">
        <v>537.75900000000001</v>
      </c>
      <c r="F96" s="21">
        <v>6.2750000000000004</v>
      </c>
      <c r="G96" s="21">
        <v>366.108</v>
      </c>
      <c r="H96" s="22">
        <v>29.297000000000001</v>
      </c>
      <c r="I96" s="21">
        <v>480.589</v>
      </c>
      <c r="J96" s="97">
        <v>2540.4929999999999</v>
      </c>
      <c r="K96" s="29"/>
      <c r="L96" s="100">
        <v>72.445999999999998</v>
      </c>
      <c r="M96" s="21">
        <v>208.03399999999999</v>
      </c>
      <c r="N96" s="22">
        <v>1.9319999999999999</v>
      </c>
      <c r="O96" s="339">
        <v>216.37899999999999</v>
      </c>
      <c r="P96" s="338">
        <f>SUM(C96:O96)</f>
        <v>4786.3979999999992</v>
      </c>
      <c r="Q96" s="46"/>
      <c r="R96" s="100">
        <v>9.82</v>
      </c>
      <c r="S96" s="21">
        <v>641.06399999999996</v>
      </c>
      <c r="T96" s="97">
        <v>2788.096</v>
      </c>
      <c r="U96" s="47"/>
      <c r="V96" s="110">
        <v>304.43200000000002</v>
      </c>
      <c r="W96" s="373">
        <f>SUM(R96:V96)</f>
        <v>3743.4120000000003</v>
      </c>
      <c r="X96" s="53"/>
      <c r="Y96" s="900">
        <v>4460.8270000000002</v>
      </c>
      <c r="Z96" s="923"/>
      <c r="AA96" s="924"/>
      <c r="AB96" s="925"/>
      <c r="AC96" s="2262"/>
      <c r="AD96" s="2141"/>
      <c r="AE96" s="2274"/>
      <c r="AF96" s="2297">
        <v>1042.9860000000001</v>
      </c>
      <c r="AG96" s="2286">
        <v>4446.3940000000002</v>
      </c>
      <c r="AH96" s="1720">
        <f>W96-V96-(IF(AND(Motpart!$Y$40="",Motpart!$Z$40=""),0,IF(AND(Motpart!$Y$40=0,Motpart!$Z$40=0),0,((T96/$T$109)*(Motpart!$Y$40+Motpart!$Z$40)))))</f>
        <v>3385.325332065986</v>
      </c>
    </row>
    <row r="97" spans="1:34">
      <c r="A97" s="1934" t="s">
        <v>259</v>
      </c>
      <c r="B97" s="794" t="s">
        <v>24</v>
      </c>
      <c r="C97" s="334">
        <f>SUM(C93:C96)</f>
        <v>662.404</v>
      </c>
      <c r="D97" s="24">
        <f t="shared" ref="D97:P97" si="27">SUM(D93:D96)</f>
        <v>340.97</v>
      </c>
      <c r="E97" s="334">
        <f t="shared" si="27"/>
        <v>1343.596</v>
      </c>
      <c r="F97" s="334">
        <f t="shared" si="27"/>
        <v>146.94499999999999</v>
      </c>
      <c r="G97" s="334">
        <f t="shared" si="27"/>
        <v>1134.4960000000001</v>
      </c>
      <c r="H97" s="24">
        <f t="shared" si="27"/>
        <v>69.388000000000005</v>
      </c>
      <c r="I97" s="334">
        <f t="shared" si="27"/>
        <v>758.60599999999999</v>
      </c>
      <c r="J97" s="101">
        <f t="shared" si="27"/>
        <v>3815.9110000000001</v>
      </c>
      <c r="K97" s="141"/>
      <c r="L97" s="340">
        <f>SUM(L93:L96)</f>
        <v>224.185</v>
      </c>
      <c r="M97" s="334">
        <f t="shared" si="27"/>
        <v>527.36200000000008</v>
      </c>
      <c r="N97" s="24">
        <f t="shared" si="27"/>
        <v>8.3049999999999997</v>
      </c>
      <c r="O97" s="24">
        <f t="shared" si="27"/>
        <v>336.495</v>
      </c>
      <c r="P97" s="101">
        <f t="shared" si="27"/>
        <v>9368.6630000000005</v>
      </c>
      <c r="Q97" s="46"/>
      <c r="R97" s="340">
        <f>SUM(R93:R96)</f>
        <v>404.06800000000004</v>
      </c>
      <c r="S97" s="334">
        <f>SUM(S93:S96)</f>
        <v>1747.3150000000001</v>
      </c>
      <c r="T97" s="101">
        <f>SUM(T93:T96)</f>
        <v>7115.4240000000009</v>
      </c>
      <c r="U97" s="47"/>
      <c r="V97" s="113">
        <f>SUM(V93:V96)</f>
        <v>1138.4100000000001</v>
      </c>
      <c r="W97" s="114">
        <f>SUM(W93:W96)</f>
        <v>10405.217000000001</v>
      </c>
      <c r="X97" s="53"/>
      <c r="Y97" s="900">
        <v>8145.0540000000001</v>
      </c>
      <c r="Z97" s="923"/>
      <c r="AA97" s="924"/>
      <c r="AB97" s="925"/>
      <c r="AC97" s="2262"/>
      <c r="AD97" s="2141"/>
      <c r="AE97" s="2274"/>
      <c r="AF97" s="2297">
        <v>-1036.5440000000001</v>
      </c>
      <c r="AG97" s="2286">
        <v>8013.9319999999998</v>
      </c>
      <c r="AH97" s="1720">
        <f>SUM(AH93:AH96)</f>
        <v>9129.8763807065043</v>
      </c>
    </row>
    <row r="98" spans="1:34">
      <c r="A98" s="1954"/>
      <c r="B98" s="803" t="s">
        <v>116</v>
      </c>
      <c r="C98" s="438"/>
      <c r="D98" s="437"/>
      <c r="E98" s="435"/>
      <c r="F98" s="435"/>
      <c r="G98" s="435"/>
      <c r="H98" s="437"/>
      <c r="I98" s="435"/>
      <c r="J98" s="436"/>
      <c r="K98" s="29"/>
      <c r="L98" s="434"/>
      <c r="M98" s="435"/>
      <c r="N98" s="437"/>
      <c r="O98" s="437"/>
      <c r="P98" s="436"/>
      <c r="Q98" s="47"/>
      <c r="R98" s="434"/>
      <c r="S98" s="435"/>
      <c r="T98" s="436"/>
      <c r="U98" s="47"/>
      <c r="V98" s="432"/>
      <c r="W98" s="433"/>
      <c r="X98" s="29"/>
      <c r="Y98" s="900"/>
      <c r="Z98" s="923"/>
      <c r="AA98" s="924"/>
      <c r="AB98" s="925"/>
      <c r="AC98" s="2262"/>
      <c r="AD98" s="2141"/>
      <c r="AE98" s="2274"/>
      <c r="AF98" s="2297"/>
      <c r="AG98" s="2286"/>
      <c r="AH98" s="1720"/>
    </row>
    <row r="99" spans="1:34">
      <c r="A99" s="1934" t="s">
        <v>260</v>
      </c>
      <c r="B99" s="796" t="s">
        <v>117</v>
      </c>
      <c r="C99" s="18">
        <v>26.321999999999999</v>
      </c>
      <c r="D99" s="19">
        <v>12.305999999999999</v>
      </c>
      <c r="E99" s="18">
        <v>21.59</v>
      </c>
      <c r="F99" s="18">
        <v>11.629</v>
      </c>
      <c r="G99" s="18">
        <v>84.391000000000005</v>
      </c>
      <c r="H99" s="19">
        <v>187.393</v>
      </c>
      <c r="I99" s="18">
        <v>1.2999999999999999E-2</v>
      </c>
      <c r="J99" s="96">
        <v>32.927</v>
      </c>
      <c r="K99" s="29"/>
      <c r="L99" s="99">
        <v>1.6919999999999999</v>
      </c>
      <c r="M99" s="18">
        <v>2.4670000000000001</v>
      </c>
      <c r="N99" s="19">
        <v>0</v>
      </c>
      <c r="O99" s="339">
        <v>7.524</v>
      </c>
      <c r="P99" s="338">
        <f>SUM(C99:O99)</f>
        <v>388.25399999999996</v>
      </c>
      <c r="Q99" s="46"/>
      <c r="R99" s="99">
        <v>18.863</v>
      </c>
      <c r="S99" s="18">
        <v>5.9809999999999999</v>
      </c>
      <c r="T99" s="96">
        <v>119.764</v>
      </c>
      <c r="U99" s="47"/>
      <c r="V99" s="109">
        <v>1.903</v>
      </c>
      <c r="W99" s="373">
        <f>SUM(R99:V99)</f>
        <v>146.511</v>
      </c>
      <c r="X99" s="53"/>
      <c r="Y99" s="900">
        <v>384.92500000000001</v>
      </c>
      <c r="Z99" s="923"/>
      <c r="AA99" s="924"/>
      <c r="AB99" s="925"/>
      <c r="AC99" s="2262"/>
      <c r="AD99" s="2141"/>
      <c r="AE99" s="2274"/>
      <c r="AF99" s="2297">
        <v>241.74299999999999</v>
      </c>
      <c r="AG99" s="2286">
        <v>187.32900000000001</v>
      </c>
      <c r="AH99" s="1720">
        <f>W99-V99-(IF(AND(Motpart!$Y$40="",Motpart!$Z$40=""),0,IF(AND(Motpart!$Y$40=0,Motpart!$Z$40=0),0,((T99/$T$109)*(Motpart!$Y$40+Motpart!$Z$40)))))</f>
        <v>142.30323802248944</v>
      </c>
    </row>
    <row r="100" spans="1:34">
      <c r="A100" s="1934" t="s">
        <v>261</v>
      </c>
      <c r="B100" s="802" t="s">
        <v>798</v>
      </c>
      <c r="C100" s="21">
        <v>155.02099999999999</v>
      </c>
      <c r="D100" s="19">
        <v>76.024000000000001</v>
      </c>
      <c r="E100" s="21">
        <v>82.596000000000004</v>
      </c>
      <c r="F100" s="21">
        <v>1254.3019999999999</v>
      </c>
      <c r="G100" s="21">
        <v>343.161</v>
      </c>
      <c r="H100" s="22">
        <v>956.31500000000005</v>
      </c>
      <c r="I100" s="21">
        <v>34.076000000000001</v>
      </c>
      <c r="J100" s="97">
        <v>137.65700000000001</v>
      </c>
      <c r="K100" s="29"/>
      <c r="L100" s="100">
        <v>33.613</v>
      </c>
      <c r="M100" s="21">
        <v>75.831000000000003</v>
      </c>
      <c r="N100" s="22">
        <v>1.024</v>
      </c>
      <c r="O100" s="339">
        <v>29.140999999999998</v>
      </c>
      <c r="P100" s="338">
        <f>SUM(C100:O100)</f>
        <v>3178.761</v>
      </c>
      <c r="Q100" s="46"/>
      <c r="R100" s="1776">
        <v>71.484999999999999</v>
      </c>
      <c r="S100" s="21">
        <v>3.9390000000000001</v>
      </c>
      <c r="T100" s="97">
        <v>145.20699999999999</v>
      </c>
      <c r="U100" s="47"/>
      <c r="V100" s="110">
        <v>54.256</v>
      </c>
      <c r="W100" s="373">
        <f>SUM(R100:V100)</f>
        <v>274.887</v>
      </c>
      <c r="X100" s="53"/>
      <c r="Y100" s="900">
        <v>3124.0479999999998</v>
      </c>
      <c r="Z100" s="932"/>
      <c r="AA100" s="924"/>
      <c r="AB100" s="925"/>
      <c r="AC100" s="2262"/>
      <c r="AD100" s="2141"/>
      <c r="AE100" s="2277"/>
      <c r="AF100" s="2297">
        <v>2903.873</v>
      </c>
      <c r="AG100" s="2286">
        <v>913.88699999999994</v>
      </c>
      <c r="AH100" s="1720">
        <f>W100-V100-(IF(AND(Motpart!$Y$40="",Motpart!$Z$40=""),0,IF(AND(Motpart!$Y$40=0,Motpart!$Z$40=0),0,((T100/$T$109)*(Motpart!$Y$40+Motpart!$Z$40)))))</f>
        <v>217.83660792501604</v>
      </c>
    </row>
    <row r="101" spans="1:34">
      <c r="A101" s="1934" t="s">
        <v>262</v>
      </c>
      <c r="B101" s="794" t="s">
        <v>25</v>
      </c>
      <c r="C101" s="21">
        <v>18.045000000000002</v>
      </c>
      <c r="D101" s="19">
        <v>8.202</v>
      </c>
      <c r="E101" s="21">
        <v>3.3849999999999998</v>
      </c>
      <c r="F101" s="21">
        <v>108.803</v>
      </c>
      <c r="G101" s="21">
        <v>16.117000000000001</v>
      </c>
      <c r="H101" s="22">
        <v>19.14</v>
      </c>
      <c r="I101" s="21">
        <v>1.0840000000000001</v>
      </c>
      <c r="J101" s="97">
        <v>5.327</v>
      </c>
      <c r="K101" s="29"/>
      <c r="L101" s="100">
        <v>0.20599999999999999</v>
      </c>
      <c r="M101" s="21">
        <v>1.335</v>
      </c>
      <c r="N101" s="22">
        <v>0</v>
      </c>
      <c r="O101" s="339">
        <v>1.83</v>
      </c>
      <c r="P101" s="338">
        <f>SUM(C101:O101)</f>
        <v>183.47400000000002</v>
      </c>
      <c r="Q101" s="46"/>
      <c r="R101" s="100">
        <v>41.148000000000003</v>
      </c>
      <c r="S101" s="21">
        <v>0.14399999999999999</v>
      </c>
      <c r="T101" s="97">
        <v>75.069999999999993</v>
      </c>
      <c r="U101" s="47"/>
      <c r="V101" s="110">
        <v>6.3579999999999997</v>
      </c>
      <c r="W101" s="373">
        <f>SUM(R101:V101)</f>
        <v>122.72</v>
      </c>
      <c r="X101" s="53"/>
      <c r="Y101" s="900">
        <v>176.18600000000001</v>
      </c>
      <c r="Z101" s="923"/>
      <c r="AA101" s="924"/>
      <c r="AB101" s="925"/>
      <c r="AC101" s="2262"/>
      <c r="AD101" s="2141"/>
      <c r="AE101" s="2274"/>
      <c r="AF101" s="2297">
        <v>60.753999999999998</v>
      </c>
      <c r="AG101" s="2286">
        <v>49.173000000000002</v>
      </c>
      <c r="AH101" s="1720">
        <f>W101-V101-(IF(AND(Motpart!$Y$40="",Motpart!$Z$40=""),0,IF(AND(Motpart!$Y$40=0,Motpart!$Z$40=0),0,((T101/$T$109)*(Motpart!$Y$40+Motpart!$Z$40)))))</f>
        <v>114.91733815126649</v>
      </c>
    </row>
    <row r="102" spans="1:34">
      <c r="A102" s="1934" t="s">
        <v>263</v>
      </c>
      <c r="B102" s="794" t="s">
        <v>26</v>
      </c>
      <c r="C102" s="334">
        <f>SUM(C99:C101)</f>
        <v>199.38799999999998</v>
      </c>
      <c r="D102" s="24">
        <f t="shared" ref="D102:P102" si="28">SUM(D99:D101)</f>
        <v>96.531999999999996</v>
      </c>
      <c r="E102" s="334">
        <f t="shared" si="28"/>
        <v>107.57100000000001</v>
      </c>
      <c r="F102" s="334">
        <f t="shared" si="28"/>
        <v>1374.7339999999999</v>
      </c>
      <c r="G102" s="334">
        <f t="shared" si="28"/>
        <v>443.66900000000004</v>
      </c>
      <c r="H102" s="24">
        <f t="shared" si="28"/>
        <v>1162.8480000000002</v>
      </c>
      <c r="I102" s="334">
        <f t="shared" si="28"/>
        <v>35.173000000000002</v>
      </c>
      <c r="J102" s="101">
        <f t="shared" si="28"/>
        <v>175.911</v>
      </c>
      <c r="K102" s="141"/>
      <c r="L102" s="340">
        <f>SUM(L99:L101)</f>
        <v>35.511000000000003</v>
      </c>
      <c r="M102" s="334">
        <f t="shared" si="28"/>
        <v>79.632999999999996</v>
      </c>
      <c r="N102" s="24">
        <f t="shared" si="28"/>
        <v>1.024</v>
      </c>
      <c r="O102" s="24">
        <f t="shared" si="28"/>
        <v>38.494999999999997</v>
      </c>
      <c r="P102" s="101">
        <f t="shared" si="28"/>
        <v>3750.489</v>
      </c>
      <c r="Q102" s="46"/>
      <c r="R102" s="340">
        <f>SUM(R99:R101)</f>
        <v>131.49600000000001</v>
      </c>
      <c r="S102" s="334">
        <f>SUM(S99:S101)</f>
        <v>10.064</v>
      </c>
      <c r="T102" s="101">
        <f>SUM(T99:T101)</f>
        <v>340.041</v>
      </c>
      <c r="U102" s="46"/>
      <c r="V102" s="113">
        <f>SUM(V99:V101)</f>
        <v>62.516999999999996</v>
      </c>
      <c r="W102" s="114">
        <f>SUM(W99:W101)</f>
        <v>544.11800000000005</v>
      </c>
      <c r="X102" s="53"/>
      <c r="Y102" s="900">
        <v>3685.1640000000002</v>
      </c>
      <c r="Z102" s="923"/>
      <c r="AA102" s="924"/>
      <c r="AB102" s="925"/>
      <c r="AC102" s="2262"/>
      <c r="AD102" s="2141"/>
      <c r="AE102" s="2274"/>
      <c r="AF102" s="2297">
        <v>3206.375</v>
      </c>
      <c r="AG102" s="2286">
        <v>1150.394</v>
      </c>
      <c r="AH102" s="1720">
        <f>SUM(AH99:AH101)</f>
        <v>475.05718409877198</v>
      </c>
    </row>
    <row r="103" spans="1:34">
      <c r="A103" s="1954"/>
      <c r="B103" s="803" t="s">
        <v>118</v>
      </c>
      <c r="C103" s="438"/>
      <c r="D103" s="437"/>
      <c r="E103" s="435"/>
      <c r="F103" s="435"/>
      <c r="G103" s="435"/>
      <c r="H103" s="437"/>
      <c r="I103" s="435"/>
      <c r="J103" s="436"/>
      <c r="K103" s="29"/>
      <c r="L103" s="434"/>
      <c r="M103" s="435"/>
      <c r="N103" s="437"/>
      <c r="O103" s="437"/>
      <c r="P103" s="436"/>
      <c r="Q103" s="47"/>
      <c r="R103" s="434"/>
      <c r="S103" s="435"/>
      <c r="T103" s="436"/>
      <c r="U103" s="47"/>
      <c r="V103" s="432"/>
      <c r="W103" s="433"/>
      <c r="X103" s="29"/>
      <c r="Y103" s="900"/>
      <c r="Z103" s="895"/>
      <c r="AA103" s="1569"/>
      <c r="AB103" s="1570"/>
      <c r="AC103" s="2263"/>
      <c r="AD103" s="2141"/>
      <c r="AE103" s="2274"/>
      <c r="AF103" s="2297"/>
      <c r="AG103" s="2286"/>
      <c r="AH103" s="1720"/>
    </row>
    <row r="104" spans="1:34">
      <c r="A104" s="1934" t="s">
        <v>264</v>
      </c>
      <c r="B104" s="796" t="s">
        <v>119</v>
      </c>
      <c r="C104" s="18">
        <v>5.3410000000000002</v>
      </c>
      <c r="D104" s="19">
        <v>2.032</v>
      </c>
      <c r="E104" s="18">
        <v>153.214</v>
      </c>
      <c r="F104" s="18">
        <v>26.318000000000001</v>
      </c>
      <c r="G104" s="18">
        <v>49.564999999999998</v>
      </c>
      <c r="H104" s="19">
        <v>0.40100000000000002</v>
      </c>
      <c r="I104" s="18">
        <v>8.8999999999999996E-2</v>
      </c>
      <c r="J104" s="96">
        <v>98.484999999999999</v>
      </c>
      <c r="K104" s="29"/>
      <c r="L104" s="99">
        <v>0</v>
      </c>
      <c r="M104" s="18">
        <v>12.452</v>
      </c>
      <c r="N104" s="19">
        <v>0.124</v>
      </c>
      <c r="O104" s="339">
        <v>9.468</v>
      </c>
      <c r="P104" s="338">
        <f>SUM(C104:O104)</f>
        <v>357.48900000000003</v>
      </c>
      <c r="Q104" s="46"/>
      <c r="R104" s="1778">
        <v>31.158999999999999</v>
      </c>
      <c r="S104" s="18">
        <v>0</v>
      </c>
      <c r="T104" s="96">
        <v>687.10900000000004</v>
      </c>
      <c r="U104" s="47"/>
      <c r="V104" s="109">
        <v>17.463999999999999</v>
      </c>
      <c r="W104" s="373">
        <f>SUM(R104:V104)</f>
        <v>735.73199999999997</v>
      </c>
      <c r="X104" s="53"/>
      <c r="Y104" s="900">
        <v>337.31200000000001</v>
      </c>
      <c r="Z104" s="1532"/>
      <c r="AA104" s="1519"/>
      <c r="AB104" s="1519"/>
      <c r="AC104" s="2241"/>
      <c r="AD104" s="2141"/>
      <c r="AE104" s="2274"/>
      <c r="AF104" s="2297">
        <v>-378.24299999999999</v>
      </c>
      <c r="AG104" s="2286">
        <v>313.30700000000002</v>
      </c>
      <c r="AH104" s="1720">
        <f>W104-V104-(IF(AND(Motpart!$Y$40="",Motpart!$Z$40=""),0,IF(AND(Motpart!$Y$40=0,Motpart!$Z$40=0),0,((T104/$T$109)*(Motpart!$Y$40+Motpart!$Z$40)))))</f>
        <v>705.04513922710237</v>
      </c>
    </row>
    <row r="105" spans="1:34">
      <c r="A105" s="1934" t="s">
        <v>265</v>
      </c>
      <c r="B105" s="794" t="s">
        <v>27</v>
      </c>
      <c r="C105" s="21">
        <v>8.0220000000000002</v>
      </c>
      <c r="D105" s="19">
        <v>3.6970000000000001</v>
      </c>
      <c r="E105" s="21">
        <v>92.447999999999993</v>
      </c>
      <c r="F105" s="21">
        <v>0.17699999999999999</v>
      </c>
      <c r="G105" s="21">
        <v>14.635999999999999</v>
      </c>
      <c r="H105" s="22">
        <v>0</v>
      </c>
      <c r="I105" s="21">
        <v>2.8000000000000001E-2</v>
      </c>
      <c r="J105" s="97">
        <v>16.905000000000001</v>
      </c>
      <c r="K105" s="29"/>
      <c r="L105" s="100">
        <v>48.69</v>
      </c>
      <c r="M105" s="21">
        <v>27.96</v>
      </c>
      <c r="N105" s="22">
        <v>0.108</v>
      </c>
      <c r="O105" s="339">
        <v>6.891</v>
      </c>
      <c r="P105" s="338">
        <f>SUM(C105:O105)</f>
        <v>219.56200000000001</v>
      </c>
      <c r="Q105" s="46"/>
      <c r="R105" s="1776">
        <v>100.681</v>
      </c>
      <c r="S105" s="21">
        <v>0</v>
      </c>
      <c r="T105" s="97">
        <v>9.7959999999999994</v>
      </c>
      <c r="U105" s="47"/>
      <c r="V105" s="110">
        <v>50.073999999999998</v>
      </c>
      <c r="W105" s="373">
        <f>SUM(R105:V105)</f>
        <v>160.55099999999999</v>
      </c>
      <c r="X105" s="53"/>
      <c r="Y105" s="900">
        <v>169.48599999999999</v>
      </c>
      <c r="Z105" s="1518"/>
      <c r="AA105" s="1519"/>
      <c r="AB105" s="1519"/>
      <c r="AC105" s="2241"/>
      <c r="AD105" s="2141"/>
      <c r="AE105" s="2274"/>
      <c r="AF105" s="2297">
        <v>59.01</v>
      </c>
      <c r="AG105" s="2286">
        <v>169.31</v>
      </c>
      <c r="AH105" s="1720">
        <f>W105-V105-(IF(AND(Motpart!$Y$40="",Motpart!$Z$40=""),0,IF(AND(Motpart!$Y$40=0,Motpart!$Z$40=0),0,((T105/$T$109)*(Motpart!$Y$40+Motpart!$Z$40)))))</f>
        <v>110.2884838488052</v>
      </c>
    </row>
    <row r="106" spans="1:34">
      <c r="A106" s="1934" t="s">
        <v>266</v>
      </c>
      <c r="B106" s="794" t="s">
        <v>28</v>
      </c>
      <c r="C106" s="21">
        <v>1763.798</v>
      </c>
      <c r="D106" s="19">
        <v>805.01199999999994</v>
      </c>
      <c r="E106" s="21">
        <v>2968.6469999999999</v>
      </c>
      <c r="F106" s="21">
        <v>2281.0540000000001</v>
      </c>
      <c r="G106" s="21">
        <v>1711.597</v>
      </c>
      <c r="H106" s="22">
        <v>4.8559999999999999</v>
      </c>
      <c r="I106" s="21">
        <v>52.402000000000001</v>
      </c>
      <c r="J106" s="97">
        <v>4222.9260000000004</v>
      </c>
      <c r="K106" s="29"/>
      <c r="L106" s="100">
        <v>87.634</v>
      </c>
      <c r="M106" s="21">
        <v>1258.8119999999999</v>
      </c>
      <c r="N106" s="22">
        <v>6.5439999999999996</v>
      </c>
      <c r="O106" s="339">
        <v>495.80099999999999</v>
      </c>
      <c r="P106" s="338">
        <f>SUM(C106:O106)</f>
        <v>15659.083000000001</v>
      </c>
      <c r="Q106" s="46"/>
      <c r="R106" s="1776">
        <v>13296.579</v>
      </c>
      <c r="S106" s="21">
        <v>22.478999999999999</v>
      </c>
      <c r="T106" s="97">
        <v>719.27</v>
      </c>
      <c r="U106" s="47"/>
      <c r="V106" s="110">
        <v>1077.846</v>
      </c>
      <c r="W106" s="373">
        <f>SUM(R106:V106)</f>
        <v>15116.173999999999</v>
      </c>
      <c r="X106" s="53"/>
      <c r="Y106" s="900">
        <v>14501.696</v>
      </c>
      <c r="Z106" s="1518"/>
      <c r="AA106" s="1519"/>
      <c r="AB106" s="1519"/>
      <c r="AC106" s="2241"/>
      <c r="AD106" s="2141"/>
      <c r="AE106" s="2274"/>
      <c r="AF106" s="2297">
        <v>542.90599999999995</v>
      </c>
      <c r="AG106" s="2286">
        <v>12295.325999999999</v>
      </c>
      <c r="AH106" s="1720">
        <f>W106-V106-(IF(AND(Motpart!$Y$40="",Motpart!$Z$40=""),0,IF(AND(Motpart!$Y$40=0,Motpart!$Z$40=0),0,((T106/$T$109)*(Motpart!$Y$40+Motpart!$Z$40)))))</f>
        <v>14024.486226615978</v>
      </c>
    </row>
    <row r="107" spans="1:34">
      <c r="A107" s="1934" t="s">
        <v>267</v>
      </c>
      <c r="B107" s="794" t="s">
        <v>29</v>
      </c>
      <c r="C107" s="21">
        <v>643.39300000000003</v>
      </c>
      <c r="D107" s="19">
        <v>288.51600000000002</v>
      </c>
      <c r="E107" s="21">
        <v>452.08</v>
      </c>
      <c r="F107" s="21">
        <v>3523.6</v>
      </c>
      <c r="G107" s="21">
        <v>804.74900000000002</v>
      </c>
      <c r="H107" s="22">
        <v>31.623000000000001</v>
      </c>
      <c r="I107" s="21">
        <v>31.681999999999999</v>
      </c>
      <c r="J107" s="97">
        <v>346.04300000000001</v>
      </c>
      <c r="K107" s="29"/>
      <c r="L107" s="100">
        <v>33.234000000000002</v>
      </c>
      <c r="M107" s="21">
        <v>546.81200000000001</v>
      </c>
      <c r="N107" s="22">
        <v>4.4139999999999997</v>
      </c>
      <c r="O107" s="339">
        <v>113.261</v>
      </c>
      <c r="P107" s="338">
        <f>SUM(C107:O107)</f>
        <v>6819.4069999999992</v>
      </c>
      <c r="Q107" s="46"/>
      <c r="R107" s="1776">
        <v>4576.6059999999998</v>
      </c>
      <c r="S107" s="21">
        <v>4.3730000000000002</v>
      </c>
      <c r="T107" s="97">
        <v>1672.162</v>
      </c>
      <c r="U107" s="47"/>
      <c r="V107" s="110">
        <v>361.10199999999998</v>
      </c>
      <c r="W107" s="373">
        <f>SUM(R107:V107)</f>
        <v>6614.2429999999995</v>
      </c>
      <c r="X107" s="53"/>
      <c r="Y107" s="900">
        <v>6425.6689999999999</v>
      </c>
      <c r="Z107" s="1518"/>
      <c r="AA107" s="1519"/>
      <c r="AB107" s="1519"/>
      <c r="AC107" s="2241"/>
      <c r="AD107" s="2141"/>
      <c r="AE107" s="2274"/>
      <c r="AF107" s="2297">
        <v>205.167</v>
      </c>
      <c r="AG107" s="2286">
        <v>2903.0830000000001</v>
      </c>
      <c r="AH107" s="1720">
        <f>W107-V107-(IF(AND(Motpart!$Y$40="",Motpart!$Z$40=""),0,IF(AND(Motpart!$Y$40=0,Motpart!$Z$40=0),0,((T107/$T$109)*(Motpart!$Y$40+Motpart!$Z$40)))))</f>
        <v>6220.9615855028378</v>
      </c>
    </row>
    <row r="108" spans="1:34" ht="12.75" customHeight="1">
      <c r="A108" s="1934" t="s">
        <v>268</v>
      </c>
      <c r="B108" s="794" t="s">
        <v>120</v>
      </c>
      <c r="C108" s="334">
        <f>SUM(C104:C107)</f>
        <v>2420.5540000000001</v>
      </c>
      <c r="D108" s="24">
        <f t="shared" ref="D108:P108" si="29">SUM(D104:D107)</f>
        <v>1099.2570000000001</v>
      </c>
      <c r="E108" s="334">
        <f t="shared" si="29"/>
        <v>3666.3889999999997</v>
      </c>
      <c r="F108" s="334">
        <f t="shared" si="29"/>
        <v>5831.1489999999994</v>
      </c>
      <c r="G108" s="334">
        <f t="shared" si="29"/>
        <v>2580.547</v>
      </c>
      <c r="H108" s="24">
        <f t="shared" si="29"/>
        <v>36.880000000000003</v>
      </c>
      <c r="I108" s="334">
        <f t="shared" si="29"/>
        <v>84.200999999999993</v>
      </c>
      <c r="J108" s="101">
        <f t="shared" si="29"/>
        <v>4684.3590000000004</v>
      </c>
      <c r="K108" s="141"/>
      <c r="L108" s="340">
        <f>SUM(L104:L107)</f>
        <v>169.55800000000002</v>
      </c>
      <c r="M108" s="334">
        <f t="shared" si="29"/>
        <v>1846.0360000000001</v>
      </c>
      <c r="N108" s="24">
        <f t="shared" si="29"/>
        <v>11.19</v>
      </c>
      <c r="O108" s="24">
        <f t="shared" si="29"/>
        <v>625.42099999999994</v>
      </c>
      <c r="P108" s="101">
        <f t="shared" si="29"/>
        <v>23055.540999999997</v>
      </c>
      <c r="Q108" s="46"/>
      <c r="R108" s="340">
        <f>SUM(R104:R107)</f>
        <v>18005.025000000001</v>
      </c>
      <c r="S108" s="334">
        <f>SUM(S104:S107)</f>
        <v>26.852</v>
      </c>
      <c r="T108" s="101">
        <f>SUM(T104:T107)</f>
        <v>3088.3370000000004</v>
      </c>
      <c r="U108" s="46"/>
      <c r="V108" s="113">
        <f>SUM(V104:V107)</f>
        <v>1506.4859999999999</v>
      </c>
      <c r="W108" s="114">
        <f>SUM(W104:W107)</f>
        <v>22626.699999999997</v>
      </c>
      <c r="X108" s="53"/>
      <c r="Y108" s="900">
        <v>21434.157999999999</v>
      </c>
      <c r="Z108" s="1518"/>
      <c r="AA108" s="1519"/>
      <c r="AB108" s="1519"/>
      <c r="AC108" s="2241"/>
      <c r="AD108" s="2141"/>
      <c r="AE108" s="2274"/>
      <c r="AF108" s="2297">
        <v>428.83499999999998</v>
      </c>
      <c r="AG108" s="2286">
        <v>15681.019</v>
      </c>
      <c r="AH108" s="1720">
        <f>SUM(AH104:AH107)</f>
        <v>21060.781435194724</v>
      </c>
    </row>
    <row r="109" spans="1:34" ht="12.75" customHeight="1">
      <c r="A109" s="1934" t="s">
        <v>269</v>
      </c>
      <c r="B109" s="794" t="s">
        <v>30</v>
      </c>
      <c r="C109" s="334">
        <f>SUM(C97,C102,C108)</f>
        <v>3282.346</v>
      </c>
      <c r="D109" s="24">
        <f t="shared" ref="D109:P109" si="30">SUM(D97,D102,D108)</f>
        <v>1536.759</v>
      </c>
      <c r="E109" s="334">
        <f t="shared" si="30"/>
        <v>5117.5559999999996</v>
      </c>
      <c r="F109" s="334">
        <f t="shared" si="30"/>
        <v>7352.8279999999995</v>
      </c>
      <c r="G109" s="334">
        <f t="shared" si="30"/>
        <v>4158.7120000000004</v>
      </c>
      <c r="H109" s="24">
        <f t="shared" si="30"/>
        <v>1269.1160000000002</v>
      </c>
      <c r="I109" s="334">
        <f t="shared" si="30"/>
        <v>877.98</v>
      </c>
      <c r="J109" s="101">
        <f t="shared" si="30"/>
        <v>8676.1810000000005</v>
      </c>
      <c r="K109" s="141"/>
      <c r="L109" s="340">
        <f>SUM(L97,L102,L108)</f>
        <v>429.25400000000002</v>
      </c>
      <c r="M109" s="334">
        <f t="shared" si="30"/>
        <v>2453.0309999999999</v>
      </c>
      <c r="N109" s="24">
        <f t="shared" si="30"/>
        <v>20.518999999999998</v>
      </c>
      <c r="O109" s="24">
        <f t="shared" si="30"/>
        <v>1000.4109999999999</v>
      </c>
      <c r="P109" s="101">
        <f t="shared" si="30"/>
        <v>36174.692999999999</v>
      </c>
      <c r="Q109" s="46"/>
      <c r="R109" s="340">
        <f>SUM(R97,R102,R108)</f>
        <v>18540.589</v>
      </c>
      <c r="S109" s="334">
        <f>SUM(S97,S102,S108)</f>
        <v>1784.2310000000002</v>
      </c>
      <c r="T109" s="101">
        <f>SUM(T97,T102,T108)</f>
        <v>10543.802000000001</v>
      </c>
      <c r="U109" s="46"/>
      <c r="V109" s="113">
        <f>SUM(V97,V102,V108)</f>
        <v>2707.413</v>
      </c>
      <c r="W109" s="114">
        <f>SUM(W97,W102,W108)</f>
        <v>33576.034999999996</v>
      </c>
      <c r="X109" s="53"/>
      <c r="Y109" s="900">
        <v>33264.368000000002</v>
      </c>
      <c r="Z109" s="903">
        <f>(P109-W109)*1000/invanare</f>
        <v>245.44098771122401</v>
      </c>
      <c r="AA109" s="904">
        <f>Y109*1000/invanare</f>
        <v>3141.7906232792557</v>
      </c>
      <c r="AB109" s="918">
        <v>2757.32</v>
      </c>
      <c r="AC109" s="2248">
        <f>IF(ISERROR((AA109-AB109)/AB109)," ",((AA109-AB109)/AB109))</f>
        <v>0.13943634517548034</v>
      </c>
      <c r="AD109" s="2141"/>
      <c r="AE109" s="2278">
        <f>IF(ISERROR(F109/(AA109/1000*invanare)),"",(F109/(AA109/100000*invanare)))</f>
        <v>22.104216740266935</v>
      </c>
      <c r="AF109" s="2297">
        <v>2598.654</v>
      </c>
      <c r="AG109" s="2286">
        <v>24845.333999999999</v>
      </c>
      <c r="AH109" s="1720">
        <f>W109-V109-SUM(Motpart!Y40:Z40)</f>
        <v>30665.714999999997</v>
      </c>
    </row>
    <row r="110" spans="1:34" ht="12.75" customHeight="1" thickBot="1">
      <c r="A110" s="1945" t="s">
        <v>270</v>
      </c>
      <c r="B110" s="794" t="s">
        <v>121</v>
      </c>
      <c r="C110" s="334">
        <f>SUM(C90,C109)</f>
        <v>305065.73700000002</v>
      </c>
      <c r="D110" s="354">
        <f t="shared" ref="D110:P110" si="31">SUM(D90,D109)</f>
        <v>139714.25799999997</v>
      </c>
      <c r="E110" s="334">
        <f t="shared" si="31"/>
        <v>33785.738999999994</v>
      </c>
      <c r="F110" s="334">
        <f t="shared" si="31"/>
        <v>166465.14399999997</v>
      </c>
      <c r="G110" s="334">
        <f t="shared" si="31"/>
        <v>50791.484000000004</v>
      </c>
      <c r="H110" s="24">
        <f t="shared" si="31"/>
        <v>30037.222000000005</v>
      </c>
      <c r="I110" s="334">
        <f t="shared" si="31"/>
        <v>24717.560999999998</v>
      </c>
      <c r="J110" s="101">
        <f t="shared" si="31"/>
        <v>29418.828999999998</v>
      </c>
      <c r="K110" s="141"/>
      <c r="L110" s="340">
        <f>SUM(L90,L109)</f>
        <v>52644.361000000004</v>
      </c>
      <c r="M110" s="334">
        <f t="shared" si="31"/>
        <v>99688.319999999992</v>
      </c>
      <c r="N110" s="346">
        <f t="shared" si="31"/>
        <v>2379.6149999999998</v>
      </c>
      <c r="O110" s="346">
        <f t="shared" si="31"/>
        <v>26015.477355508458</v>
      </c>
      <c r="P110" s="101">
        <f t="shared" si="31"/>
        <v>960711.18499999982</v>
      </c>
      <c r="Q110" s="46"/>
      <c r="R110" s="340">
        <f>SUM(R90,R109)</f>
        <v>47254.489000000001</v>
      </c>
      <c r="S110" s="334">
        <f>SUM(S90,S109)</f>
        <v>10680.041999999999</v>
      </c>
      <c r="T110" s="101">
        <f>SUM(T90,T109)</f>
        <v>97870.124999999985</v>
      </c>
      <c r="U110" s="46"/>
      <c r="V110" s="113">
        <f>SUM(V90,V109)</f>
        <v>75913.742999999988</v>
      </c>
      <c r="W110" s="114">
        <f>SUM(W90,W109)</f>
        <v>231718.39899999998</v>
      </c>
      <c r="X110" s="53"/>
      <c r="Y110" s="922">
        <v>869479.93700000003</v>
      </c>
      <c r="Z110" s="928">
        <f>Z90+Z109</f>
        <v>68852.734538441262</v>
      </c>
      <c r="AA110" s="929">
        <f>AA90+AA109</f>
        <v>81827.229117533439</v>
      </c>
      <c r="AB110" s="929">
        <f>AB90+AB109</f>
        <v>77742.44</v>
      </c>
      <c r="AC110" s="2264"/>
      <c r="AD110" s="2141"/>
      <c r="AE110" s="2276">
        <f>IF(ISERROR(F109/(AA109/1000*invanare)),"",SUM(Motpart!D40,Motpart!F40)/(AA109/100000*invanare))</f>
        <v>12.744216273701635</v>
      </c>
      <c r="AF110" s="2306">
        <v>728992.90800000005</v>
      </c>
      <c r="AG110" s="2293">
        <v>688295.20200000005</v>
      </c>
      <c r="AH110" s="1727">
        <f>AH90+AH109</f>
        <v>140487.02799999999</v>
      </c>
    </row>
    <row r="111" spans="1:34">
      <c r="A111" s="1934" t="s">
        <v>271</v>
      </c>
      <c r="B111" s="810" t="s">
        <v>31</v>
      </c>
      <c r="C111" s="26">
        <v>3850.2919999999999</v>
      </c>
      <c r="D111" s="27">
        <v>1832.0239999999999</v>
      </c>
      <c r="E111" s="26">
        <v>10030.004999999999</v>
      </c>
      <c r="F111" s="26">
        <v>323.72300000000001</v>
      </c>
      <c r="G111" s="26">
        <v>6311.3689999999997</v>
      </c>
      <c r="H111" s="27">
        <v>7.9470000000000001</v>
      </c>
      <c r="I111" s="26">
        <v>13542.505999999999</v>
      </c>
      <c r="J111" s="98">
        <v>22055.703000000001</v>
      </c>
      <c r="K111" s="29"/>
      <c r="L111" s="102">
        <v>712.83699999999999</v>
      </c>
      <c r="M111" s="26">
        <v>4637.4489999999996</v>
      </c>
      <c r="N111" s="355">
        <v>0</v>
      </c>
      <c r="O111" s="356">
        <v>0</v>
      </c>
      <c r="P111" s="112">
        <f>SUM(C111:O111)</f>
        <v>63303.855000000003</v>
      </c>
      <c r="Q111" s="46"/>
      <c r="R111" s="102">
        <v>138.422</v>
      </c>
      <c r="S111" s="26">
        <v>4757.3710000000001</v>
      </c>
      <c r="T111" s="98">
        <v>1297.432</v>
      </c>
      <c r="U111" s="47"/>
      <c r="V111" s="111">
        <v>56733.36</v>
      </c>
      <c r="W111" s="112">
        <f>SUM(R111:V111)</f>
        <v>62926.584999999999</v>
      </c>
      <c r="X111" s="53"/>
      <c r="Y111" s="933"/>
      <c r="Z111" s="923"/>
      <c r="AA111" s="924"/>
      <c r="AB111" s="925"/>
      <c r="AC111" s="2262"/>
      <c r="AD111" s="2141"/>
      <c r="AE111" s="2271"/>
      <c r="AF111" s="2296"/>
      <c r="AG111" s="1486"/>
      <c r="AH111" s="1718"/>
    </row>
    <row r="112" spans="1:34" ht="13.5" thickBot="1">
      <c r="A112" s="1947" t="s">
        <v>272</v>
      </c>
      <c r="B112" s="794" t="s">
        <v>32</v>
      </c>
      <c r="C112" s="21">
        <v>23165.690999999999</v>
      </c>
      <c r="D112" s="19">
        <v>10606.934999999999</v>
      </c>
      <c r="E112" s="21">
        <v>6666.4719999999998</v>
      </c>
      <c r="F112" s="21">
        <v>754.51700000000005</v>
      </c>
      <c r="G112" s="21">
        <v>15656.565000000001</v>
      </c>
      <c r="H112" s="22">
        <v>516.79300000000001</v>
      </c>
      <c r="I112" s="21">
        <v>810.38900000000001</v>
      </c>
      <c r="J112" s="97">
        <v>3941.8609999999999</v>
      </c>
      <c r="K112" s="29"/>
      <c r="L112" s="100">
        <v>2142.828</v>
      </c>
      <c r="M112" s="21">
        <v>8155.9989999999998</v>
      </c>
      <c r="N112" s="357"/>
      <c r="O112" s="358"/>
      <c r="P112" s="359">
        <f>SUM(C112:O112)</f>
        <v>72418.05</v>
      </c>
      <c r="Q112" s="46"/>
      <c r="R112" s="103">
        <v>363.83100000000002</v>
      </c>
      <c r="S112" s="104">
        <v>154.744</v>
      </c>
      <c r="T112" s="105">
        <v>6750.7929999999997</v>
      </c>
      <c r="U112" s="47"/>
      <c r="V112" s="1780">
        <f>SUM(I118:I120)</f>
        <v>65148.682000000001</v>
      </c>
      <c r="W112" s="114">
        <f>SUM(R112:V112)</f>
        <v>72418.05</v>
      </c>
      <c r="X112" s="53"/>
      <c r="Y112" s="899"/>
      <c r="Z112" s="934"/>
      <c r="AA112" s="906"/>
      <c r="AB112" s="907"/>
      <c r="AC112" s="2250"/>
      <c r="AD112" s="2141"/>
      <c r="AE112" s="2271"/>
      <c r="AF112" s="2296"/>
      <c r="AG112" s="1486"/>
      <c r="AH112" s="1718"/>
    </row>
    <row r="113" spans="1:34" ht="12.75" customHeight="1" thickBot="1">
      <c r="A113" s="1946" t="s">
        <v>273</v>
      </c>
      <c r="B113" s="811" t="s">
        <v>33</v>
      </c>
      <c r="C113" s="363">
        <f>SUM(C110:C112)</f>
        <v>332081.72000000003</v>
      </c>
      <c r="D113" s="362">
        <f t="shared" ref="D113:W113" si="32">SUM(D110:D112)</f>
        <v>152153.21699999998</v>
      </c>
      <c r="E113" s="361">
        <f t="shared" si="32"/>
        <v>50482.215999999993</v>
      </c>
      <c r="F113" s="361">
        <f t="shared" si="32"/>
        <v>167543.38399999996</v>
      </c>
      <c r="G113" s="361">
        <f t="shared" si="32"/>
        <v>72759.418000000005</v>
      </c>
      <c r="H113" s="362">
        <f t="shared" si="32"/>
        <v>30561.962000000007</v>
      </c>
      <c r="I113" s="364">
        <f t="shared" si="32"/>
        <v>39070.455999999998</v>
      </c>
      <c r="J113" s="365">
        <f t="shared" si="32"/>
        <v>55416.392999999996</v>
      </c>
      <c r="K113" s="141"/>
      <c r="L113" s="360">
        <f>SUM(L110:L112)</f>
        <v>55500.026000000005</v>
      </c>
      <c r="M113" s="361">
        <f t="shared" si="32"/>
        <v>112481.76799999998</v>
      </c>
      <c r="N113" s="362">
        <f t="shared" si="32"/>
        <v>2379.6149999999998</v>
      </c>
      <c r="O113" s="362">
        <f>SUM(O110:O112)</f>
        <v>26015.477355508458</v>
      </c>
      <c r="P113" s="2523">
        <f>SUM(P110:P112)</f>
        <v>1096433.0899999999</v>
      </c>
      <c r="Q113" s="46"/>
      <c r="R113" s="363">
        <f t="shared" si="32"/>
        <v>47756.741999999998</v>
      </c>
      <c r="S113" s="361">
        <f t="shared" si="32"/>
        <v>15592.157000000001</v>
      </c>
      <c r="T113" s="362">
        <f t="shared" si="32"/>
        <v>105918.34999999999</v>
      </c>
      <c r="U113" s="108"/>
      <c r="V113" s="378">
        <f t="shared" si="32"/>
        <v>197795.785</v>
      </c>
      <c r="W113" s="2524">
        <f t="shared" si="32"/>
        <v>367063.03399999999</v>
      </c>
      <c r="X113" s="53"/>
      <c r="Y113" s="935"/>
      <c r="Z113" s="936"/>
      <c r="AA113" s="937"/>
      <c r="AB113" s="938"/>
      <c r="AC113" s="2265"/>
      <c r="AD113" s="2141"/>
      <c r="AE113" s="2284"/>
      <c r="AF113" s="2307"/>
      <c r="AG113" s="2294"/>
      <c r="AH113" s="1728"/>
    </row>
    <row r="114" spans="1:34">
      <c r="A114" s="1147"/>
      <c r="B114" s="1148"/>
      <c r="C114" s="1149"/>
      <c r="D114" s="1566"/>
      <c r="E114" s="12"/>
      <c r="F114" s="199"/>
      <c r="G114" s="28"/>
      <c r="H114" s="40"/>
      <c r="I114" s="2610" t="s">
        <v>519</v>
      </c>
      <c r="J114" s="2611"/>
      <c r="K114" s="2611"/>
      <c r="L114" s="2612"/>
      <c r="M114" s="366">
        <f>I118</f>
        <v>36766.042000000001</v>
      </c>
      <c r="N114" s="172"/>
      <c r="O114" s="30"/>
      <c r="P114" s="1849"/>
      <c r="Q114" s="196"/>
      <c r="R114" s="30"/>
      <c r="S114" s="30"/>
      <c r="T114" s="30"/>
      <c r="U114" s="196"/>
      <c r="V114" s="30"/>
      <c r="W114" s="30"/>
      <c r="X114" s="30"/>
      <c r="Y114" s="30"/>
      <c r="Z114" s="52"/>
      <c r="AA114" s="52"/>
      <c r="AB114" s="52"/>
      <c r="AC114" s="52"/>
      <c r="AD114" s="2141"/>
      <c r="AE114" s="384"/>
      <c r="AF114" s="164"/>
    </row>
    <row r="115" spans="1:34" ht="13.5" thickBot="1">
      <c r="A115" s="9"/>
      <c r="B115" s="39"/>
      <c r="C115" s="2141"/>
      <c r="D115" s="2141"/>
      <c r="E115" s="165"/>
      <c r="F115" s="165"/>
      <c r="G115" s="165"/>
      <c r="H115" s="30"/>
      <c r="I115" s="30"/>
      <c r="J115" s="32"/>
      <c r="K115" s="32"/>
      <c r="L115" s="201"/>
      <c r="M115" s="202"/>
      <c r="N115" s="202"/>
      <c r="O115" s="202"/>
      <c r="P115" s="2044" t="str">
        <f>IF(AND(L113&lt;&gt;0,P111=0),"Om interna lokalkostander finns, bör det även finnas kostnader för gemensamma lokaler. Stämmer uppgifterna?","")</f>
        <v/>
      </c>
      <c r="Q115" s="1438"/>
      <c r="R115" s="1439"/>
      <c r="S115" s="200"/>
      <c r="T115" s="30"/>
      <c r="U115" s="196"/>
      <c r="V115" s="30"/>
      <c r="W115" s="38"/>
      <c r="X115" s="1438"/>
      <c r="Y115" s="1439"/>
      <c r="Z115" s="178"/>
      <c r="AA115" s="178"/>
      <c r="AB115" s="5"/>
      <c r="AC115" s="10"/>
      <c r="AD115" s="2141"/>
      <c r="AE115" s="384"/>
      <c r="AF115" s="164"/>
    </row>
    <row r="116" spans="1:34" ht="16.5" thickBot="1">
      <c r="A116" s="2141"/>
      <c r="B116" s="2141"/>
      <c r="C116" s="2141"/>
      <c r="D116" s="2141"/>
      <c r="E116" s="34" t="s">
        <v>142</v>
      </c>
      <c r="F116" s="33"/>
      <c r="G116" s="30"/>
      <c r="H116" s="28"/>
      <c r="I116" s="28"/>
      <c r="J116" s="178"/>
      <c r="K116" s="178"/>
      <c r="L116" s="939">
        <v>960</v>
      </c>
      <c r="M116" s="952" t="s">
        <v>202</v>
      </c>
      <c r="N116" s="953"/>
      <c r="O116" s="953"/>
      <c r="P116" s="367">
        <f>-SUM(D113,J113)</f>
        <v>-207569.61</v>
      </c>
      <c r="Q116" s="1294"/>
      <c r="R116" s="1295"/>
      <c r="S116" s="939">
        <v>970</v>
      </c>
      <c r="T116" s="940" t="s">
        <v>143</v>
      </c>
      <c r="U116" s="941"/>
      <c r="V116" s="942"/>
      <c r="W116" s="367">
        <f>-V113</f>
        <v>-197795.785</v>
      </c>
      <c r="X116" s="1483"/>
      <c r="Y116" s="1243"/>
      <c r="AA116" s="1150"/>
      <c r="AB116" s="1150"/>
      <c r="AC116" s="1150"/>
      <c r="AD116" s="2141"/>
      <c r="AE116" s="384"/>
      <c r="AF116" s="164"/>
    </row>
    <row r="117" spans="1:34" ht="16.5" customHeight="1">
      <c r="A117" s="2141"/>
      <c r="B117" s="2141"/>
      <c r="C117" s="2141"/>
      <c r="D117" s="2141"/>
      <c r="E117" s="939">
        <v>922</v>
      </c>
      <c r="F117" s="953" t="s">
        <v>122</v>
      </c>
      <c r="G117" s="953"/>
      <c r="H117" s="953"/>
      <c r="I117" s="369">
        <f>P112-SUM(R112:T112)</f>
        <v>65148.682000000001</v>
      </c>
      <c r="J117" s="266"/>
      <c r="K117" s="178"/>
      <c r="L117" s="944">
        <v>965</v>
      </c>
      <c r="M117" s="954" t="s">
        <v>203</v>
      </c>
      <c r="N117" s="955"/>
      <c r="O117" s="956"/>
      <c r="P117" s="368">
        <f>-SUM(L113:O113)</f>
        <v>-196376.88635550844</v>
      </c>
      <c r="S117" s="944">
        <v>982</v>
      </c>
      <c r="T117" s="2580" t="s">
        <v>516</v>
      </c>
      <c r="U117" s="2581"/>
      <c r="V117" s="2582"/>
      <c r="W117" s="206">
        <v>7763.4660000000003</v>
      </c>
      <c r="Y117" s="1150"/>
      <c r="Z117" s="1150"/>
      <c r="AA117" s="1150"/>
      <c r="AB117" s="1150"/>
      <c r="AC117" s="1150"/>
      <c r="AD117" s="2141"/>
      <c r="AE117" s="384"/>
      <c r="AF117" s="164"/>
    </row>
    <row r="118" spans="1:34" ht="19.5" customHeight="1">
      <c r="A118" s="2141"/>
      <c r="B118" s="2141"/>
      <c r="C118" s="2141"/>
      <c r="D118" s="2141"/>
      <c r="E118" s="944">
        <v>924</v>
      </c>
      <c r="F118" s="2593" t="s">
        <v>1173</v>
      </c>
      <c r="G118" s="2594"/>
      <c r="H118" s="2595"/>
      <c r="I118" s="115">
        <v>36766.042000000001</v>
      </c>
      <c r="J118" s="1392"/>
      <c r="K118" s="178"/>
      <c r="L118" s="944">
        <v>975</v>
      </c>
      <c r="M118" s="2577" t="s">
        <v>1239</v>
      </c>
      <c r="N118" s="2578"/>
      <c r="O118" s="2579"/>
      <c r="P118" s="206">
        <v>157534.14000000001</v>
      </c>
      <c r="S118" s="944">
        <v>985</v>
      </c>
      <c r="T118" s="1250" t="s">
        <v>887</v>
      </c>
      <c r="U118" s="1251"/>
      <c r="V118" s="1252"/>
      <c r="W118" s="206">
        <v>1684.4490000000001</v>
      </c>
      <c r="X118" s="1440"/>
      <c r="Y118" s="1440"/>
      <c r="Z118" s="1150"/>
      <c r="AB118" s="1150"/>
      <c r="AC118" s="1150"/>
      <c r="AD118" s="2141"/>
      <c r="AE118" s="384"/>
      <c r="AF118" s="164"/>
    </row>
    <row r="119" spans="1:34" ht="19.5" customHeight="1">
      <c r="A119" s="2141"/>
      <c r="B119" s="2141"/>
      <c r="C119" s="2141"/>
      <c r="D119" s="2141"/>
      <c r="E119" s="944">
        <v>926</v>
      </c>
      <c r="F119" s="958" t="s">
        <v>804</v>
      </c>
      <c r="G119" s="959"/>
      <c r="H119" s="959"/>
      <c r="I119" s="370">
        <f>N113</f>
        <v>2379.6149999999998</v>
      </c>
      <c r="J119" s="266"/>
      <c r="K119" s="178"/>
      <c r="L119" s="944">
        <v>980</v>
      </c>
      <c r="M119" s="2574" t="s">
        <v>1214</v>
      </c>
      <c r="N119" s="2575"/>
      <c r="O119" s="2576"/>
      <c r="P119" s="206">
        <v>14669.119000000001</v>
      </c>
      <c r="S119" s="944">
        <v>989</v>
      </c>
      <c r="T119" s="1250" t="s">
        <v>205</v>
      </c>
      <c r="U119" s="1251"/>
      <c r="V119" s="1252"/>
      <c r="W119" s="1854">
        <v>551.00900000000001</v>
      </c>
      <c r="X119" s="172"/>
      <c r="Y119" s="188"/>
      <c r="Z119" s="188"/>
      <c r="AA119" s="1151"/>
      <c r="AB119" s="1151"/>
      <c r="AC119" s="1151"/>
      <c r="AD119" s="2141"/>
      <c r="AE119" s="1151"/>
      <c r="AF119" s="164"/>
    </row>
    <row r="120" spans="1:34" ht="13.5" customHeight="1" thickBot="1">
      <c r="A120" s="2141"/>
      <c r="B120" s="2141"/>
      <c r="C120" s="2141"/>
      <c r="D120" s="2141"/>
      <c r="E120" s="948">
        <v>928</v>
      </c>
      <c r="F120" s="1293" t="s">
        <v>805</v>
      </c>
      <c r="G120" s="960"/>
      <c r="H120" s="961"/>
      <c r="I120" s="371">
        <f>I117-I118-I119</f>
        <v>26003.025000000001</v>
      </c>
      <c r="J120" s="266"/>
      <c r="K120" s="178"/>
      <c r="L120" s="944">
        <v>982</v>
      </c>
      <c r="M120" s="1250" t="s">
        <v>1174</v>
      </c>
      <c r="N120" s="1251"/>
      <c r="O120" s="1252"/>
      <c r="P120" s="206">
        <v>1194.501</v>
      </c>
      <c r="S120" s="944"/>
      <c r="T120" s="1412"/>
      <c r="U120" s="1382"/>
      <c r="V120" s="1383"/>
      <c r="W120" s="1829"/>
      <c r="X120" s="1161"/>
      <c r="Y120" s="1384"/>
      <c r="Z120" s="188"/>
      <c r="AA120" s="1151"/>
      <c r="AB120" s="1151"/>
      <c r="AC120" s="1151"/>
      <c r="AD120" s="2141"/>
      <c r="AE120" s="1151"/>
      <c r="AF120" s="164"/>
    </row>
    <row r="121" spans="1:34" ht="13.5" customHeight="1">
      <c r="A121" s="188"/>
      <c r="B121" s="188"/>
      <c r="C121" s="2141"/>
      <c r="D121" s="2141"/>
      <c r="E121" s="178"/>
      <c r="F121" s="2141"/>
      <c r="G121" s="2141"/>
      <c r="H121" s="2141"/>
      <c r="I121" s="1861"/>
      <c r="J121" s="178"/>
      <c r="K121" s="178"/>
      <c r="L121" s="944">
        <v>985</v>
      </c>
      <c r="M121" s="2321" t="s">
        <v>1209</v>
      </c>
      <c r="N121" s="2321"/>
      <c r="O121" s="2325"/>
      <c r="P121" s="169">
        <v>983.01499999999999</v>
      </c>
      <c r="Q121" s="2566"/>
      <c r="R121" s="2567"/>
      <c r="S121" s="943">
        <v>887</v>
      </c>
      <c r="T121" s="945" t="s">
        <v>439</v>
      </c>
      <c r="U121" s="946"/>
      <c r="V121" s="947"/>
      <c r="W121" s="372">
        <f>SUM(W113,W116:W119)</f>
        <v>179266.17299999995</v>
      </c>
      <c r="X121" s="1296"/>
      <c r="Y121" s="188"/>
      <c r="Z121" s="188"/>
      <c r="AA121" s="1151"/>
      <c r="AB121" s="1151"/>
      <c r="AC121" s="1151"/>
      <c r="AD121" s="2141"/>
      <c r="AE121" s="1151"/>
      <c r="AF121" s="164"/>
    </row>
    <row r="122" spans="1:34" ht="12.75" customHeight="1" thickBot="1">
      <c r="A122" s="188"/>
      <c r="B122" s="188"/>
      <c r="C122" s="2141"/>
      <c r="D122" s="2141"/>
      <c r="E122" s="178"/>
      <c r="F122" s="2141"/>
      <c r="G122" s="2141"/>
      <c r="H122" s="2141"/>
      <c r="I122" s="1874"/>
      <c r="J122" s="1862"/>
      <c r="K122" s="178"/>
      <c r="L122" s="2319">
        <v>988</v>
      </c>
      <c r="M122" s="2322" t="s">
        <v>1093</v>
      </c>
      <c r="N122" s="2323"/>
      <c r="O122" s="2325"/>
      <c r="P122" s="169">
        <v>1082.8320000000001</v>
      </c>
      <c r="Q122" s="172"/>
      <c r="R122" s="203"/>
      <c r="S122" s="948">
        <v>990</v>
      </c>
      <c r="T122" s="949" t="s">
        <v>91</v>
      </c>
      <c r="U122" s="950"/>
      <c r="V122" s="951"/>
      <c r="W122" s="116">
        <f>RR!C7</f>
        <v>179266.177</v>
      </c>
      <c r="X122" s="1296"/>
      <c r="Y122" s="188"/>
      <c r="Z122" s="178"/>
      <c r="AA122" s="178"/>
      <c r="AB122" s="5"/>
      <c r="AC122" s="5"/>
      <c r="AD122" s="2141"/>
      <c r="AE122" s="384"/>
      <c r="AF122" s="164"/>
    </row>
    <row r="123" spans="1:34">
      <c r="A123" s="188"/>
      <c r="B123" s="188"/>
      <c r="C123" s="2141"/>
      <c r="D123" s="2141"/>
      <c r="E123" s="203"/>
      <c r="F123" s="2141"/>
      <c r="G123" s="2141"/>
      <c r="H123" s="2141"/>
      <c r="I123" s="1863"/>
      <c r="J123" s="1862"/>
      <c r="K123" s="178"/>
      <c r="L123" s="944">
        <v>989</v>
      </c>
      <c r="M123" s="957" t="s">
        <v>204</v>
      </c>
      <c r="N123" s="1563"/>
      <c r="O123" s="1252"/>
      <c r="P123" s="1854">
        <v>55.445999999999998</v>
      </c>
      <c r="Q123" s="172"/>
      <c r="R123" s="188"/>
      <c r="S123" s="204"/>
      <c r="T123" s="204"/>
      <c r="U123" s="204"/>
      <c r="V123" s="204"/>
      <c r="W123" s="221"/>
      <c r="X123" s="188"/>
      <c r="Y123" s="188"/>
      <c r="Z123" s="178"/>
      <c r="AA123" s="178"/>
      <c r="AB123" s="5"/>
      <c r="AC123" s="5"/>
      <c r="AD123" s="2141"/>
      <c r="AE123" s="384"/>
      <c r="AF123" s="164"/>
    </row>
    <row r="124" spans="1:34">
      <c r="A124" s="288"/>
      <c r="B124" s="188"/>
      <c r="C124" s="188"/>
      <c r="D124" s="178"/>
      <c r="E124" s="178"/>
      <c r="F124" s="2141"/>
      <c r="G124" s="2141"/>
      <c r="H124" s="2141"/>
      <c r="I124" s="1863"/>
      <c r="J124" s="1862"/>
      <c r="K124" s="188"/>
      <c r="L124" s="943">
        <v>886</v>
      </c>
      <c r="M124" s="945" t="s">
        <v>439</v>
      </c>
      <c r="N124" s="946"/>
      <c r="O124" s="947"/>
      <c r="P124" s="372">
        <f>SUM(P110:P112,P116:P123)</f>
        <v>868005.64664449147</v>
      </c>
      <c r="Q124" s="1296"/>
      <c r="R124" s="188"/>
      <c r="S124" s="204"/>
      <c r="T124" s="204"/>
      <c r="U124" s="204"/>
      <c r="V124" s="204"/>
      <c r="W124" s="204"/>
      <c r="X124" s="188"/>
      <c r="Y124" s="188"/>
      <c r="Z124" s="178"/>
      <c r="AA124" s="178"/>
      <c r="AB124" s="5"/>
      <c r="AC124" s="5"/>
      <c r="AD124" s="2141"/>
      <c r="AE124" s="384"/>
      <c r="AF124" s="164"/>
    </row>
    <row r="125" spans="1:34" ht="22.5" customHeight="1" thickBot="1">
      <c r="A125" s="288"/>
      <c r="B125" s="188"/>
      <c r="C125" s="188"/>
      <c r="D125" s="178"/>
      <c r="E125" s="178"/>
      <c r="F125" s="2141"/>
      <c r="G125" s="2141"/>
      <c r="H125" s="2141"/>
      <c r="I125" s="1863"/>
      <c r="J125" s="1862"/>
      <c r="K125" s="188"/>
      <c r="L125" s="948">
        <v>990</v>
      </c>
      <c r="M125" s="949" t="s">
        <v>88</v>
      </c>
      <c r="N125" s="950"/>
      <c r="O125" s="951"/>
      <c r="P125" s="1828">
        <f>RR!C8</f>
        <v>868018.21400000004</v>
      </c>
      <c r="Q125" s="188"/>
      <c r="R125" s="188"/>
      <c r="S125" s="204"/>
      <c r="T125" s="204"/>
      <c r="U125" s="204"/>
      <c r="V125" s="204"/>
      <c r="W125" s="204"/>
      <c r="X125" s="188"/>
      <c r="Y125" s="188"/>
      <c r="Z125" s="178"/>
      <c r="AA125" s="178"/>
      <c r="AB125" s="5"/>
      <c r="AC125" s="5"/>
      <c r="AD125" s="2141"/>
      <c r="AE125" s="384"/>
      <c r="AF125" s="164"/>
    </row>
    <row r="126" spans="1:34" ht="31.5" customHeight="1">
      <c r="A126" s="204"/>
      <c r="B126" s="204"/>
      <c r="C126" s="204"/>
      <c r="D126" s="203"/>
      <c r="E126" s="203"/>
      <c r="F126" s="1864"/>
      <c r="G126" s="1864"/>
      <c r="H126" s="1864"/>
      <c r="I126" s="1863"/>
      <c r="J126" s="203"/>
      <c r="K126" s="188"/>
      <c r="L126" s="1560"/>
      <c r="M126" s="1561"/>
      <c r="N126" s="1562"/>
      <c r="O126" s="1562"/>
      <c r="P126" s="1576"/>
      <c r="Q126" s="178"/>
      <c r="R126" s="203"/>
      <c r="S126" s="204"/>
      <c r="T126" s="204"/>
      <c r="U126" s="188"/>
      <c r="V126" s="204"/>
      <c r="W126" s="204"/>
      <c r="X126" s="188"/>
      <c r="Y126" s="204"/>
      <c r="Z126" s="203"/>
      <c r="AA126" s="203"/>
      <c r="AB126" s="1"/>
      <c r="AC126" s="1"/>
      <c r="AD126" s="2141"/>
      <c r="AE126" s="385"/>
      <c r="AF126" s="164"/>
    </row>
    <row r="127" spans="1:34" hidden="1">
      <c r="L127" s="203"/>
      <c r="M127" s="203"/>
      <c r="N127" s="203"/>
      <c r="O127" s="203"/>
      <c r="P127" s="221"/>
    </row>
    <row r="129"/>
    <row r="303" spans="16:16" hidden="1">
      <c r="P303" s="205" t="str">
        <f>IF(P124&lt;&gt;P125,"Differens mot vht kostnader i RR, måste rättas!","")</f>
        <v>Differens mot vht kostnader i RR, måste rättas!</v>
      </c>
    </row>
  </sheetData>
  <customSheetViews>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1"/>
      <headerFooter>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3"/>
      <headerFooter alignWithMargins="0">
        <oddHeader>&amp;L&amp;8Statistiska Centralbyrån
Offentlig ekonomi&amp;R&amp;P</oddHeader>
      </headerFooter>
    </customSheetView>
  </customSheetViews>
  <mergeCells count="26">
    <mergeCell ref="C4:D4"/>
    <mergeCell ref="E4:H4"/>
    <mergeCell ref="L4:O4"/>
    <mergeCell ref="I4:J4"/>
    <mergeCell ref="I114:L114"/>
    <mergeCell ref="F118:H118"/>
    <mergeCell ref="AH5:AH6"/>
    <mergeCell ref="Z44:AC44"/>
    <mergeCell ref="AG5:AG6"/>
    <mergeCell ref="AF5:AF6"/>
    <mergeCell ref="Z18:AC18"/>
    <mergeCell ref="Z11:AC11"/>
    <mergeCell ref="Q121:R121"/>
    <mergeCell ref="R4:T4"/>
    <mergeCell ref="Z4:AB4"/>
    <mergeCell ref="M119:O119"/>
    <mergeCell ref="M118:O118"/>
    <mergeCell ref="T117:V117"/>
    <mergeCell ref="Y5:Y6"/>
    <mergeCell ref="Z31:AC31"/>
    <mergeCell ref="Z72:AC72"/>
    <mergeCell ref="Z91:AC91"/>
    <mergeCell ref="Z45:AA45"/>
    <mergeCell ref="Z52:AC52"/>
    <mergeCell ref="N5:O5"/>
    <mergeCell ref="Z86:AC86"/>
  </mergeCells>
  <phoneticPr fontId="89" type="noConversion"/>
  <dataValidations count="1">
    <dataValidation type="decimal" operator="lessThan" allowBlank="1" showInputMessage="1" showErrorMessage="1" error="Beloppet ska vara i 1000 tal kr" sqref="V111 R111:U112 R93:V96 C93:N96 R99:V101 R84:V84 G114 R104:V107 C99:N101 C104:N107 C87:N88 C84:N84 I118 C79:N82 R79:V82 C111:O112 C70:N71 C73:N76 R73:V76 R70:V71 C13:N16 C19:N29 C33:N36 C39:N41 C46:N50 C53:N57 R53:V57 R46:V50 R39:V41 R33:V36 R19:V29 R13:V16 R60:V62 C60:N62 R87:V88 W117:W120 P118:P123 R64:V66 C64:N66"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63:A113 A13:A61"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8"/>
  <sheetViews>
    <sheetView showGridLines="0" zoomScaleNormal="100" workbookViewId="0">
      <pane xSplit="2" ySplit="8" topLeftCell="C9" activePane="bottomRight" state="frozen"/>
      <selection activeCell="F36" sqref="F36"/>
      <selection pane="topRight" activeCell="F36" sqref="F36"/>
      <selection pane="bottomLeft" activeCell="F36" sqref="F36"/>
      <selection pane="bottomRight"/>
    </sheetView>
  </sheetViews>
  <sheetFormatPr defaultColWidth="0" defaultRowHeight="9" zeroHeight="1"/>
  <cols>
    <col min="1" max="1" width="5.42578125" style="138" customWidth="1"/>
    <col min="2" max="2" width="30.5703125" style="138" customWidth="1"/>
    <col min="3" max="3" width="8.5703125" style="138" customWidth="1"/>
    <col min="4" max="13" width="9.42578125" style="138" customWidth="1"/>
    <col min="14" max="14" width="8.42578125" style="138" customWidth="1"/>
    <col min="15" max="23" width="9.42578125" style="138" customWidth="1"/>
    <col min="24" max="24" width="8.42578125" style="138" customWidth="1"/>
    <col min="25" max="29" width="9.42578125" style="138" customWidth="1"/>
    <col min="30" max="30" width="25.5703125" style="138" customWidth="1"/>
    <col min="31" max="16384" width="0" style="138" hidden="1"/>
  </cols>
  <sheetData>
    <row r="1" spans="1:30" s="163" customFormat="1" ht="18.75" customHeight="1">
      <c r="A1" s="162"/>
      <c r="B1" s="74"/>
      <c r="C1" s="73" t="str">
        <f>"Motpartsredovisning "&amp;År&amp;", miljoner kr"</f>
        <v>Motpartsredovisning 2024, miljoner kr</v>
      </c>
      <c r="D1" s="74"/>
      <c r="E1" s="162"/>
      <c r="F1" s="162"/>
      <c r="G1" s="162"/>
      <c r="H1" s="162"/>
      <c r="I1" s="162"/>
      <c r="J1" s="475" t="s">
        <v>446</v>
      </c>
      <c r="K1" s="476" t="str">
        <f>Information!A2</f>
        <v>RIKSTOTAL</v>
      </c>
      <c r="L1" s="162"/>
      <c r="M1" s="162"/>
      <c r="N1" s="73"/>
      <c r="O1" s="162"/>
      <c r="P1" s="162"/>
      <c r="Q1" s="162"/>
      <c r="R1" s="162"/>
      <c r="S1" s="73" t="str">
        <f>"Motpartsredovisning "&amp;År&amp;", miljoner kr"</f>
        <v>Motpartsredovisning 2024, miljoner kr</v>
      </c>
      <c r="T1" s="162"/>
      <c r="U1" s="162"/>
      <c r="V1" s="162"/>
      <c r="W1" s="162"/>
      <c r="X1" s="162"/>
      <c r="Y1" s="162"/>
      <c r="Z1" s="475" t="s">
        <v>446</v>
      </c>
      <c r="AA1" s="476" t="str">
        <f>Information!A2</f>
        <v>RIKSTOTAL</v>
      </c>
      <c r="AB1" s="162"/>
      <c r="AC1" s="162"/>
      <c r="AD1" s="2141"/>
    </row>
    <row r="2" spans="1:30" s="163" customFormat="1" ht="11.25" customHeight="1">
      <c r="A2" s="2141"/>
      <c r="B2" s="2141"/>
      <c r="C2" s="2141"/>
      <c r="D2" s="2141"/>
      <c r="E2" s="2141"/>
      <c r="F2" s="2141"/>
      <c r="G2" s="2141"/>
      <c r="H2" s="2141"/>
      <c r="I2" s="2141"/>
      <c r="J2" s="2141"/>
      <c r="K2" s="2141"/>
      <c r="L2" s="2141"/>
      <c r="M2" s="2141"/>
      <c r="N2" s="2141"/>
      <c r="O2" s="2141"/>
      <c r="P2" s="2141"/>
      <c r="Q2" s="2141"/>
      <c r="R2" s="2141"/>
      <c r="S2" s="2141"/>
      <c r="T2" s="2141"/>
      <c r="U2" s="2141"/>
      <c r="V2" s="2141"/>
      <c r="W2" s="2141"/>
      <c r="X2" s="2141"/>
      <c r="Y2" s="2141"/>
      <c r="Z2" s="2141"/>
      <c r="AA2" s="2141"/>
      <c r="AB2" s="2141"/>
      <c r="AC2" s="2141"/>
      <c r="AD2" s="2141"/>
    </row>
    <row r="3" spans="1:30" ht="11.25" customHeight="1" thickBot="1">
      <c r="A3" s="2141"/>
      <c r="B3" s="2141"/>
      <c r="C3" s="2141"/>
      <c r="D3" s="2141"/>
      <c r="E3" s="2141"/>
      <c r="F3" s="2141"/>
      <c r="G3" s="2141"/>
      <c r="H3" s="2141"/>
      <c r="I3" s="2141"/>
      <c r="J3" s="2141"/>
      <c r="K3" s="2141"/>
      <c r="L3" s="2141"/>
      <c r="M3" s="2141"/>
      <c r="N3" s="2141"/>
      <c r="O3" s="2141"/>
      <c r="P3" s="2141"/>
      <c r="Q3" s="2141"/>
      <c r="R3" s="2141"/>
      <c r="S3" s="2141"/>
      <c r="T3" s="2141"/>
      <c r="U3" s="2141"/>
      <c r="V3" s="2141"/>
      <c r="W3" s="2141"/>
      <c r="X3" s="2141"/>
      <c r="Y3" s="2141"/>
      <c r="Z3" s="2141"/>
      <c r="AA3" s="2141"/>
      <c r="AB3" s="2141"/>
      <c r="AC3" s="2141"/>
      <c r="AD3" s="2141"/>
    </row>
    <row r="4" spans="1:30" s="1211" customFormat="1" ht="18" customHeight="1">
      <c r="A4" s="1204" t="s">
        <v>603</v>
      </c>
      <c r="B4" s="1205" t="s">
        <v>13</v>
      </c>
      <c r="C4" s="1194"/>
      <c r="D4" s="1212" t="s">
        <v>768</v>
      </c>
      <c r="E4" s="1205"/>
      <c r="F4" s="1205"/>
      <c r="G4" s="1205"/>
      <c r="H4" s="1205"/>
      <c r="I4" s="1205"/>
      <c r="J4" s="1205"/>
      <c r="K4" s="1205"/>
      <c r="L4" s="1205"/>
      <c r="M4" s="1206"/>
      <c r="N4" s="1212" t="s">
        <v>746</v>
      </c>
      <c r="O4" s="1205"/>
      <c r="P4" s="1205"/>
      <c r="Q4" s="1205"/>
      <c r="R4" s="1205"/>
      <c r="S4" s="1205"/>
      <c r="T4" s="1205"/>
      <c r="U4" s="1205"/>
      <c r="V4" s="1205"/>
      <c r="W4" s="1205"/>
      <c r="X4" s="1207"/>
      <c r="Y4" s="1213" t="s">
        <v>530</v>
      </c>
      <c r="Z4" s="1208"/>
      <c r="AA4" s="1209"/>
      <c r="AB4" s="1209"/>
      <c r="AC4" s="1210"/>
      <c r="AD4" s="2141"/>
    </row>
    <row r="5" spans="1:30" ht="36.75" customHeight="1">
      <c r="A5" s="723" t="s">
        <v>605</v>
      </c>
      <c r="B5" s="970"/>
      <c r="C5" s="1314" t="s">
        <v>490</v>
      </c>
      <c r="D5" s="971" t="s">
        <v>457</v>
      </c>
      <c r="E5" s="965" t="s">
        <v>482</v>
      </c>
      <c r="F5" s="965" t="s">
        <v>458</v>
      </c>
      <c r="G5" s="965" t="s">
        <v>123</v>
      </c>
      <c r="H5" s="965" t="s">
        <v>1011</v>
      </c>
      <c r="I5" s="965" t="s">
        <v>459</v>
      </c>
      <c r="J5" s="965" t="s">
        <v>785</v>
      </c>
      <c r="K5" s="965" t="s">
        <v>1061</v>
      </c>
      <c r="L5" s="965" t="s">
        <v>148</v>
      </c>
      <c r="M5" s="967" t="s">
        <v>498</v>
      </c>
      <c r="N5" s="1283" t="s">
        <v>490</v>
      </c>
      <c r="O5" s="965" t="s">
        <v>457</v>
      </c>
      <c r="P5" s="1195" t="s">
        <v>482</v>
      </c>
      <c r="Q5" s="1195" t="s">
        <v>458</v>
      </c>
      <c r="R5" s="1195" t="s">
        <v>123</v>
      </c>
      <c r="S5" s="1195" t="s">
        <v>1011</v>
      </c>
      <c r="T5" s="1195" t="s">
        <v>1061</v>
      </c>
      <c r="U5" s="1195" t="s">
        <v>786</v>
      </c>
      <c r="V5" s="1195" t="s">
        <v>785</v>
      </c>
      <c r="W5" s="1195" t="s">
        <v>148</v>
      </c>
      <c r="X5" s="964" t="s">
        <v>498</v>
      </c>
      <c r="Y5" s="1983" t="s">
        <v>1175</v>
      </c>
      <c r="Z5" s="965" t="s">
        <v>1065</v>
      </c>
      <c r="AA5" s="966" t="s">
        <v>1176</v>
      </c>
      <c r="AB5" s="966" t="s">
        <v>460</v>
      </c>
      <c r="AC5" s="967" t="s">
        <v>461</v>
      </c>
      <c r="AD5" s="2141"/>
    </row>
    <row r="6" spans="1:30" ht="40.5" customHeight="1">
      <c r="A6" s="1036"/>
      <c r="B6" s="2071" t="str">
        <f>"BAS "&amp;År-2000&amp;""</f>
        <v>BAS 24</v>
      </c>
      <c r="C6" s="1282"/>
      <c r="D6" s="1457" t="s">
        <v>747</v>
      </c>
      <c r="E6" s="1458" t="s">
        <v>748</v>
      </c>
      <c r="F6" s="1458" t="s">
        <v>749</v>
      </c>
      <c r="G6" s="1458" t="s">
        <v>750</v>
      </c>
      <c r="H6" s="1458" t="s">
        <v>751</v>
      </c>
      <c r="I6" s="1458" t="s">
        <v>752</v>
      </c>
      <c r="J6" s="1458" t="s">
        <v>753</v>
      </c>
      <c r="K6" s="1458" t="s">
        <v>754</v>
      </c>
      <c r="L6" s="1458" t="s">
        <v>755</v>
      </c>
      <c r="M6" s="968"/>
      <c r="N6" s="1284"/>
      <c r="O6" s="1457" t="s">
        <v>747</v>
      </c>
      <c r="P6" s="1458" t="s">
        <v>748</v>
      </c>
      <c r="Q6" s="1458" t="s">
        <v>749</v>
      </c>
      <c r="R6" s="1458" t="s">
        <v>750</v>
      </c>
      <c r="S6" s="1458" t="s">
        <v>751</v>
      </c>
      <c r="T6" s="1458" t="s">
        <v>754</v>
      </c>
      <c r="U6" s="1458" t="s">
        <v>752</v>
      </c>
      <c r="V6" s="1458" t="s">
        <v>753</v>
      </c>
      <c r="W6" s="1458" t="s">
        <v>755</v>
      </c>
      <c r="X6" s="968"/>
      <c r="Y6" s="1984" t="s">
        <v>1012</v>
      </c>
      <c r="Z6" s="1462" t="s">
        <v>756</v>
      </c>
      <c r="AA6" s="1458" t="s">
        <v>757</v>
      </c>
      <c r="AB6" s="1458" t="s">
        <v>131</v>
      </c>
      <c r="AC6" s="2354" t="s">
        <v>1094</v>
      </c>
      <c r="AD6" s="2141"/>
    </row>
    <row r="7" spans="1:30" ht="4.5" customHeight="1">
      <c r="A7" s="973"/>
      <c r="B7" s="1459"/>
      <c r="C7" s="1460"/>
      <c r="D7" s="1452"/>
      <c r="E7" s="1453"/>
      <c r="F7" s="1453"/>
      <c r="G7" s="1453"/>
      <c r="H7" s="1453"/>
      <c r="I7" s="1453"/>
      <c r="J7" s="1453"/>
      <c r="K7" s="1453"/>
      <c r="L7" s="1461"/>
      <c r="M7" s="968"/>
      <c r="N7" s="1451"/>
      <c r="O7" s="1452"/>
      <c r="P7" s="1453"/>
      <c r="Q7" s="1453"/>
      <c r="R7" s="1453"/>
      <c r="S7" s="1453"/>
      <c r="T7" s="1453"/>
      <c r="U7" s="1454"/>
      <c r="V7" s="1453"/>
      <c r="W7" s="516"/>
      <c r="X7" s="968"/>
      <c r="Y7" s="1463"/>
      <c r="Z7" s="2349"/>
      <c r="AA7" s="2350"/>
      <c r="AB7" s="1464"/>
      <c r="AC7" s="1465"/>
      <c r="AD7" s="2141"/>
    </row>
    <row r="8" spans="1:30" ht="12" hidden="1" customHeight="1">
      <c r="A8" s="972"/>
      <c r="B8" s="1455"/>
      <c r="C8" s="1456"/>
      <c r="D8" s="1441"/>
      <c r="E8" s="1442"/>
      <c r="F8" s="1442"/>
      <c r="G8" s="1442"/>
      <c r="H8" s="1442"/>
      <c r="I8" s="1442"/>
      <c r="J8" s="1442"/>
      <c r="K8" s="1442"/>
      <c r="L8" s="1443"/>
      <c r="M8" s="969"/>
      <c r="N8" s="1444"/>
      <c r="O8" s="1441"/>
      <c r="P8" s="1442"/>
      <c r="Q8" s="1442"/>
      <c r="R8" s="1442"/>
      <c r="S8" s="1442"/>
      <c r="T8" s="1442"/>
      <c r="U8" s="1445"/>
      <c r="V8" s="1442"/>
      <c r="W8" s="1446"/>
      <c r="X8" s="969"/>
      <c r="Y8" s="1447"/>
      <c r="Z8" s="1448"/>
      <c r="AA8" s="1448"/>
      <c r="AB8" s="1449"/>
      <c r="AC8" s="1450"/>
      <c r="AD8" s="2141"/>
    </row>
    <row r="9" spans="1:30" ht="14.25" customHeight="1">
      <c r="A9" s="1390">
        <v>190</v>
      </c>
      <c r="B9" s="975" t="s">
        <v>15</v>
      </c>
      <c r="C9" s="79">
        <f>Drift!F17</f>
        <v>285.70299999999997</v>
      </c>
      <c r="D9" s="62">
        <v>2.6629999999999998</v>
      </c>
      <c r="E9" s="62">
        <v>0.246</v>
      </c>
      <c r="F9" s="62">
        <v>15.518000000000001</v>
      </c>
      <c r="G9" s="62">
        <v>243.285</v>
      </c>
      <c r="H9" s="62">
        <v>3.5710000000000002</v>
      </c>
      <c r="I9" s="62">
        <v>0.111</v>
      </c>
      <c r="J9" s="1133">
        <v>0</v>
      </c>
      <c r="K9" s="179">
        <v>20.190000000000001</v>
      </c>
      <c r="L9" s="179">
        <v>0.12</v>
      </c>
      <c r="M9" s="402">
        <f>C9-SUM(D9:L9)</f>
        <v>-1.0000000000331966E-3</v>
      </c>
      <c r="N9" s="403">
        <f>Drift!H17</f>
        <v>711.55900000000008</v>
      </c>
      <c r="O9" s="62">
        <v>573.11</v>
      </c>
      <c r="P9" s="62">
        <v>7.7549999999999999</v>
      </c>
      <c r="Q9" s="62">
        <v>46.31</v>
      </c>
      <c r="R9" s="62">
        <v>8.6110000000000007</v>
      </c>
      <c r="S9" s="62">
        <v>21.713999999999999</v>
      </c>
      <c r="T9" s="62">
        <v>45.551000000000002</v>
      </c>
      <c r="U9" s="62">
        <v>1.9630000000000001</v>
      </c>
      <c r="V9" s="62">
        <v>6.4829999999999997</v>
      </c>
      <c r="W9" s="62">
        <v>6.2E-2</v>
      </c>
      <c r="X9" s="402">
        <f>N9-SUM(O9:W9)</f>
        <v>0</v>
      </c>
      <c r="Y9" s="404">
        <v>205.19200000000001</v>
      </c>
      <c r="Z9" s="62">
        <v>1E-3</v>
      </c>
      <c r="AA9" s="62">
        <v>92.564999999999998</v>
      </c>
      <c r="AB9" s="62">
        <v>1.865</v>
      </c>
      <c r="AC9" s="95">
        <v>38.451999999999998</v>
      </c>
      <c r="AD9" s="2141"/>
    </row>
    <row r="10" spans="1:30" ht="13.35" customHeight="1">
      <c r="A10" s="512" t="s">
        <v>221</v>
      </c>
      <c r="B10" s="518" t="s">
        <v>147</v>
      </c>
      <c r="C10" s="79">
        <f>Drift!F30</f>
        <v>12519.602000000001</v>
      </c>
      <c r="D10" s="50">
        <v>122.73699999999999</v>
      </c>
      <c r="E10" s="50">
        <v>1835.8969999999999</v>
      </c>
      <c r="F10" s="50">
        <v>5025.6310000000003</v>
      </c>
      <c r="G10" s="50">
        <v>599.70500000000004</v>
      </c>
      <c r="H10" s="50">
        <v>10.46</v>
      </c>
      <c r="I10" s="50">
        <v>59.514000000000003</v>
      </c>
      <c r="J10" s="1127">
        <v>0</v>
      </c>
      <c r="K10" s="51">
        <v>4857.2120000000004</v>
      </c>
      <c r="L10" s="179">
        <v>8.4469999999999992</v>
      </c>
      <c r="M10" s="402">
        <f t="shared" ref="M10:M41" si="0">C10-SUM(D10:L10)</f>
        <v>-1.0000000002037268E-3</v>
      </c>
      <c r="N10" s="403">
        <f>Drift!H30</f>
        <v>4495.04</v>
      </c>
      <c r="O10" s="50">
        <v>608.82500000000005</v>
      </c>
      <c r="P10" s="50">
        <v>665.61300000000006</v>
      </c>
      <c r="Q10" s="50">
        <v>454.56599999999997</v>
      </c>
      <c r="R10" s="50">
        <v>28.417999999999999</v>
      </c>
      <c r="S10" s="50">
        <v>5.6829999999999998</v>
      </c>
      <c r="T10" s="50">
        <v>663.85799999999995</v>
      </c>
      <c r="U10" s="50">
        <v>2025.5550000000001</v>
      </c>
      <c r="V10" s="50">
        <v>40.902999999999999</v>
      </c>
      <c r="W10" s="50">
        <v>1.6160000000000001</v>
      </c>
      <c r="X10" s="402">
        <f t="shared" ref="X10:X41" si="1">N10-SUM(O10:W10)</f>
        <v>2.9999999997016857E-3</v>
      </c>
      <c r="Y10" s="405">
        <v>578.61199999999997</v>
      </c>
      <c r="Z10" s="50">
        <v>9.5730000000000004</v>
      </c>
      <c r="AA10" s="50">
        <v>2011.925</v>
      </c>
      <c r="AB10" s="50">
        <v>139.834</v>
      </c>
      <c r="AC10" s="171">
        <v>2100.2310000000002</v>
      </c>
      <c r="AD10" s="2141"/>
    </row>
    <row r="11" spans="1:30" ht="13.35" customHeight="1">
      <c r="A11" s="512">
        <v>339</v>
      </c>
      <c r="B11" s="518" t="s">
        <v>70</v>
      </c>
      <c r="C11" s="79">
        <f>Drift!F37</f>
        <v>284.35300000000001</v>
      </c>
      <c r="D11" s="62">
        <v>58.265999999999998</v>
      </c>
      <c r="E11" s="62">
        <v>60.02</v>
      </c>
      <c r="F11" s="62">
        <v>141.51300000000001</v>
      </c>
      <c r="G11" s="62">
        <v>7.4729999999999999</v>
      </c>
      <c r="H11" s="62">
        <v>0.90200000000000002</v>
      </c>
      <c r="I11" s="62">
        <v>0.53900000000000003</v>
      </c>
      <c r="J11" s="1133">
        <v>0</v>
      </c>
      <c r="K11" s="179">
        <v>14.795999999999999</v>
      </c>
      <c r="L11" s="179">
        <v>0.84299999999999997</v>
      </c>
      <c r="M11" s="402">
        <f t="shared" si="0"/>
        <v>1.0000000000331966E-3</v>
      </c>
      <c r="N11" s="403">
        <f>Drift!H37</f>
        <v>1989.7670000000001</v>
      </c>
      <c r="O11" s="62">
        <v>1204.038</v>
      </c>
      <c r="P11" s="62">
        <v>317.99900000000002</v>
      </c>
      <c r="Q11" s="62">
        <v>306.81400000000002</v>
      </c>
      <c r="R11" s="62">
        <v>1.6739999999999999</v>
      </c>
      <c r="S11" s="62">
        <v>48.898000000000003</v>
      </c>
      <c r="T11" s="62">
        <v>51.563000000000002</v>
      </c>
      <c r="U11" s="62">
        <v>21.84</v>
      </c>
      <c r="V11" s="62">
        <v>36.301000000000002</v>
      </c>
      <c r="W11" s="62">
        <v>0.63800000000000001</v>
      </c>
      <c r="X11" s="402">
        <f t="shared" si="1"/>
        <v>2.00000000018008E-3</v>
      </c>
      <c r="Y11" s="404">
        <v>23.170999999999999</v>
      </c>
      <c r="Z11" s="62">
        <v>3.36</v>
      </c>
      <c r="AA11" s="62">
        <v>545.11300000000006</v>
      </c>
      <c r="AB11" s="62">
        <v>7.48</v>
      </c>
      <c r="AC11" s="95">
        <v>416.274</v>
      </c>
      <c r="AD11" s="2141"/>
    </row>
    <row r="12" spans="1:30" ht="13.35" customHeight="1">
      <c r="A12" s="512">
        <v>359</v>
      </c>
      <c r="B12" s="518" t="s">
        <v>132</v>
      </c>
      <c r="C12" s="79">
        <f>Drift!F42</f>
        <v>879.82499999999993</v>
      </c>
      <c r="D12" s="62">
        <v>240.44200000000001</v>
      </c>
      <c r="E12" s="62">
        <v>231.874</v>
      </c>
      <c r="F12" s="62">
        <v>378.29599999999999</v>
      </c>
      <c r="G12" s="62">
        <v>25.565000000000001</v>
      </c>
      <c r="H12" s="62">
        <v>0.3</v>
      </c>
      <c r="I12" s="62">
        <v>8.6999999999999994E-2</v>
      </c>
      <c r="J12" s="1133">
        <v>0</v>
      </c>
      <c r="K12" s="179">
        <v>2.9740000000000002</v>
      </c>
      <c r="L12" s="179">
        <v>0.28699999999999998</v>
      </c>
      <c r="M12" s="402">
        <f t="shared" si="0"/>
        <v>0</v>
      </c>
      <c r="N12" s="403">
        <f>Drift!H42</f>
        <v>2191.2260000000001</v>
      </c>
      <c r="O12" s="62">
        <v>1954.2639999999999</v>
      </c>
      <c r="P12" s="62">
        <v>112.71899999999999</v>
      </c>
      <c r="Q12" s="62">
        <v>109.17</v>
      </c>
      <c r="R12" s="62">
        <v>2.2120000000000002</v>
      </c>
      <c r="S12" s="62">
        <v>0.16600000000000001</v>
      </c>
      <c r="T12" s="62">
        <v>0.81299999999999994</v>
      </c>
      <c r="U12" s="62">
        <v>1.367</v>
      </c>
      <c r="V12" s="62">
        <v>10.366</v>
      </c>
      <c r="W12" s="62">
        <v>0.14899999999999999</v>
      </c>
      <c r="X12" s="402">
        <f t="shared" si="1"/>
        <v>0</v>
      </c>
      <c r="Y12" s="404">
        <v>30.097999999999999</v>
      </c>
      <c r="Z12" s="62">
        <v>1.782</v>
      </c>
      <c r="AA12" s="62">
        <v>164.06899999999999</v>
      </c>
      <c r="AB12" s="62">
        <v>12.711</v>
      </c>
      <c r="AC12" s="95">
        <v>151.04400000000001</v>
      </c>
      <c r="AD12" s="2141"/>
    </row>
    <row r="13" spans="1:30" ht="13.35" customHeight="1">
      <c r="A13" s="512">
        <v>407</v>
      </c>
      <c r="B13" s="518" t="s">
        <v>79</v>
      </c>
      <c r="C13" s="79">
        <f>Drift!F47</f>
        <v>19512.145</v>
      </c>
      <c r="D13" s="50">
        <v>4773.5550000000003</v>
      </c>
      <c r="E13" s="50">
        <v>11.007999999999999</v>
      </c>
      <c r="F13" s="50">
        <v>14227.005999999999</v>
      </c>
      <c r="G13" s="50">
        <v>456.86399999999998</v>
      </c>
      <c r="H13" s="50">
        <v>1.917</v>
      </c>
      <c r="I13" s="50">
        <v>41.472000000000001</v>
      </c>
      <c r="J13" s="1127">
        <v>0</v>
      </c>
      <c r="K13" s="51">
        <v>0.27800000000000002</v>
      </c>
      <c r="L13" s="179">
        <v>4.4999999999999998E-2</v>
      </c>
      <c r="M13" s="1163">
        <f>C13-SUM(D13:L13)</f>
        <v>0</v>
      </c>
      <c r="N13" s="403">
        <f>Drift!H47</f>
        <v>70.183000000000007</v>
      </c>
      <c r="O13" s="50">
        <v>10.932</v>
      </c>
      <c r="P13" s="50">
        <v>0.06</v>
      </c>
      <c r="Q13" s="50">
        <v>52.972999999999999</v>
      </c>
      <c r="R13" s="50">
        <v>0.49</v>
      </c>
      <c r="S13" s="50">
        <v>0.11700000000000001</v>
      </c>
      <c r="T13" s="50">
        <v>0.16300000000000001</v>
      </c>
      <c r="U13" s="50">
        <v>0.433</v>
      </c>
      <c r="V13" s="50">
        <v>3.53</v>
      </c>
      <c r="W13" s="50">
        <v>1.4850000000000001</v>
      </c>
      <c r="X13" s="402">
        <f t="shared" si="1"/>
        <v>0</v>
      </c>
      <c r="Y13" s="405">
        <v>449.673</v>
      </c>
      <c r="Z13" s="50">
        <v>5.2530000000000001</v>
      </c>
      <c r="AA13" s="50">
        <v>5109.9359999999997</v>
      </c>
      <c r="AB13" s="50">
        <v>12.821</v>
      </c>
      <c r="AC13" s="95">
        <v>1175.694</v>
      </c>
      <c r="AD13" s="2141"/>
    </row>
    <row r="14" spans="1:30" ht="13.35" customHeight="1">
      <c r="A14" s="512">
        <v>412</v>
      </c>
      <c r="B14" s="518" t="s">
        <v>80</v>
      </c>
      <c r="C14" s="79">
        <f>Drift!F48</f>
        <v>541.57299999999998</v>
      </c>
      <c r="D14" s="50">
        <v>71.682000000000002</v>
      </c>
      <c r="E14" s="50">
        <v>0</v>
      </c>
      <c r="F14" s="50">
        <v>464.49299999999999</v>
      </c>
      <c r="G14" s="50">
        <v>5.39</v>
      </c>
      <c r="H14" s="50">
        <v>5.0000000000000001E-3</v>
      </c>
      <c r="I14" s="50">
        <v>3.0000000000000001E-3</v>
      </c>
      <c r="J14" s="1127">
        <v>0</v>
      </c>
      <c r="K14" s="51">
        <v>0</v>
      </c>
      <c r="L14" s="179">
        <v>0</v>
      </c>
      <c r="M14" s="1163">
        <f t="shared" si="0"/>
        <v>0</v>
      </c>
      <c r="N14" s="403">
        <f>Drift!H48</f>
        <v>0.434</v>
      </c>
      <c r="O14" s="50">
        <v>6.0000000000000001E-3</v>
      </c>
      <c r="P14" s="50">
        <v>1E-3</v>
      </c>
      <c r="Q14" s="50">
        <v>0.4</v>
      </c>
      <c r="R14" s="50">
        <v>1E-3</v>
      </c>
      <c r="S14" s="50">
        <v>8.9999999999999993E-3</v>
      </c>
      <c r="T14" s="50">
        <v>1E-3</v>
      </c>
      <c r="U14" s="50">
        <v>1.2999999999999999E-2</v>
      </c>
      <c r="V14" s="50">
        <v>3.0000000000000001E-3</v>
      </c>
      <c r="W14" s="50">
        <v>0</v>
      </c>
      <c r="X14" s="402">
        <f t="shared" si="1"/>
        <v>0</v>
      </c>
      <c r="Y14" s="405">
        <v>3.6880000000000002</v>
      </c>
      <c r="Z14" s="50">
        <v>0</v>
      </c>
      <c r="AA14" s="50">
        <v>21.189</v>
      </c>
      <c r="AB14" s="50">
        <v>2.9000000000000001E-2</v>
      </c>
      <c r="AC14" s="95">
        <v>26.209</v>
      </c>
      <c r="AD14" s="2141"/>
    </row>
    <row r="15" spans="1:30" ht="13.35" customHeight="1">
      <c r="A15" s="512">
        <v>425</v>
      </c>
      <c r="B15" s="518" t="s">
        <v>82</v>
      </c>
      <c r="C15" s="79">
        <f>Drift!F50</f>
        <v>3000.096</v>
      </c>
      <c r="D15" s="50">
        <v>759.38699999999994</v>
      </c>
      <c r="E15" s="50">
        <v>2.7490000000000001</v>
      </c>
      <c r="F15" s="50">
        <v>1998.4269999999999</v>
      </c>
      <c r="G15" s="50">
        <v>172.74299999999999</v>
      </c>
      <c r="H15" s="50">
        <v>1.0389999999999999</v>
      </c>
      <c r="I15" s="50">
        <v>65.155000000000001</v>
      </c>
      <c r="J15" s="1127">
        <v>0</v>
      </c>
      <c r="K15" s="51">
        <v>0.55000000000000004</v>
      </c>
      <c r="L15" s="179">
        <v>4.5999999999999999E-2</v>
      </c>
      <c r="M15" s="1163">
        <f>C15-SUM(D15:L15)</f>
        <v>0</v>
      </c>
      <c r="N15" s="403">
        <f>Drift!H50</f>
        <v>7.4820000000000002</v>
      </c>
      <c r="O15" s="50">
        <v>1.284</v>
      </c>
      <c r="P15" s="50">
        <v>1.8819999999999999</v>
      </c>
      <c r="Q15" s="50">
        <v>0.55000000000000004</v>
      </c>
      <c r="R15" s="50">
        <v>-0.03</v>
      </c>
      <c r="S15" s="50">
        <v>2.1000000000000001E-2</v>
      </c>
      <c r="T15" s="50">
        <v>4.2000000000000003E-2</v>
      </c>
      <c r="U15" s="50">
        <v>3.3479999999999999</v>
      </c>
      <c r="V15" s="50">
        <v>0.38400000000000001</v>
      </c>
      <c r="W15" s="50">
        <v>0</v>
      </c>
      <c r="X15" s="402">
        <f t="shared" si="1"/>
        <v>1.000000000000334E-3</v>
      </c>
      <c r="Y15" s="405">
        <v>171.93600000000001</v>
      </c>
      <c r="Z15" s="50">
        <v>2.5000000000000001E-2</v>
      </c>
      <c r="AA15" s="50">
        <v>721.20899999999995</v>
      </c>
      <c r="AB15" s="50">
        <v>1.984</v>
      </c>
      <c r="AC15" s="95">
        <v>166.69800000000001</v>
      </c>
      <c r="AD15" s="2141"/>
    </row>
    <row r="16" spans="1:30" ht="20.25" customHeight="1">
      <c r="A16" s="512">
        <v>419</v>
      </c>
      <c r="B16" s="518" t="s">
        <v>153</v>
      </c>
      <c r="C16" s="79">
        <f>SUM(Drift!F46,Drift!F49)</f>
        <v>94.332000000000008</v>
      </c>
      <c r="D16" s="50">
        <v>43.09</v>
      </c>
      <c r="E16" s="50">
        <v>0</v>
      </c>
      <c r="F16" s="50">
        <v>48.963999999999999</v>
      </c>
      <c r="G16" s="50">
        <v>1.9930000000000001</v>
      </c>
      <c r="H16" s="50">
        <v>0.27300000000000002</v>
      </c>
      <c r="I16" s="50">
        <v>1.0999999999999999E-2</v>
      </c>
      <c r="J16" s="1127">
        <v>0</v>
      </c>
      <c r="K16" s="51">
        <v>0</v>
      </c>
      <c r="L16" s="179">
        <v>0</v>
      </c>
      <c r="M16" s="1163">
        <f t="shared" si="0"/>
        <v>1.0000000000189857E-3</v>
      </c>
      <c r="N16" s="403">
        <f>SUM(Drift!H46,Drift!H49)</f>
        <v>1.877</v>
      </c>
      <c r="O16" s="50">
        <v>1.756</v>
      </c>
      <c r="P16" s="50">
        <v>0</v>
      </c>
      <c r="Q16" s="50">
        <v>0.10299999999999999</v>
      </c>
      <c r="R16" s="50">
        <v>0</v>
      </c>
      <c r="S16" s="50">
        <v>5.0000000000000001E-3</v>
      </c>
      <c r="T16" s="50">
        <v>1.0999999999999999E-2</v>
      </c>
      <c r="U16" s="50">
        <v>2E-3</v>
      </c>
      <c r="V16" s="50">
        <v>0</v>
      </c>
      <c r="W16" s="50">
        <v>0</v>
      </c>
      <c r="X16" s="402">
        <f t="shared" si="1"/>
        <v>0</v>
      </c>
      <c r="Y16" s="405">
        <v>1.4870000000000001</v>
      </c>
      <c r="Z16" s="50">
        <v>1.339</v>
      </c>
      <c r="AA16" s="50">
        <v>20.521999999999998</v>
      </c>
      <c r="AB16" s="50">
        <v>2E-3</v>
      </c>
      <c r="AC16" s="95">
        <v>7.1289999999999996</v>
      </c>
      <c r="AD16" s="2141"/>
    </row>
    <row r="17" spans="1:30" ht="13.35" customHeight="1">
      <c r="A17" s="512">
        <v>435</v>
      </c>
      <c r="B17" s="518" t="s">
        <v>466</v>
      </c>
      <c r="C17" s="79">
        <f>Drift!F53</f>
        <v>1340.5920000000001</v>
      </c>
      <c r="D17" s="50">
        <v>352.00599999999997</v>
      </c>
      <c r="E17" s="50">
        <v>1.387</v>
      </c>
      <c r="F17" s="50">
        <v>912.072</v>
      </c>
      <c r="G17" s="50">
        <v>60.793999999999997</v>
      </c>
      <c r="H17" s="50">
        <v>0.51800000000000002</v>
      </c>
      <c r="I17" s="50">
        <v>13.319000000000001</v>
      </c>
      <c r="J17" s="1127">
        <v>0</v>
      </c>
      <c r="K17" s="51">
        <v>0.318</v>
      </c>
      <c r="L17" s="179">
        <v>0.17799999999999999</v>
      </c>
      <c r="M17" s="1163">
        <f t="shared" si="0"/>
        <v>0</v>
      </c>
      <c r="N17" s="403">
        <f>Drift!H53</f>
        <v>1.1950000000000001</v>
      </c>
      <c r="O17" s="50">
        <v>0.33600000000000002</v>
      </c>
      <c r="P17" s="50">
        <v>4.7E-2</v>
      </c>
      <c r="Q17" s="50">
        <v>0.42199999999999999</v>
      </c>
      <c r="R17" s="50">
        <v>-6.0000000000000001E-3</v>
      </c>
      <c r="S17" s="50">
        <v>1.7000000000000001E-2</v>
      </c>
      <c r="T17" s="50">
        <v>1.4E-2</v>
      </c>
      <c r="U17" s="50">
        <v>0.248</v>
      </c>
      <c r="V17" s="50">
        <v>0.11600000000000001</v>
      </c>
      <c r="W17" s="50">
        <v>0</v>
      </c>
      <c r="X17" s="402">
        <f t="shared" si="1"/>
        <v>1.0000000000001119E-3</v>
      </c>
      <c r="Y17" s="405">
        <v>59.021999999999998</v>
      </c>
      <c r="Z17" s="50">
        <v>3.0000000000000001E-3</v>
      </c>
      <c r="AA17" s="50">
        <v>376.21699999999998</v>
      </c>
      <c r="AB17" s="50">
        <v>0.8</v>
      </c>
      <c r="AC17" s="95">
        <v>75.335999999999999</v>
      </c>
      <c r="AD17" s="2141"/>
    </row>
    <row r="18" spans="1:30" ht="13.35" customHeight="1">
      <c r="A18" s="512">
        <v>440</v>
      </c>
      <c r="B18" s="518" t="s">
        <v>364</v>
      </c>
      <c r="C18" s="79">
        <f>Drift!F54</f>
        <v>24346.887999999999</v>
      </c>
      <c r="D18" s="50">
        <v>5009.0959999999995</v>
      </c>
      <c r="E18" s="50">
        <v>16.940000000000001</v>
      </c>
      <c r="F18" s="50">
        <v>17191.649000000001</v>
      </c>
      <c r="G18" s="50">
        <v>1660.489</v>
      </c>
      <c r="H18" s="50">
        <v>18.042000000000002</v>
      </c>
      <c r="I18" s="50">
        <v>437.85199999999998</v>
      </c>
      <c r="J18" s="1127">
        <v>0</v>
      </c>
      <c r="K18" s="51">
        <v>10.243</v>
      </c>
      <c r="L18" s="179">
        <v>2.577</v>
      </c>
      <c r="M18" s="1163">
        <f t="shared" si="0"/>
        <v>0</v>
      </c>
      <c r="N18" s="403">
        <f>Drift!H54</f>
        <v>50.831000000000003</v>
      </c>
      <c r="O18" s="50">
        <v>15.388</v>
      </c>
      <c r="P18" s="50">
        <v>5.5990000000000002</v>
      </c>
      <c r="Q18" s="50">
        <v>13.539</v>
      </c>
      <c r="R18" s="50">
        <v>0.14399999999999999</v>
      </c>
      <c r="S18" s="50">
        <v>5.1529999999999996</v>
      </c>
      <c r="T18" s="50">
        <v>0.90700000000000003</v>
      </c>
      <c r="U18" s="50">
        <v>3.9980000000000002</v>
      </c>
      <c r="V18" s="50">
        <v>6.1040000000000001</v>
      </c>
      <c r="W18" s="50">
        <v>0</v>
      </c>
      <c r="X18" s="402">
        <f t="shared" si="1"/>
        <v>-9.9999999999766942E-4</v>
      </c>
      <c r="Y18" s="405">
        <v>1659.4670000000001</v>
      </c>
      <c r="Z18" s="50">
        <v>1.0880000000000001</v>
      </c>
      <c r="AA18" s="50">
        <v>12309.727999999999</v>
      </c>
      <c r="AB18" s="50">
        <v>55.567</v>
      </c>
      <c r="AC18" s="95">
        <v>1499.1880000000001</v>
      </c>
      <c r="AD18" s="2141"/>
    </row>
    <row r="19" spans="1:30" ht="13.35" customHeight="1">
      <c r="A19" s="512">
        <v>443</v>
      </c>
      <c r="B19" s="2173" t="s">
        <v>1180</v>
      </c>
      <c r="C19" s="79">
        <f>Drift!F55</f>
        <v>756.38</v>
      </c>
      <c r="D19" s="50">
        <v>100.078</v>
      </c>
      <c r="E19" s="50">
        <v>4.7E-2</v>
      </c>
      <c r="F19" s="50">
        <v>322.11399999999998</v>
      </c>
      <c r="G19" s="50">
        <v>320.89499999999998</v>
      </c>
      <c r="H19" s="50">
        <v>1.8959999999999999</v>
      </c>
      <c r="I19" s="50">
        <v>11.176</v>
      </c>
      <c r="J19" s="1127">
        <v>0</v>
      </c>
      <c r="K19" s="51">
        <v>0.17199999999999999</v>
      </c>
      <c r="L19" s="179">
        <v>3.0000000000000001E-3</v>
      </c>
      <c r="M19" s="1163">
        <f t="shared" si="0"/>
        <v>-1.00000000009004E-3</v>
      </c>
      <c r="N19" s="403">
        <f>Drift!H55</f>
        <v>0.39400000000000002</v>
      </c>
      <c r="O19" s="50">
        <v>0.114</v>
      </c>
      <c r="P19" s="50">
        <v>6.0000000000000001E-3</v>
      </c>
      <c r="Q19" s="50">
        <v>0.06</v>
      </c>
      <c r="R19" s="50">
        <v>1E-3</v>
      </c>
      <c r="S19" s="50">
        <v>1.4999999999999999E-2</v>
      </c>
      <c r="T19" s="50">
        <v>2.5000000000000001E-2</v>
      </c>
      <c r="U19" s="50">
        <v>0.06</v>
      </c>
      <c r="V19" s="50">
        <v>0.112</v>
      </c>
      <c r="W19" s="50">
        <v>0</v>
      </c>
      <c r="X19" s="402">
        <f t="shared" si="1"/>
        <v>1.0000000000000009E-3</v>
      </c>
      <c r="Y19" s="405">
        <v>330.01400000000001</v>
      </c>
      <c r="Z19" s="50">
        <v>2E-3</v>
      </c>
      <c r="AA19" s="50">
        <v>177.608</v>
      </c>
      <c r="AB19" s="50">
        <v>0.39500000000000002</v>
      </c>
      <c r="AC19" s="95">
        <v>28.552</v>
      </c>
      <c r="AD19" s="2141"/>
    </row>
    <row r="20" spans="1:30" ht="13.35" customHeight="1">
      <c r="A20" s="512">
        <v>450</v>
      </c>
      <c r="B20" s="518" t="s">
        <v>133</v>
      </c>
      <c r="C20" s="79">
        <f>Drift!F56</f>
        <v>26632.855</v>
      </c>
      <c r="D20" s="50">
        <v>1438.0350000000001</v>
      </c>
      <c r="E20" s="50">
        <v>38.198</v>
      </c>
      <c r="F20" s="50">
        <v>13127.733</v>
      </c>
      <c r="G20" s="50">
        <v>8488.3799999999992</v>
      </c>
      <c r="H20" s="50">
        <v>514.85199999999998</v>
      </c>
      <c r="I20" s="50">
        <v>155.20099999999999</v>
      </c>
      <c r="J20" s="1127">
        <v>0</v>
      </c>
      <c r="K20" s="51">
        <v>2850.3719999999998</v>
      </c>
      <c r="L20" s="179">
        <v>20.084</v>
      </c>
      <c r="M20" s="1163">
        <f t="shared" si="0"/>
        <v>0</v>
      </c>
      <c r="N20" s="403">
        <f>Drift!H56</f>
        <v>272.37299999999999</v>
      </c>
      <c r="O20" s="50">
        <v>5.5</v>
      </c>
      <c r="P20" s="50">
        <v>0.19</v>
      </c>
      <c r="Q20" s="50">
        <v>46.597999999999999</v>
      </c>
      <c r="R20" s="50">
        <v>3.427</v>
      </c>
      <c r="S20" s="50">
        <v>1.123</v>
      </c>
      <c r="T20" s="50">
        <v>0.432</v>
      </c>
      <c r="U20" s="50">
        <v>5.0810000000000004</v>
      </c>
      <c r="V20" s="50">
        <v>209.87100000000001</v>
      </c>
      <c r="W20" s="50">
        <v>0.151</v>
      </c>
      <c r="X20" s="402">
        <f t="shared" si="1"/>
        <v>0</v>
      </c>
      <c r="Y20" s="405">
        <v>8586.3189999999995</v>
      </c>
      <c r="Z20" s="50">
        <v>6.1120000000000001</v>
      </c>
      <c r="AA20" s="50">
        <v>1650.7840000000001</v>
      </c>
      <c r="AB20" s="50">
        <v>83.233999999999995</v>
      </c>
      <c r="AC20" s="95">
        <v>986.06200000000001</v>
      </c>
      <c r="AD20" s="2141"/>
    </row>
    <row r="21" spans="1:30" ht="13.35" customHeight="1">
      <c r="A21" s="512">
        <v>453</v>
      </c>
      <c r="B21" s="2173" t="s">
        <v>1181</v>
      </c>
      <c r="C21" s="79">
        <f>Drift!F57</f>
        <v>1374.944</v>
      </c>
      <c r="D21" s="50">
        <v>59.411000000000001</v>
      </c>
      <c r="E21" s="50">
        <v>0.218</v>
      </c>
      <c r="F21" s="50">
        <v>260.685</v>
      </c>
      <c r="G21" s="50">
        <v>788.81200000000001</v>
      </c>
      <c r="H21" s="50">
        <v>55.314</v>
      </c>
      <c r="I21" s="50">
        <v>3.411</v>
      </c>
      <c r="J21" s="1127">
        <v>0</v>
      </c>
      <c r="K21" s="51">
        <v>207.02099999999999</v>
      </c>
      <c r="L21" s="179">
        <v>7.1999999999999995E-2</v>
      </c>
      <c r="M21" s="1163">
        <f t="shared" si="0"/>
        <v>0</v>
      </c>
      <c r="N21" s="403">
        <f>Drift!H57</f>
        <v>3.359</v>
      </c>
      <c r="O21" s="50">
        <v>3.4000000000000002E-2</v>
      </c>
      <c r="P21" s="50">
        <v>3.0000000000000001E-3</v>
      </c>
      <c r="Q21" s="50">
        <v>0.43</v>
      </c>
      <c r="R21" s="50">
        <v>1.7000000000000001E-2</v>
      </c>
      <c r="S21" s="50">
        <v>1.4079999999999999</v>
      </c>
      <c r="T21" s="50">
        <v>8.9999999999999993E-3</v>
      </c>
      <c r="U21" s="50">
        <v>1E-3</v>
      </c>
      <c r="V21" s="50">
        <v>1.456</v>
      </c>
      <c r="W21" s="50">
        <v>0</v>
      </c>
      <c r="X21" s="402">
        <f t="shared" si="1"/>
        <v>1.000000000000334E-3</v>
      </c>
      <c r="Y21" s="405">
        <v>840.61500000000001</v>
      </c>
      <c r="Z21" s="50">
        <v>1E-3</v>
      </c>
      <c r="AA21" s="50">
        <v>91.369</v>
      </c>
      <c r="AB21" s="50">
        <v>0.315</v>
      </c>
      <c r="AC21" s="95">
        <v>21.748999999999999</v>
      </c>
      <c r="AD21" s="2141"/>
    </row>
    <row r="22" spans="1:30" ht="13.35" customHeight="1">
      <c r="A22" s="512" t="s">
        <v>473</v>
      </c>
      <c r="B22" s="518" t="s">
        <v>365</v>
      </c>
      <c r="C22" s="79">
        <f>Drift!F60</f>
        <v>401.77699999999999</v>
      </c>
      <c r="D22" s="50">
        <v>30.596</v>
      </c>
      <c r="E22" s="50">
        <v>2.798</v>
      </c>
      <c r="F22" s="50">
        <v>241.34</v>
      </c>
      <c r="G22" s="50">
        <v>63.069000000000003</v>
      </c>
      <c r="H22" s="50">
        <v>0.40799999999999997</v>
      </c>
      <c r="I22" s="50">
        <v>2.1000000000000001E-2</v>
      </c>
      <c r="J22" s="1127">
        <v>0</v>
      </c>
      <c r="K22" s="51">
        <v>63.545000000000002</v>
      </c>
      <c r="L22" s="179">
        <v>0</v>
      </c>
      <c r="M22" s="1163">
        <f t="shared" si="0"/>
        <v>0</v>
      </c>
      <c r="N22" s="403">
        <f>Drift!H60</f>
        <v>1.665</v>
      </c>
      <c r="O22" s="50">
        <v>0.5</v>
      </c>
      <c r="P22" s="50">
        <v>0</v>
      </c>
      <c r="Q22" s="50">
        <v>7.0000000000000001E-3</v>
      </c>
      <c r="R22" s="50">
        <v>0.497</v>
      </c>
      <c r="S22" s="50">
        <v>1.4E-2</v>
      </c>
      <c r="T22" s="50">
        <v>0.54800000000000004</v>
      </c>
      <c r="U22" s="50">
        <v>3.5000000000000003E-2</v>
      </c>
      <c r="V22" s="50">
        <v>6.4000000000000001E-2</v>
      </c>
      <c r="W22" s="50">
        <v>0</v>
      </c>
      <c r="X22" s="402">
        <f t="shared" si="1"/>
        <v>0</v>
      </c>
      <c r="Y22" s="405">
        <v>68.260000000000005</v>
      </c>
      <c r="Z22" s="50">
        <v>0</v>
      </c>
      <c r="AA22" s="50">
        <v>57.625999999999998</v>
      </c>
      <c r="AB22" s="50">
        <v>1.9059999999999999</v>
      </c>
      <c r="AC22" s="95">
        <v>28.788</v>
      </c>
      <c r="AD22" s="2141"/>
    </row>
    <row r="23" spans="1:30" ht="13.35" customHeight="1">
      <c r="A23" s="512" t="s">
        <v>474</v>
      </c>
      <c r="B23" s="518" t="s">
        <v>366</v>
      </c>
      <c r="C23" s="79">
        <f>Drift!F61</f>
        <v>2241.3850000000002</v>
      </c>
      <c r="D23" s="50">
        <v>43.923999999999999</v>
      </c>
      <c r="E23" s="50">
        <v>15.775</v>
      </c>
      <c r="F23" s="50">
        <v>1491.307</v>
      </c>
      <c r="G23" s="50">
        <v>409.87099999999998</v>
      </c>
      <c r="H23" s="50">
        <v>22.11</v>
      </c>
      <c r="I23" s="50">
        <v>28.716000000000001</v>
      </c>
      <c r="J23" s="1127">
        <v>0</v>
      </c>
      <c r="K23" s="51">
        <v>229.672</v>
      </c>
      <c r="L23" s="179">
        <v>0.01</v>
      </c>
      <c r="M23" s="1163">
        <f t="shared" si="0"/>
        <v>0</v>
      </c>
      <c r="N23" s="403">
        <f>Drift!H61</f>
        <v>17.27</v>
      </c>
      <c r="O23" s="50">
        <v>0.94799999999999995</v>
      </c>
      <c r="P23" s="50">
        <v>0.49199999999999999</v>
      </c>
      <c r="Q23" s="50">
        <v>7.1459999999999999</v>
      </c>
      <c r="R23" s="50">
        <v>5.9349999999999996</v>
      </c>
      <c r="S23" s="50">
        <v>0.123</v>
      </c>
      <c r="T23" s="50">
        <v>0.49199999999999999</v>
      </c>
      <c r="U23" s="50">
        <v>0.82699999999999996</v>
      </c>
      <c r="V23" s="50">
        <v>1.3069999999999999</v>
      </c>
      <c r="W23" s="50">
        <v>0</v>
      </c>
      <c r="X23" s="402">
        <f>N23-SUM(O23:W23)</f>
        <v>0</v>
      </c>
      <c r="Y23" s="405">
        <v>435.50400000000002</v>
      </c>
      <c r="Z23" s="50">
        <v>0.16900000000000001</v>
      </c>
      <c r="AA23" s="50">
        <v>2285.556</v>
      </c>
      <c r="AB23" s="50">
        <v>17.61</v>
      </c>
      <c r="AC23" s="95">
        <v>266.404</v>
      </c>
      <c r="AD23" s="2141"/>
    </row>
    <row r="24" spans="1:30" ht="13.35" customHeight="1">
      <c r="A24" s="2353">
        <v>476</v>
      </c>
      <c r="B24" s="2355" t="s">
        <v>92</v>
      </c>
      <c r="C24" s="79">
        <f>Drift!F62</f>
        <v>851.66399999999999</v>
      </c>
      <c r="D24" s="50">
        <v>210.982</v>
      </c>
      <c r="E24" s="50">
        <v>9.15</v>
      </c>
      <c r="F24" s="50">
        <v>393.73599999999999</v>
      </c>
      <c r="G24" s="50">
        <v>96.65</v>
      </c>
      <c r="H24" s="50">
        <v>3.0539999999999998</v>
      </c>
      <c r="I24" s="50">
        <v>0.224</v>
      </c>
      <c r="J24" s="1127">
        <v>0</v>
      </c>
      <c r="K24" s="51">
        <v>137.86699999999999</v>
      </c>
      <c r="L24" s="179">
        <v>0</v>
      </c>
      <c r="M24" s="1163">
        <f t="shared" si="0"/>
        <v>1.00000000009004E-3</v>
      </c>
      <c r="N24" s="403">
        <f>Drift!H62</f>
        <v>2.0739999999999998</v>
      </c>
      <c r="O24" s="50">
        <v>0.42899999999999999</v>
      </c>
      <c r="P24" s="50">
        <v>0</v>
      </c>
      <c r="Q24" s="50">
        <v>0.41699999999999998</v>
      </c>
      <c r="R24" s="50">
        <v>0.91500000000000004</v>
      </c>
      <c r="S24" s="50">
        <v>6.0000000000000001E-3</v>
      </c>
      <c r="T24" s="50">
        <v>0.127</v>
      </c>
      <c r="U24" s="50">
        <v>0.10199999999999999</v>
      </c>
      <c r="V24" s="50">
        <v>7.8E-2</v>
      </c>
      <c r="W24" s="50">
        <v>0</v>
      </c>
      <c r="X24" s="402">
        <f>N24-SUM(O24:W24)</f>
        <v>0</v>
      </c>
      <c r="Y24" s="404">
        <v>87.894999999999996</v>
      </c>
      <c r="Z24" s="50">
        <v>0</v>
      </c>
      <c r="AA24" s="50">
        <v>495.78800000000001</v>
      </c>
      <c r="AB24" s="50">
        <v>20.742999999999999</v>
      </c>
      <c r="AC24" s="95">
        <v>58.768000000000001</v>
      </c>
      <c r="AD24" s="2141"/>
    </row>
    <row r="25" spans="1:30" ht="13.35" customHeight="1">
      <c r="A25" s="512">
        <v>474</v>
      </c>
      <c r="B25" s="518" t="s">
        <v>1187</v>
      </c>
      <c r="C25" s="79">
        <f>Drift!F64</f>
        <v>35.058</v>
      </c>
      <c r="D25" s="50">
        <v>0.28999999999999998</v>
      </c>
      <c r="E25" s="50">
        <v>5.1999999999999998E-2</v>
      </c>
      <c r="F25" s="50">
        <v>2.9510000000000001</v>
      </c>
      <c r="G25" s="50">
        <v>15.632</v>
      </c>
      <c r="H25" s="50">
        <v>1.0999999999999999E-2</v>
      </c>
      <c r="I25" s="50">
        <v>8.0000000000000002E-3</v>
      </c>
      <c r="J25" s="1127">
        <v>0</v>
      </c>
      <c r="K25" s="51">
        <v>16.114000000000001</v>
      </c>
      <c r="L25" s="179">
        <v>0</v>
      </c>
      <c r="M25" s="402">
        <f t="shared" si="0"/>
        <v>0</v>
      </c>
      <c r="N25" s="403">
        <f>Drift!H64</f>
        <v>0.25900000000000001</v>
      </c>
      <c r="O25" s="50">
        <v>0.17899999999999999</v>
      </c>
      <c r="P25" s="50">
        <v>0</v>
      </c>
      <c r="Q25" s="50">
        <v>0</v>
      </c>
      <c r="R25" s="50">
        <v>2.1000000000000001E-2</v>
      </c>
      <c r="S25" s="50">
        <v>1.0999999999999999E-2</v>
      </c>
      <c r="T25" s="50">
        <v>1.7000000000000001E-2</v>
      </c>
      <c r="U25" s="50">
        <v>0.03</v>
      </c>
      <c r="V25" s="50">
        <v>1E-3</v>
      </c>
      <c r="W25" s="50">
        <v>0</v>
      </c>
      <c r="X25" s="402">
        <f t="shared" si="1"/>
        <v>0</v>
      </c>
      <c r="Y25" s="404">
        <v>15.981</v>
      </c>
      <c r="Z25" s="50">
        <v>0</v>
      </c>
      <c r="AA25" s="50">
        <v>17.402000000000001</v>
      </c>
      <c r="AB25" s="50">
        <v>0.55800000000000005</v>
      </c>
      <c r="AC25" s="95">
        <v>1.3460000000000001</v>
      </c>
      <c r="AD25" s="2141"/>
    </row>
    <row r="26" spans="1:30" ht="13.35" customHeight="1">
      <c r="A26" s="2353">
        <v>475</v>
      </c>
      <c r="B26" s="2355" t="s">
        <v>87</v>
      </c>
      <c r="C26" s="79">
        <f>Drift!F65</f>
        <v>127.68600000000001</v>
      </c>
      <c r="D26" s="50">
        <v>5.7960000000000003</v>
      </c>
      <c r="E26" s="50">
        <v>2.9460000000000002</v>
      </c>
      <c r="F26" s="50">
        <v>103.075</v>
      </c>
      <c r="G26" s="50">
        <v>4.4470000000000001</v>
      </c>
      <c r="H26" s="50">
        <v>0.91400000000000003</v>
      </c>
      <c r="I26" s="50">
        <v>2.024</v>
      </c>
      <c r="J26" s="1127">
        <v>0</v>
      </c>
      <c r="K26" s="51">
        <v>8.0909999999999993</v>
      </c>
      <c r="L26" s="179">
        <v>0.39400000000000002</v>
      </c>
      <c r="M26" s="402">
        <f t="shared" si="0"/>
        <v>-1.0000000000047748E-3</v>
      </c>
      <c r="N26" s="403">
        <f>Drift!H65</f>
        <v>59.67</v>
      </c>
      <c r="O26" s="50">
        <v>10.746</v>
      </c>
      <c r="P26" s="50">
        <v>0</v>
      </c>
      <c r="Q26" s="50">
        <v>4.2510000000000003</v>
      </c>
      <c r="R26" s="50">
        <v>0.76</v>
      </c>
      <c r="S26" s="50">
        <v>0</v>
      </c>
      <c r="T26" s="50">
        <v>0.21099999999999999</v>
      </c>
      <c r="U26" s="50">
        <v>42.987000000000002</v>
      </c>
      <c r="V26" s="50">
        <v>0.71399999999999997</v>
      </c>
      <c r="W26" s="50">
        <v>0</v>
      </c>
      <c r="X26" s="402">
        <f>N26-SUM(O26:W26)</f>
        <v>1.0000000000047748E-3</v>
      </c>
      <c r="Y26" s="404">
        <v>8.9860000000000007</v>
      </c>
      <c r="Z26" s="50">
        <v>0.499</v>
      </c>
      <c r="AA26" s="50">
        <v>716.01300000000003</v>
      </c>
      <c r="AB26" s="50">
        <v>5.5</v>
      </c>
      <c r="AC26" s="95">
        <v>14.869</v>
      </c>
      <c r="AD26" s="2141"/>
    </row>
    <row r="27" spans="1:30" ht="13.35" customHeight="1">
      <c r="A27" s="2353">
        <v>478</v>
      </c>
      <c r="B27" s="2355" t="s">
        <v>885</v>
      </c>
      <c r="C27" s="79">
        <f>Drift!F66</f>
        <v>11.099</v>
      </c>
      <c r="D27" s="50">
        <v>0.65700000000000003</v>
      </c>
      <c r="E27" s="50">
        <v>6.4000000000000001E-2</v>
      </c>
      <c r="F27" s="50">
        <v>3.4380000000000002</v>
      </c>
      <c r="G27" s="50">
        <v>3.6760000000000002</v>
      </c>
      <c r="H27" s="50">
        <v>0.312</v>
      </c>
      <c r="I27" s="50">
        <v>0</v>
      </c>
      <c r="J27" s="1127">
        <v>0</v>
      </c>
      <c r="K27" s="51">
        <v>2.952</v>
      </c>
      <c r="L27" s="179">
        <v>0</v>
      </c>
      <c r="M27" s="402">
        <f t="shared" si="0"/>
        <v>0</v>
      </c>
      <c r="N27" s="403">
        <f>Drift!H66</f>
        <v>1.544</v>
      </c>
      <c r="O27" s="50">
        <v>0.65100000000000002</v>
      </c>
      <c r="P27" s="50">
        <v>2E-3</v>
      </c>
      <c r="Q27" s="50">
        <v>0.27400000000000002</v>
      </c>
      <c r="R27" s="50">
        <v>0</v>
      </c>
      <c r="S27" s="50">
        <v>1.2999999999999999E-2</v>
      </c>
      <c r="T27" s="50">
        <v>0.15</v>
      </c>
      <c r="U27" s="50">
        <v>1E-3</v>
      </c>
      <c r="V27" s="50">
        <v>0.45300000000000001</v>
      </c>
      <c r="W27" s="50">
        <v>0</v>
      </c>
      <c r="X27" s="402">
        <f t="shared" si="1"/>
        <v>0</v>
      </c>
      <c r="Y27" s="404">
        <v>1.1240000000000001</v>
      </c>
      <c r="Z27" s="50">
        <v>0.25900000000000001</v>
      </c>
      <c r="AA27" s="50">
        <v>35.393999999999998</v>
      </c>
      <c r="AB27" s="50">
        <v>4.3550000000000004</v>
      </c>
      <c r="AC27" s="95">
        <v>7.9349999999999996</v>
      </c>
      <c r="AD27" s="2141"/>
    </row>
    <row r="28" spans="1:30" ht="13.35" customHeight="1">
      <c r="A28" s="512">
        <v>509</v>
      </c>
      <c r="B28" s="518" t="s">
        <v>426</v>
      </c>
      <c r="C28" s="79">
        <f>SUM(Drift!F70,Drift!F71)</f>
        <v>410.58199999999999</v>
      </c>
      <c r="D28" s="62">
        <v>0.1</v>
      </c>
      <c r="E28" s="62">
        <v>0</v>
      </c>
      <c r="F28" s="62">
        <v>155.54499999999999</v>
      </c>
      <c r="G28" s="62">
        <v>0.18</v>
      </c>
      <c r="H28" s="62">
        <v>252.01900000000001</v>
      </c>
      <c r="I28" s="62">
        <v>0.189</v>
      </c>
      <c r="J28" s="1133">
        <v>0</v>
      </c>
      <c r="K28" s="179">
        <v>1.0329999999999999</v>
      </c>
      <c r="L28" s="179">
        <v>1.516</v>
      </c>
      <c r="M28" s="402">
        <f t="shared" si="0"/>
        <v>0</v>
      </c>
      <c r="N28" s="403">
        <f>SUM(Drift!H70,Drift!H71)</f>
        <v>1.224</v>
      </c>
      <c r="O28" s="62">
        <v>0.14599999999999999</v>
      </c>
      <c r="P28" s="62">
        <v>0</v>
      </c>
      <c r="Q28" s="62">
        <v>0</v>
      </c>
      <c r="R28" s="62">
        <v>0</v>
      </c>
      <c r="S28" s="62">
        <v>0</v>
      </c>
      <c r="T28" s="62">
        <v>0</v>
      </c>
      <c r="U28" s="62">
        <v>0</v>
      </c>
      <c r="V28" s="62">
        <v>1.0780000000000001</v>
      </c>
      <c r="W28" s="62">
        <v>0</v>
      </c>
      <c r="X28" s="402">
        <f t="shared" si="1"/>
        <v>0</v>
      </c>
      <c r="Y28" s="405">
        <v>20.745999999999999</v>
      </c>
      <c r="Z28" s="62">
        <v>84.646000000000001</v>
      </c>
      <c r="AA28" s="62">
        <v>103.76900000000001</v>
      </c>
      <c r="AB28" s="62">
        <v>0</v>
      </c>
      <c r="AC28" s="95">
        <v>39.649000000000001</v>
      </c>
      <c r="AD28" s="2141"/>
    </row>
    <row r="29" spans="1:30" ht="13.35" customHeight="1">
      <c r="A29" s="512">
        <v>510</v>
      </c>
      <c r="B29" s="518" t="s">
        <v>476</v>
      </c>
      <c r="C29" s="79">
        <f>Drift!F73</f>
        <v>25738.143</v>
      </c>
      <c r="D29" s="50">
        <v>2637.0239999999999</v>
      </c>
      <c r="E29" s="50">
        <v>635.68899999999996</v>
      </c>
      <c r="F29" s="50">
        <v>20893.920999999998</v>
      </c>
      <c r="G29" s="50">
        <v>344.39</v>
      </c>
      <c r="H29" s="50">
        <v>231.273</v>
      </c>
      <c r="I29" s="50">
        <v>2.411</v>
      </c>
      <c r="J29" s="1127">
        <v>0</v>
      </c>
      <c r="K29" s="51">
        <v>993.38499999999999</v>
      </c>
      <c r="L29" s="179">
        <v>4.9000000000000002E-2</v>
      </c>
      <c r="M29" s="402">
        <f t="shared" si="0"/>
        <v>1.0000000038417056E-3</v>
      </c>
      <c r="N29" s="403">
        <f>Drift!H73</f>
        <v>1228.479</v>
      </c>
      <c r="O29" s="50">
        <v>118.43</v>
      </c>
      <c r="P29" s="50">
        <v>36.957000000000001</v>
      </c>
      <c r="Q29" s="50">
        <v>472.14600000000002</v>
      </c>
      <c r="R29" s="50">
        <v>5.343</v>
      </c>
      <c r="S29" s="50">
        <v>14.603999999999999</v>
      </c>
      <c r="T29" s="50">
        <v>8.8409999999999993</v>
      </c>
      <c r="U29" s="50">
        <v>8.5139999999999993</v>
      </c>
      <c r="V29" s="50">
        <v>563.51099999999997</v>
      </c>
      <c r="W29" s="50">
        <v>0.13400000000000001</v>
      </c>
      <c r="X29" s="402">
        <f t="shared" si="1"/>
        <v>-9.9999999997635314E-4</v>
      </c>
      <c r="Y29" s="405">
        <v>356.97199999999998</v>
      </c>
      <c r="Z29" s="50">
        <v>214.87299999999999</v>
      </c>
      <c r="AA29" s="50">
        <v>5626.39</v>
      </c>
      <c r="AB29" s="50">
        <v>7.859</v>
      </c>
      <c r="AC29" s="95">
        <v>2649.3609999999999</v>
      </c>
      <c r="AD29" s="2141"/>
    </row>
    <row r="30" spans="1:30" ht="18" customHeight="1">
      <c r="A30" s="512">
        <v>520</v>
      </c>
      <c r="B30" s="557" t="s">
        <v>360</v>
      </c>
      <c r="C30" s="79">
        <f>Drift!F74</f>
        <v>3927.0239999999999</v>
      </c>
      <c r="D30" s="50">
        <v>277.71600000000001</v>
      </c>
      <c r="E30" s="50">
        <v>16.344000000000001</v>
      </c>
      <c r="F30" s="50">
        <v>3439.1819999999998</v>
      </c>
      <c r="G30" s="50">
        <v>43.923000000000002</v>
      </c>
      <c r="H30" s="50">
        <v>17.555</v>
      </c>
      <c r="I30" s="50">
        <v>6.6260000000000003</v>
      </c>
      <c r="J30" s="1127">
        <v>0</v>
      </c>
      <c r="K30" s="50">
        <v>125.675</v>
      </c>
      <c r="L30" s="50">
        <v>3.0000000000000001E-3</v>
      </c>
      <c r="M30" s="402">
        <f>C30-SUM(D30:L30)</f>
        <v>0</v>
      </c>
      <c r="N30" s="403">
        <f>Drift!H74</f>
        <v>454.96199999999999</v>
      </c>
      <c r="O30" s="50">
        <v>105.80800000000001</v>
      </c>
      <c r="P30" s="50">
        <v>2.3420000000000001</v>
      </c>
      <c r="Q30" s="50">
        <v>169.16200000000001</v>
      </c>
      <c r="R30" s="50">
        <v>0.95</v>
      </c>
      <c r="S30" s="50">
        <v>0.47199999999999998</v>
      </c>
      <c r="T30" s="50">
        <v>1.024</v>
      </c>
      <c r="U30" s="168">
        <v>1.0860000000000001</v>
      </c>
      <c r="V30" s="50">
        <v>174.11799999999999</v>
      </c>
      <c r="W30" s="50">
        <v>0</v>
      </c>
      <c r="X30" s="402">
        <f>N30-SUM(O30:W30)</f>
        <v>0</v>
      </c>
      <c r="Y30" s="404">
        <v>33.036000000000001</v>
      </c>
      <c r="Z30" s="50">
        <v>13.603</v>
      </c>
      <c r="AA30" s="50">
        <v>382.61099999999999</v>
      </c>
      <c r="AB30" s="50">
        <v>1.002</v>
      </c>
      <c r="AC30" s="486">
        <v>338.44299999999998</v>
      </c>
      <c r="AD30" s="2141"/>
    </row>
    <row r="31" spans="1:30" ht="13.5" customHeight="1">
      <c r="A31" s="512">
        <v>513</v>
      </c>
      <c r="B31" s="1313" t="s">
        <v>361</v>
      </c>
      <c r="C31" s="79">
        <f>Drift!F75</f>
        <v>16201.638999999999</v>
      </c>
      <c r="D31" s="50">
        <v>1656.2170000000001</v>
      </c>
      <c r="E31" s="50">
        <v>304.84800000000001</v>
      </c>
      <c r="F31" s="50">
        <v>13328.54</v>
      </c>
      <c r="G31" s="50">
        <v>314.92399999999998</v>
      </c>
      <c r="H31" s="50">
        <v>91.116</v>
      </c>
      <c r="I31" s="50">
        <v>34.116</v>
      </c>
      <c r="J31" s="1127">
        <v>0</v>
      </c>
      <c r="K31" s="51">
        <v>471.50200000000001</v>
      </c>
      <c r="L31" s="179">
        <v>0.377</v>
      </c>
      <c r="M31" s="402">
        <f t="shared" si="0"/>
        <v>-1.0000000038417056E-3</v>
      </c>
      <c r="N31" s="403">
        <f>Drift!H75</f>
        <v>5281.1419999999998</v>
      </c>
      <c r="O31" s="50">
        <v>17.989999999999998</v>
      </c>
      <c r="P31" s="50">
        <v>9.1180000000000003</v>
      </c>
      <c r="Q31" s="50">
        <v>131.18600000000001</v>
      </c>
      <c r="R31" s="50">
        <v>1.9670000000000001</v>
      </c>
      <c r="S31" s="50">
        <v>1.925</v>
      </c>
      <c r="T31" s="50">
        <v>2.327</v>
      </c>
      <c r="U31" s="168">
        <v>4616.1139999999996</v>
      </c>
      <c r="V31" s="50">
        <v>500.51600000000002</v>
      </c>
      <c r="W31" s="50">
        <v>0</v>
      </c>
      <c r="X31" s="402">
        <f>N31-SUM(O31:W31)</f>
        <v>-9.9999999929423211E-4</v>
      </c>
      <c r="Y31" s="404">
        <v>246.17099999999999</v>
      </c>
      <c r="Z31" s="50">
        <v>14.086</v>
      </c>
      <c r="AA31" s="50">
        <v>1014.426</v>
      </c>
      <c r="AB31" s="50">
        <v>1.736</v>
      </c>
      <c r="AC31" s="486">
        <v>6060.4849999999997</v>
      </c>
      <c r="AD31" s="2141"/>
    </row>
    <row r="32" spans="1:30" ht="13.35" customHeight="1">
      <c r="A32" s="512">
        <v>530</v>
      </c>
      <c r="B32" s="976" t="s">
        <v>99</v>
      </c>
      <c r="C32" s="2351">
        <f>Drift!F76</f>
        <v>2142.3879999999999</v>
      </c>
      <c r="D32" s="50">
        <v>1.377</v>
      </c>
      <c r="E32" s="50">
        <v>0.129</v>
      </c>
      <c r="F32" s="50">
        <v>1308.345</v>
      </c>
      <c r="G32" s="50">
        <v>7.5439999999999996</v>
      </c>
      <c r="H32" s="50">
        <v>799.49400000000003</v>
      </c>
      <c r="I32" s="50">
        <v>1.5149999999999999</v>
      </c>
      <c r="J32" s="1127">
        <v>0</v>
      </c>
      <c r="K32" s="51">
        <v>23.984000000000002</v>
      </c>
      <c r="L32" s="179">
        <v>0</v>
      </c>
      <c r="M32" s="402">
        <f t="shared" si="0"/>
        <v>0</v>
      </c>
      <c r="N32" s="2352">
        <f>Drift!H76</f>
        <v>35.176000000000002</v>
      </c>
      <c r="O32" s="50">
        <v>2.9000000000000001E-2</v>
      </c>
      <c r="P32" s="50">
        <v>0.42599999999999999</v>
      </c>
      <c r="Q32" s="50">
        <v>0.1</v>
      </c>
      <c r="R32" s="50">
        <v>4.0000000000000001E-3</v>
      </c>
      <c r="S32" s="50">
        <v>33.734000000000002</v>
      </c>
      <c r="T32" s="50">
        <v>1.0369999999999999</v>
      </c>
      <c r="U32" s="50">
        <v>0</v>
      </c>
      <c r="V32" s="50">
        <v>-0.154</v>
      </c>
      <c r="W32" s="50">
        <v>0</v>
      </c>
      <c r="X32" s="402">
        <f t="shared" si="1"/>
        <v>0</v>
      </c>
      <c r="Y32" s="404">
        <v>9.31</v>
      </c>
      <c r="Z32" s="50">
        <v>1.2E-2</v>
      </c>
      <c r="AA32" s="50">
        <v>7.7460000000000004</v>
      </c>
      <c r="AB32" s="50">
        <v>0</v>
      </c>
      <c r="AC32" s="95">
        <v>22.055</v>
      </c>
      <c r="AD32" s="2141"/>
    </row>
    <row r="33" spans="1:30" ht="13.35" customHeight="1">
      <c r="A33" s="512">
        <v>559</v>
      </c>
      <c r="B33" s="976" t="s">
        <v>195</v>
      </c>
      <c r="C33" s="79">
        <f>Drift!F79</f>
        <v>3191.6990000000001</v>
      </c>
      <c r="D33" s="50">
        <v>304.47800000000001</v>
      </c>
      <c r="E33" s="50">
        <v>1.109</v>
      </c>
      <c r="F33" s="50">
        <v>2240.462</v>
      </c>
      <c r="G33" s="50">
        <v>38.395000000000003</v>
      </c>
      <c r="H33" s="50">
        <v>24.533999999999999</v>
      </c>
      <c r="I33" s="50">
        <v>551.71600000000001</v>
      </c>
      <c r="J33" s="1127">
        <v>0</v>
      </c>
      <c r="K33" s="50">
        <v>30.995000000000001</v>
      </c>
      <c r="L33" s="50">
        <v>0.01</v>
      </c>
      <c r="M33" s="1163">
        <f t="shared" si="0"/>
        <v>0</v>
      </c>
      <c r="N33" s="403">
        <f>Drift!H79</f>
        <v>142.03800000000001</v>
      </c>
      <c r="O33" s="50">
        <v>123.85299999999999</v>
      </c>
      <c r="P33" s="50">
        <v>0.33500000000000002</v>
      </c>
      <c r="Q33" s="50">
        <v>6.05</v>
      </c>
      <c r="R33" s="50">
        <v>0.69099999999999995</v>
      </c>
      <c r="S33" s="50">
        <v>0.4</v>
      </c>
      <c r="T33" s="50">
        <v>0.77700000000000002</v>
      </c>
      <c r="U33" s="50">
        <v>0.83299999999999996</v>
      </c>
      <c r="V33" s="50">
        <v>8.9909999999999997</v>
      </c>
      <c r="W33" s="50">
        <v>0.108</v>
      </c>
      <c r="X33" s="1163">
        <f t="shared" si="1"/>
        <v>0</v>
      </c>
      <c r="Y33" s="404">
        <v>29.061</v>
      </c>
      <c r="Z33" s="62">
        <v>1.4059999999999999</v>
      </c>
      <c r="AA33" s="62">
        <v>185.14699999999999</v>
      </c>
      <c r="AB33" s="62">
        <v>1.899</v>
      </c>
      <c r="AC33" s="171">
        <v>202.30699999999999</v>
      </c>
      <c r="AD33" s="2141"/>
    </row>
    <row r="34" spans="1:30" ht="13.35" customHeight="1">
      <c r="A34" s="512">
        <v>552</v>
      </c>
      <c r="B34" s="518" t="s">
        <v>134</v>
      </c>
      <c r="C34" s="2351">
        <f>SUM(D34+E34+F34+G34+H34+I34+K34+L34)</f>
        <v>2123.4009999999998</v>
      </c>
      <c r="D34" s="50">
        <v>83.162999999999997</v>
      </c>
      <c r="E34" s="50">
        <v>0.25</v>
      </c>
      <c r="F34" s="50">
        <v>1455.5429999999999</v>
      </c>
      <c r="G34" s="50">
        <v>12.583</v>
      </c>
      <c r="H34" s="50">
        <v>15.057</v>
      </c>
      <c r="I34" s="50">
        <v>542.68700000000001</v>
      </c>
      <c r="J34" s="1127">
        <v>0</v>
      </c>
      <c r="K34" s="50">
        <v>14.116</v>
      </c>
      <c r="L34" s="50">
        <v>2E-3</v>
      </c>
      <c r="M34" s="1163">
        <f>IF(OR(C34="",C34=0),"",C34-SUM(D34:L34))</f>
        <v>0</v>
      </c>
      <c r="N34" s="2352">
        <f>SUM(O34+P34+Q34+R34+S34+T34+U34+V34+W34)</f>
        <v>79.082999999999998</v>
      </c>
      <c r="O34" s="50">
        <v>74.010000000000005</v>
      </c>
      <c r="P34" s="50">
        <v>0.16300000000000001</v>
      </c>
      <c r="Q34" s="50">
        <v>0.94799999999999995</v>
      </c>
      <c r="R34" s="50">
        <v>0.38600000000000001</v>
      </c>
      <c r="S34" s="50">
        <v>0.152</v>
      </c>
      <c r="T34" s="50">
        <v>0.17599999999999999</v>
      </c>
      <c r="U34" s="50">
        <v>0.39</v>
      </c>
      <c r="V34" s="50">
        <v>2.8580000000000001</v>
      </c>
      <c r="W34" s="50">
        <v>0</v>
      </c>
      <c r="X34" s="1163">
        <f>IF(OR(N34="",N34=0),"",N34-SUM(O34:W34))</f>
        <v>0</v>
      </c>
      <c r="Y34" s="405">
        <v>10.173999999999999</v>
      </c>
      <c r="Z34" s="50">
        <v>0.66200000000000003</v>
      </c>
      <c r="AA34" s="50">
        <v>32.755000000000003</v>
      </c>
      <c r="AB34" s="50">
        <v>0.125</v>
      </c>
      <c r="AC34" s="171">
        <v>86.846000000000004</v>
      </c>
      <c r="AD34" s="2141"/>
    </row>
    <row r="35" spans="1:30" ht="13.35" customHeight="1">
      <c r="A35" s="512">
        <v>569</v>
      </c>
      <c r="B35" s="513" t="s">
        <v>103</v>
      </c>
      <c r="C35" s="79">
        <f>Drift!F80</f>
        <v>10489.955</v>
      </c>
      <c r="D35" s="50">
        <v>252.173</v>
      </c>
      <c r="E35" s="50">
        <v>2.5270000000000001</v>
      </c>
      <c r="F35" s="50">
        <v>8711.7810000000009</v>
      </c>
      <c r="G35" s="50">
        <v>182.87</v>
      </c>
      <c r="H35" s="50">
        <v>75.438999999999993</v>
      </c>
      <c r="I35" s="50">
        <v>1210.0160000000001</v>
      </c>
      <c r="J35" s="1127">
        <v>0</v>
      </c>
      <c r="K35" s="50">
        <v>54.098999999999997</v>
      </c>
      <c r="L35" s="50">
        <v>1.0509999999999999</v>
      </c>
      <c r="M35" s="1163">
        <f t="shared" si="0"/>
        <v>-1.0000000020227162E-3</v>
      </c>
      <c r="N35" s="403">
        <f>Drift!H80</f>
        <v>135.53200000000001</v>
      </c>
      <c r="O35" s="50">
        <v>49.673000000000002</v>
      </c>
      <c r="P35" s="50">
        <v>1.2410000000000001</v>
      </c>
      <c r="Q35" s="50">
        <v>16.305</v>
      </c>
      <c r="R35" s="50">
        <v>2.2050000000000001</v>
      </c>
      <c r="S35" s="50">
        <v>3.0979999999999999</v>
      </c>
      <c r="T35" s="50">
        <v>2.9390000000000001</v>
      </c>
      <c r="U35" s="50">
        <v>1.492</v>
      </c>
      <c r="V35" s="50">
        <v>58.405000000000001</v>
      </c>
      <c r="W35" s="50">
        <v>0.17299999999999999</v>
      </c>
      <c r="X35" s="1163">
        <f t="shared" si="1"/>
        <v>1.0000000000047748E-3</v>
      </c>
      <c r="Y35" s="405">
        <v>190.98099999999999</v>
      </c>
      <c r="Z35" s="50">
        <v>18.593</v>
      </c>
      <c r="AA35" s="50">
        <v>748.18700000000001</v>
      </c>
      <c r="AB35" s="50">
        <v>12.904999999999999</v>
      </c>
      <c r="AC35" s="171">
        <v>687.85199999999998</v>
      </c>
      <c r="AD35" s="2141"/>
    </row>
    <row r="36" spans="1:30" ht="13.35" customHeight="1">
      <c r="A36" s="512">
        <v>554</v>
      </c>
      <c r="B36" s="518" t="s">
        <v>199</v>
      </c>
      <c r="C36" s="79">
        <f>SUM(D36+E36+F36+G36+H36+I36+K36+L36)</f>
        <v>6472.1010000000006</v>
      </c>
      <c r="D36" s="50">
        <v>140.93299999999999</v>
      </c>
      <c r="E36" s="50">
        <v>1.228</v>
      </c>
      <c r="F36" s="50">
        <v>5042.6760000000004</v>
      </c>
      <c r="G36" s="50">
        <v>53.442999999999998</v>
      </c>
      <c r="H36" s="50">
        <v>14.13</v>
      </c>
      <c r="I36" s="50">
        <v>1175.7439999999999</v>
      </c>
      <c r="J36" s="1127">
        <v>0</v>
      </c>
      <c r="K36" s="50">
        <v>43.57</v>
      </c>
      <c r="L36" s="50">
        <v>0.377</v>
      </c>
      <c r="M36" s="1163">
        <f>IF(OR(C36="",C36=0),"",C36-SUM(D36:L36))</f>
        <v>0</v>
      </c>
      <c r="N36" s="403">
        <f>SUM(O36+P36+Q36+R36+S36+T36+U36+V36+W36)</f>
        <v>28.025000000000002</v>
      </c>
      <c r="O36" s="50">
        <v>4.3449999999999998</v>
      </c>
      <c r="P36" s="50">
        <v>0</v>
      </c>
      <c r="Q36" s="50">
        <v>7.4139999999999997</v>
      </c>
      <c r="R36" s="50">
        <v>0.56599999999999995</v>
      </c>
      <c r="S36" s="50">
        <v>0.224</v>
      </c>
      <c r="T36" s="50">
        <v>0.46</v>
      </c>
      <c r="U36" s="50">
        <v>-8.1000000000000003E-2</v>
      </c>
      <c r="V36" s="50">
        <v>15.097</v>
      </c>
      <c r="W36" s="50">
        <v>0</v>
      </c>
      <c r="X36" s="1163">
        <f>IF(OR(N36="",N36=0),"",N36-SUM(O36:W36))</f>
        <v>0</v>
      </c>
      <c r="Y36" s="405">
        <v>55.448</v>
      </c>
      <c r="Z36" s="50">
        <v>7.37</v>
      </c>
      <c r="AA36" s="50">
        <v>108.818</v>
      </c>
      <c r="AB36" s="50">
        <v>0.34799999999999998</v>
      </c>
      <c r="AC36" s="171">
        <v>276.88200000000001</v>
      </c>
      <c r="AD36" s="2141"/>
    </row>
    <row r="37" spans="1:30" ht="13.35" customHeight="1">
      <c r="A37" s="512">
        <v>580</v>
      </c>
      <c r="B37" s="518" t="s">
        <v>135</v>
      </c>
      <c r="C37" s="79">
        <f>SUM(Drift!F81,Drift!F82,Drift!F84)</f>
        <v>1333.1749999999997</v>
      </c>
      <c r="D37" s="50">
        <v>178.572</v>
      </c>
      <c r="E37" s="50">
        <v>1.3460000000000001</v>
      </c>
      <c r="F37" s="50">
        <v>925.78300000000002</v>
      </c>
      <c r="G37" s="50">
        <v>184.166</v>
      </c>
      <c r="H37" s="50">
        <v>6.9569999999999999</v>
      </c>
      <c r="I37" s="50">
        <v>5.8920000000000003</v>
      </c>
      <c r="J37" s="1127">
        <v>0</v>
      </c>
      <c r="K37" s="51">
        <v>30.478000000000002</v>
      </c>
      <c r="L37" s="179">
        <v>-0.02</v>
      </c>
      <c r="M37" s="1163">
        <f t="shared" si="0"/>
        <v>9.9999999952160579E-4</v>
      </c>
      <c r="N37" s="403">
        <f>SUM(Drift!H81,Drift!H82,Drift!H84)</f>
        <v>11012.884</v>
      </c>
      <c r="O37" s="50">
        <v>299.47899999999998</v>
      </c>
      <c r="P37" s="50">
        <v>2.4969999999999999</v>
      </c>
      <c r="Q37" s="50">
        <v>61.655000000000001</v>
      </c>
      <c r="R37" s="50">
        <v>3.4279999999999999</v>
      </c>
      <c r="S37" s="50">
        <v>2.266</v>
      </c>
      <c r="T37" s="50">
        <v>4.4649999999999999</v>
      </c>
      <c r="U37" s="50">
        <v>0.64700000000000002</v>
      </c>
      <c r="V37" s="50">
        <v>10638.445</v>
      </c>
      <c r="W37" s="50">
        <v>2E-3</v>
      </c>
      <c r="X37" s="1163">
        <f t="shared" si="1"/>
        <v>0</v>
      </c>
      <c r="Y37" s="404">
        <v>191.13200000000001</v>
      </c>
      <c r="Z37" s="50">
        <v>0.90200000000000002</v>
      </c>
      <c r="AA37" s="50">
        <v>441.83499999999998</v>
      </c>
      <c r="AB37" s="50">
        <v>3.08</v>
      </c>
      <c r="AC37" s="95">
        <v>437.94</v>
      </c>
      <c r="AD37" s="2141"/>
    </row>
    <row r="38" spans="1:30" ht="13.35" customHeight="1">
      <c r="A38" s="512">
        <v>600</v>
      </c>
      <c r="B38" s="513" t="s">
        <v>110</v>
      </c>
      <c r="C38" s="79">
        <f>Drift!F87</f>
        <v>251.93</v>
      </c>
      <c r="D38" s="62">
        <v>13.558999999999999</v>
      </c>
      <c r="E38" s="62">
        <v>1.35</v>
      </c>
      <c r="F38" s="62">
        <v>184.358</v>
      </c>
      <c r="G38" s="62">
        <v>29.882999999999999</v>
      </c>
      <c r="H38" s="62">
        <v>4.492</v>
      </c>
      <c r="I38" s="62">
        <v>7.298</v>
      </c>
      <c r="J38" s="1133">
        <v>0</v>
      </c>
      <c r="K38" s="179">
        <v>10.989000000000001</v>
      </c>
      <c r="L38" s="179">
        <v>0</v>
      </c>
      <c r="M38" s="402">
        <f t="shared" si="0"/>
        <v>1.0000000000047748E-3</v>
      </c>
      <c r="N38" s="403">
        <f>Drift!H87</f>
        <v>423.37900000000002</v>
      </c>
      <c r="O38" s="62">
        <v>127.92400000000001</v>
      </c>
      <c r="P38" s="62">
        <v>2.0760000000000001</v>
      </c>
      <c r="Q38" s="62">
        <v>10.581</v>
      </c>
      <c r="R38" s="62">
        <v>1.032</v>
      </c>
      <c r="S38" s="62">
        <v>0.67800000000000005</v>
      </c>
      <c r="T38" s="62">
        <v>0.432</v>
      </c>
      <c r="U38" s="62">
        <v>1.623</v>
      </c>
      <c r="V38" s="62">
        <v>279.02800000000002</v>
      </c>
      <c r="W38" s="62">
        <v>5.0000000000000001E-3</v>
      </c>
      <c r="X38" s="402">
        <f t="shared" si="1"/>
        <v>0</v>
      </c>
      <c r="Y38" s="405">
        <v>25.690999999999999</v>
      </c>
      <c r="Z38" s="62">
        <v>18.164000000000001</v>
      </c>
      <c r="AA38" s="62">
        <v>3428.9989999999998</v>
      </c>
      <c r="AB38" s="62">
        <v>14.22</v>
      </c>
      <c r="AC38" s="95">
        <v>53.137</v>
      </c>
      <c r="AD38" s="2141"/>
    </row>
    <row r="39" spans="1:30" ht="13.35" customHeight="1">
      <c r="A39" s="512">
        <v>610</v>
      </c>
      <c r="B39" s="518" t="s">
        <v>136</v>
      </c>
      <c r="C39" s="79">
        <f>Drift!F88</f>
        <v>187.82400000000001</v>
      </c>
      <c r="D39" s="50">
        <v>54.39</v>
      </c>
      <c r="E39" s="50">
        <v>25.37</v>
      </c>
      <c r="F39" s="50">
        <v>66.78</v>
      </c>
      <c r="G39" s="50">
        <v>24.259</v>
      </c>
      <c r="H39" s="50">
        <v>2.9649999999999999</v>
      </c>
      <c r="I39" s="50">
        <v>9.0009999999999994</v>
      </c>
      <c r="J39" s="1127">
        <v>0</v>
      </c>
      <c r="K39" s="51">
        <v>5.0590000000000002</v>
      </c>
      <c r="L39" s="179">
        <v>1E-3</v>
      </c>
      <c r="M39" s="402">
        <f t="shared" si="0"/>
        <v>-1.0000000000331966E-3</v>
      </c>
      <c r="N39" s="403">
        <f>Drift!H88</f>
        <v>175.08799999999999</v>
      </c>
      <c r="O39" s="50">
        <v>62.877000000000002</v>
      </c>
      <c r="P39" s="50">
        <v>15.114000000000001</v>
      </c>
      <c r="Q39" s="50">
        <v>25.27</v>
      </c>
      <c r="R39" s="50">
        <v>23.309000000000001</v>
      </c>
      <c r="S39" s="50">
        <v>0.49</v>
      </c>
      <c r="T39" s="50">
        <v>29.321000000000002</v>
      </c>
      <c r="U39" s="50">
        <v>3.44</v>
      </c>
      <c r="V39" s="50">
        <v>15.189</v>
      </c>
      <c r="W39" s="50">
        <v>7.9000000000000001E-2</v>
      </c>
      <c r="X39" s="402">
        <f t="shared" si="1"/>
        <v>-1.0000000000047748E-3</v>
      </c>
      <c r="Y39" s="405">
        <v>58.47</v>
      </c>
      <c r="Z39" s="50">
        <v>0.40899999999999997</v>
      </c>
      <c r="AA39" s="50">
        <v>2464.018</v>
      </c>
      <c r="AB39" s="50">
        <v>136.39500000000001</v>
      </c>
      <c r="AC39" s="95">
        <v>268.32299999999998</v>
      </c>
      <c r="AD39" s="2141"/>
    </row>
    <row r="40" spans="1:30" ht="13.35" customHeight="1">
      <c r="A40" s="512">
        <v>890</v>
      </c>
      <c r="B40" s="518" t="s">
        <v>137</v>
      </c>
      <c r="C40" s="79">
        <f>Drift!F109</f>
        <v>7352.8279999999995</v>
      </c>
      <c r="D40" s="50">
        <v>10.493</v>
      </c>
      <c r="E40" s="50">
        <v>2131.6089999999999</v>
      </c>
      <c r="F40" s="50">
        <v>4228.79</v>
      </c>
      <c r="G40" s="50">
        <v>111.657</v>
      </c>
      <c r="H40" s="50">
        <v>478.68299999999999</v>
      </c>
      <c r="I40" s="50">
        <v>79.408000000000001</v>
      </c>
      <c r="J40" s="1127">
        <v>0</v>
      </c>
      <c r="K40" s="51">
        <v>296.09500000000003</v>
      </c>
      <c r="L40" s="179">
        <v>16.091999999999999</v>
      </c>
      <c r="M40" s="402">
        <f t="shared" si="0"/>
        <v>9.9999999929423211E-4</v>
      </c>
      <c r="N40" s="403">
        <f>Drift!H109</f>
        <v>1269.1160000000002</v>
      </c>
      <c r="O40" s="50">
        <v>14.32</v>
      </c>
      <c r="P40" s="50">
        <v>549.55999999999995</v>
      </c>
      <c r="Q40" s="50">
        <v>171.27500000000001</v>
      </c>
      <c r="R40" s="50">
        <v>14.458</v>
      </c>
      <c r="S40" s="50">
        <v>220.70699999999999</v>
      </c>
      <c r="T40" s="50">
        <v>265.654</v>
      </c>
      <c r="U40" s="50">
        <v>14</v>
      </c>
      <c r="V40" s="50">
        <v>19.140999999999998</v>
      </c>
      <c r="W40" s="50">
        <v>0</v>
      </c>
      <c r="X40" s="402">
        <f t="shared" si="1"/>
        <v>1.0000000002037268E-3</v>
      </c>
      <c r="Y40" s="405">
        <v>179.76499999999999</v>
      </c>
      <c r="Z40" s="50">
        <v>23.141999999999999</v>
      </c>
      <c r="AA40" s="50">
        <v>1571.0709999999999</v>
      </c>
      <c r="AB40" s="50">
        <v>10.356</v>
      </c>
      <c r="AC40" s="95">
        <v>5886.44</v>
      </c>
      <c r="AD40" s="2141"/>
    </row>
    <row r="41" spans="1:30" ht="13.35" customHeight="1">
      <c r="A41" s="727">
        <v>940</v>
      </c>
      <c r="B41" s="976" t="s">
        <v>138</v>
      </c>
      <c r="C41" s="2334">
        <f>SUM(Drift!F111:F112)</f>
        <v>1078.24</v>
      </c>
      <c r="D41" s="2335">
        <v>11.3</v>
      </c>
      <c r="E41" s="2335">
        <v>345.29899999999998</v>
      </c>
      <c r="F41" s="2335">
        <v>346.89100000000002</v>
      </c>
      <c r="G41" s="2335">
        <v>246.17400000000001</v>
      </c>
      <c r="H41" s="2335">
        <v>18.885000000000002</v>
      </c>
      <c r="I41" s="2335">
        <v>2.7709999999999999</v>
      </c>
      <c r="J41" s="997">
        <v>0</v>
      </c>
      <c r="K41" s="2336">
        <v>106.905</v>
      </c>
      <c r="L41" s="2337">
        <v>1.4999999999999999E-2</v>
      </c>
      <c r="M41" s="2338">
        <f t="shared" si="0"/>
        <v>0</v>
      </c>
      <c r="N41" s="2339">
        <f>SUM(Drift!H111:H112)</f>
        <v>524.74</v>
      </c>
      <c r="O41" s="2335">
        <v>178.899</v>
      </c>
      <c r="P41" s="2335">
        <v>145.834</v>
      </c>
      <c r="Q41" s="2335">
        <v>68.962999999999994</v>
      </c>
      <c r="R41" s="2335">
        <v>2.6629999999999998</v>
      </c>
      <c r="S41" s="2335">
        <v>4.6109999999999998</v>
      </c>
      <c r="T41" s="2335">
        <v>53.290999999999997</v>
      </c>
      <c r="U41" s="2335">
        <v>62.645000000000003</v>
      </c>
      <c r="V41" s="2335">
        <v>5.492</v>
      </c>
      <c r="W41" s="2335">
        <v>2.343</v>
      </c>
      <c r="X41" s="2338">
        <f t="shared" si="1"/>
        <v>-9.9999999997635314E-4</v>
      </c>
      <c r="Y41" s="2340">
        <v>853.49400000000003</v>
      </c>
      <c r="Z41" s="2335">
        <v>32.722000000000001</v>
      </c>
      <c r="AA41" s="2335">
        <v>1152.9590000000001</v>
      </c>
      <c r="AB41" s="2335">
        <v>152.06100000000001</v>
      </c>
      <c r="AC41" s="215">
        <v>1234.4939999999999</v>
      </c>
      <c r="AD41" s="2141"/>
    </row>
    <row r="42" spans="1:30" ht="13.35" customHeight="1" thickBot="1">
      <c r="A42" s="2341" t="s">
        <v>273</v>
      </c>
      <c r="B42" s="2342" t="s">
        <v>33</v>
      </c>
      <c r="C42" s="2343">
        <f t="shared" ref="C42:AC42" si="2">SUM(C9:C33,C35,C37:C41)</f>
        <v>167543.38399999996</v>
      </c>
      <c r="D42" s="2344">
        <f t="shared" si="2"/>
        <v>18720.091999999997</v>
      </c>
      <c r="E42" s="2344">
        <f t="shared" si="2"/>
        <v>5694.9889999999987</v>
      </c>
      <c r="F42" s="2344">
        <f t="shared" si="2"/>
        <v>112180.32599999999</v>
      </c>
      <c r="G42" s="2344">
        <f t="shared" si="2"/>
        <v>14954.097999999998</v>
      </c>
      <c r="H42" s="2344">
        <f t="shared" si="2"/>
        <v>2639.3100000000004</v>
      </c>
      <c r="I42" s="2344">
        <f t="shared" si="2"/>
        <v>2729.8029999999999</v>
      </c>
      <c r="J42" s="2345">
        <f t="shared" si="2"/>
        <v>0</v>
      </c>
      <c r="K42" s="2344">
        <f t="shared" si="2"/>
        <v>10572.565999999999</v>
      </c>
      <c r="L42" s="2344">
        <f t="shared" si="2"/>
        <v>52.199999999999989</v>
      </c>
      <c r="M42" s="2346">
        <f t="shared" si="2"/>
        <v>-3.4248159863636829E-12</v>
      </c>
      <c r="N42" s="2347">
        <f t="shared" si="2"/>
        <v>30561.962000000007</v>
      </c>
      <c r="O42" s="2344">
        <f t="shared" si="2"/>
        <v>5488.4680000000008</v>
      </c>
      <c r="P42" s="2344">
        <f t="shared" si="2"/>
        <v>1877.8680000000002</v>
      </c>
      <c r="Q42" s="2344">
        <f t="shared" si="2"/>
        <v>2176.7229999999995</v>
      </c>
      <c r="R42" s="2344">
        <f t="shared" si="2"/>
        <v>109.13699999999999</v>
      </c>
      <c r="S42" s="2344">
        <f t="shared" si="2"/>
        <v>367.48099999999999</v>
      </c>
      <c r="T42" s="2344">
        <f t="shared" si="2"/>
        <v>1135.0420000000001</v>
      </c>
      <c r="U42" s="2344">
        <f t="shared" si="2"/>
        <v>6818.2849999999999</v>
      </c>
      <c r="V42" s="2344">
        <f t="shared" si="2"/>
        <v>12582.005999999999</v>
      </c>
      <c r="W42" s="2344">
        <f t="shared" si="2"/>
        <v>6.9449999999999994</v>
      </c>
      <c r="X42" s="2346">
        <f t="shared" si="2"/>
        <v>7.0000000008464403E-3</v>
      </c>
      <c r="Y42" s="2347">
        <f t="shared" si="2"/>
        <v>15751.873</v>
      </c>
      <c r="Z42" s="2348">
        <f t="shared" si="2"/>
        <v>452.024</v>
      </c>
      <c r="AA42" s="2348">
        <f t="shared" si="2"/>
        <v>44027.170999999988</v>
      </c>
      <c r="AB42" s="2348">
        <f t="shared" si="2"/>
        <v>709.22200000000009</v>
      </c>
      <c r="AC42" s="2346">
        <f t="shared" si="2"/>
        <v>24951.213999999993</v>
      </c>
      <c r="AD42" s="2141"/>
    </row>
    <row r="43" spans="1:30" ht="12" customHeight="1">
      <c r="A43" s="542"/>
      <c r="B43" s="808" t="s">
        <v>990</v>
      </c>
      <c r="C43" s="8"/>
      <c r="D43" s="44"/>
      <c r="E43" s="44"/>
      <c r="F43" s="44"/>
      <c r="G43" s="44"/>
      <c r="H43" s="44"/>
      <c r="I43" s="44"/>
      <c r="J43" s="1566"/>
      <c r="K43" s="44"/>
      <c r="L43" s="1568" t="str">
        <f>IF(OR(ABS(L42&gt;500),(L42&lt;-500),COUNTIF(L9:L41,"&gt;500")&gt;0,COUNTIF(L9:L41,"&lt;-500")&gt;0),"Kommentera vad köp av v-het från utlandet avser","")</f>
        <v/>
      </c>
      <c r="M43" s="1921" t="str">
        <f>IF(OR(ABS(M42&gt;100),(M42&lt;-100),COUNTIF(M9:M41,"&gt;100")&gt;0,COUNTIF(M9:M41,"&lt;-100")&gt;0),"Rätta differenserna i kolumn M","")</f>
        <v/>
      </c>
      <c r="N43" s="2328"/>
      <c r="O43" s="243"/>
      <c r="P43" s="243"/>
      <c r="Q43" s="243"/>
      <c r="R43" s="243"/>
      <c r="S43" s="243"/>
      <c r="T43" s="244"/>
      <c r="V43" s="244"/>
      <c r="W43" s="2329"/>
      <c r="X43" s="2330" t="str">
        <f>IF(OR(ABS(X42&gt;100),(X42&lt;-100),COUNTIF(X9:X41,"&gt;100")&gt;0,COUNTIF(X9:X41,"&lt;-100")&gt;0),"Rätta differenserna i kolumn X","")</f>
        <v/>
      </c>
      <c r="Y43" s="2331">
        <f>SUM('Verks int o kostn'!I27+'Verks int o kostn'!I29)</f>
        <v>15751.897000000001</v>
      </c>
      <c r="Z43" s="2332">
        <f>'Verks int o kostn'!I28</f>
        <v>452.024</v>
      </c>
      <c r="AA43" s="2332">
        <f>SUM('Verks int o kostn'!D17,'Verks int o kostn'!D18)</f>
        <v>44148.238000000005</v>
      </c>
      <c r="AB43" s="2332">
        <f>'Verks int o kostn'!D23</f>
        <v>709.24</v>
      </c>
      <c r="AC43" s="2333">
        <f>SUM('Verks int o kostn'!D14,'Verks int o kostn'!D19,'Verks int o kostn'!D20,'Verks int o kostn'!D21,'Verks int o kostn'!D22,'Verks int o kostn'!D24,'Verks int o kostn'!D25)</f>
        <v>25178.129000000001</v>
      </c>
      <c r="AD43" s="2141"/>
    </row>
    <row r="44" spans="1:30" ht="12.75" customHeight="1" thickBot="1">
      <c r="A44" s="535"/>
      <c r="B44" s="978" t="s">
        <v>126</v>
      </c>
      <c r="C44" s="241"/>
      <c r="D44" s="121"/>
      <c r="E44" s="121"/>
      <c r="F44" s="121"/>
      <c r="G44" s="121"/>
      <c r="H44" s="121"/>
      <c r="I44" s="121"/>
      <c r="J44" s="487"/>
      <c r="K44" s="121"/>
      <c r="L44" s="488"/>
      <c r="M44" s="1230" t="str">
        <f>IF(OR(COUNTIF(M29:M31,"&gt;10")&gt;0,COUNTIF(M29:M31,"&lt;-10")&gt;0),"Rätta differensen mellan Driften och Motparten på rad 510, 513 och/eller rad 520","")</f>
        <v/>
      </c>
      <c r="N44" s="489"/>
      <c r="O44" s="242"/>
      <c r="P44" s="121"/>
      <c r="Q44" s="121"/>
      <c r="R44" s="121"/>
      <c r="S44" s="121"/>
      <c r="T44" s="122"/>
      <c r="U44" s="492" t="str">
        <f>IFERROR(IF('Verks int o kostn'!I41&gt;U31,"Kontrollera beloppet cell U31 mot rad 630 i verks kostn",""),0)</f>
        <v/>
      </c>
      <c r="V44" s="122"/>
      <c r="W44" s="242"/>
      <c r="X44" s="490"/>
      <c r="Y44" s="379">
        <f>Y42-Y43</f>
        <v>-2.4000000001251465E-2</v>
      </c>
      <c r="Z44" s="380">
        <f>Z42-Z43</f>
        <v>0</v>
      </c>
      <c r="AA44" s="381">
        <f>AA42-AA43</f>
        <v>-121.06700000001729</v>
      </c>
      <c r="AB44" s="381">
        <f>AB42-AB43</f>
        <v>-1.7999999999915417E-2</v>
      </c>
      <c r="AC44" s="382">
        <f>AC42-AC43</f>
        <v>-226.91500000000815</v>
      </c>
      <c r="AD44" s="2141"/>
    </row>
    <row r="45" spans="1:30" ht="12.75" customHeight="1">
      <c r="A45" s="2141"/>
      <c r="B45" s="2141"/>
      <c r="C45" s="2141"/>
      <c r="D45" s="2141"/>
      <c r="E45" s="2141"/>
      <c r="F45" s="2141"/>
      <c r="G45" s="2141"/>
      <c r="H45" s="2141"/>
      <c r="I45" s="2141"/>
      <c r="J45" s="2141"/>
      <c r="K45" s="2141"/>
      <c r="L45" s="2141"/>
      <c r="M45" s="2141"/>
      <c r="N45" s="2141"/>
      <c r="O45" s="2141"/>
      <c r="P45" s="2141"/>
      <c r="Q45" s="2141"/>
      <c r="R45" s="2141"/>
      <c r="S45" s="2141"/>
      <c r="T45" s="2141"/>
      <c r="U45" s="2141"/>
      <c r="V45" s="2141"/>
      <c r="W45" s="2141"/>
      <c r="X45" s="2141"/>
      <c r="Y45" s="2141"/>
      <c r="Z45" s="2141"/>
      <c r="AA45" s="2141"/>
      <c r="AB45" s="2141"/>
      <c r="AC45" s="2141"/>
      <c r="AD45" s="2141"/>
    </row>
    <row r="46" spans="1:30" ht="12.75" customHeight="1">
      <c r="A46" s="2141"/>
      <c r="B46" s="2141"/>
      <c r="C46" s="2141"/>
      <c r="D46" s="2141"/>
      <c r="E46" s="2141"/>
      <c r="F46" s="2141"/>
      <c r="G46" s="2141"/>
      <c r="H46" s="2141"/>
      <c r="I46" s="2141"/>
      <c r="J46" s="2141"/>
      <c r="K46" s="2141"/>
      <c r="L46" s="2141"/>
      <c r="M46" s="2141"/>
      <c r="N46" s="2141"/>
      <c r="O46" s="2141"/>
      <c r="P46" s="2141"/>
      <c r="Q46" s="2141"/>
      <c r="R46" s="2141"/>
      <c r="S46" s="2141"/>
      <c r="T46" s="2141"/>
      <c r="U46" s="2141"/>
      <c r="V46" s="2141"/>
      <c r="W46" s="2141"/>
      <c r="X46" s="2141"/>
      <c r="Y46" s="2141"/>
      <c r="Z46" s="2141"/>
      <c r="AA46" s="2141"/>
      <c r="AB46" s="2141"/>
      <c r="AC46" s="2141"/>
      <c r="AD46" s="2141"/>
    </row>
    <row r="47" spans="1:30" ht="12.75" customHeight="1">
      <c r="A47" s="2141"/>
      <c r="B47" s="2141"/>
      <c r="C47" s="2141"/>
      <c r="D47" s="2141"/>
      <c r="E47" s="2141"/>
      <c r="F47" s="2141"/>
      <c r="G47" s="2141"/>
      <c r="H47" s="2141"/>
      <c r="I47" s="2141"/>
      <c r="J47" s="2141"/>
      <c r="K47" s="2141"/>
      <c r="L47" s="2141"/>
      <c r="M47" s="2141"/>
      <c r="N47" s="2141"/>
      <c r="O47" s="2141"/>
      <c r="P47" s="2141"/>
      <c r="Q47" s="2141"/>
      <c r="R47" s="2141"/>
      <c r="S47" s="2141"/>
      <c r="T47" s="2141"/>
      <c r="U47" s="2141"/>
      <c r="V47" s="2141"/>
      <c r="W47" s="2141"/>
      <c r="X47" s="2141"/>
      <c r="Y47" s="2141"/>
      <c r="Z47" s="2141"/>
      <c r="AA47" s="2141"/>
      <c r="AB47" s="2141"/>
      <c r="AC47" s="2141"/>
      <c r="AD47" s="2141"/>
    </row>
    <row r="48" spans="1:30" ht="9.75" customHeight="1">
      <c r="A48" s="2141"/>
      <c r="B48" s="2141"/>
      <c r="C48" s="2141"/>
      <c r="D48" s="2141"/>
      <c r="E48" s="2141"/>
      <c r="F48" s="2141"/>
      <c r="G48" s="2141"/>
      <c r="H48" s="2141"/>
      <c r="I48" s="2141"/>
      <c r="J48" s="2141"/>
      <c r="K48" s="2141"/>
      <c r="L48" s="2141"/>
      <c r="M48" s="2141"/>
      <c r="N48" s="2141"/>
      <c r="O48" s="2141"/>
      <c r="P48" s="2141"/>
      <c r="Q48" s="2141"/>
      <c r="R48" s="2141"/>
      <c r="S48" s="2141"/>
      <c r="T48" s="2141"/>
      <c r="U48" s="2141"/>
      <c r="V48" s="2141"/>
      <c r="W48" s="2141"/>
      <c r="X48" s="2141"/>
      <c r="Y48" s="2141"/>
      <c r="Z48" s="2141"/>
      <c r="AA48" s="2141"/>
      <c r="AB48" s="2141"/>
      <c r="AC48" s="2141"/>
      <c r="AD48" s="2141"/>
    </row>
    <row r="49" spans="1:30" ht="10.5" customHeight="1">
      <c r="A49" s="2141"/>
      <c r="B49" s="2141"/>
      <c r="C49" s="2141"/>
      <c r="D49" s="2141"/>
      <c r="E49" s="2141"/>
      <c r="F49" s="2141"/>
      <c r="G49" s="2141"/>
      <c r="H49" s="2141"/>
      <c r="I49" s="2141"/>
      <c r="J49" s="2141"/>
      <c r="K49" s="2141"/>
      <c r="L49" s="2141"/>
      <c r="M49" s="2141"/>
      <c r="N49" s="2141"/>
      <c r="O49" s="2141"/>
      <c r="P49" s="2141"/>
      <c r="Q49" s="2141"/>
      <c r="R49" s="2141"/>
      <c r="S49" s="2141"/>
      <c r="T49" s="2141"/>
      <c r="U49" s="2141"/>
      <c r="V49" s="2141"/>
      <c r="W49" s="2141"/>
      <c r="X49" s="2141"/>
      <c r="Y49" s="2141"/>
      <c r="Z49" s="2141"/>
      <c r="AA49" s="2141"/>
      <c r="AB49" s="2141"/>
      <c r="AC49" s="2141"/>
      <c r="AD49" s="2141"/>
    </row>
    <row r="50" spans="1:30" ht="9.75" customHeight="1">
      <c r="A50" s="2141"/>
      <c r="B50" s="2141"/>
      <c r="C50" s="2141"/>
      <c r="D50" s="2141"/>
      <c r="E50" s="2141"/>
      <c r="F50" s="2141"/>
      <c r="G50" s="2141"/>
      <c r="H50" s="2141"/>
      <c r="I50" s="2141"/>
      <c r="J50" s="2141"/>
      <c r="K50" s="2141"/>
      <c r="L50" s="2141"/>
      <c r="M50" s="2141"/>
      <c r="N50" s="2141"/>
      <c r="O50" s="2141"/>
      <c r="P50" s="2141"/>
      <c r="Q50" s="2141"/>
      <c r="R50" s="2141"/>
      <c r="S50" s="2141"/>
      <c r="T50" s="2141"/>
      <c r="U50" s="2141"/>
      <c r="V50" s="2141"/>
      <c r="W50" s="2141"/>
      <c r="X50" s="2141"/>
      <c r="Y50" s="2141"/>
      <c r="Z50" s="2141"/>
      <c r="AA50" s="2141"/>
      <c r="AB50" s="2141"/>
      <c r="AC50" s="2141"/>
      <c r="AD50" s="2141"/>
    </row>
    <row r="51" spans="1:30" ht="12.75">
      <c r="A51" s="2141"/>
      <c r="B51" s="2141"/>
      <c r="C51" s="2141"/>
      <c r="D51" s="2141"/>
      <c r="E51" s="2141"/>
      <c r="F51" s="2141"/>
      <c r="G51" s="2141"/>
      <c r="H51" s="2141"/>
      <c r="I51" s="2141"/>
      <c r="J51" s="2141"/>
      <c r="K51" s="2141"/>
      <c r="L51" s="2141"/>
      <c r="M51" s="2141"/>
      <c r="N51" s="2141"/>
      <c r="O51" s="2141"/>
      <c r="P51" s="2141"/>
      <c r="Q51" s="2141"/>
      <c r="R51" s="2141"/>
      <c r="S51" s="2141"/>
      <c r="T51" s="2141"/>
      <c r="U51" s="2141"/>
      <c r="V51" s="2141"/>
      <c r="W51" s="2141"/>
      <c r="X51" s="2141"/>
      <c r="Y51" s="2141"/>
      <c r="Z51" s="2141"/>
      <c r="AA51" s="2141"/>
      <c r="AB51" s="2141"/>
      <c r="AC51" s="2141"/>
      <c r="AD51" s="2141"/>
    </row>
    <row r="52" spans="1:30" ht="12.75">
      <c r="A52" s="2141"/>
      <c r="B52" s="2141"/>
      <c r="C52" s="2141"/>
      <c r="D52" s="2141"/>
      <c r="E52" s="2141"/>
      <c r="F52" s="2141"/>
      <c r="G52" s="2141"/>
      <c r="H52" s="2141"/>
      <c r="I52" s="2141"/>
      <c r="J52" s="2141"/>
      <c r="K52" s="2141"/>
      <c r="L52" s="2141"/>
      <c r="M52" s="2141"/>
      <c r="N52" s="2141"/>
      <c r="O52" s="2141"/>
      <c r="P52" s="2141"/>
      <c r="Q52" s="2141"/>
      <c r="R52" s="2141"/>
      <c r="S52" s="2141"/>
      <c r="T52" s="2141"/>
      <c r="U52" s="2141"/>
      <c r="V52" s="2141"/>
      <c r="W52" s="2141"/>
      <c r="X52" s="2141"/>
      <c r="Y52" s="2141"/>
      <c r="Z52" s="2141"/>
      <c r="AA52" s="2141"/>
      <c r="AB52" s="2141"/>
      <c r="AC52" s="2141"/>
      <c r="AD52" s="2141"/>
    </row>
    <row r="53" spans="1:30" ht="12" customHeight="1">
      <c r="A53" s="2141"/>
      <c r="B53" s="2141"/>
      <c r="C53" s="2141"/>
      <c r="D53" s="2141"/>
      <c r="E53" s="2141"/>
      <c r="F53" s="2141"/>
      <c r="G53" s="2141"/>
      <c r="H53" s="2141"/>
      <c r="I53" s="2141"/>
      <c r="J53" s="2141"/>
      <c r="K53" s="2141"/>
      <c r="L53" s="2141"/>
      <c r="M53" s="2141"/>
      <c r="N53" s="2141"/>
      <c r="O53" s="2141"/>
      <c r="P53" s="2141"/>
      <c r="Q53" s="2141"/>
      <c r="R53" s="2141"/>
      <c r="S53" s="2141"/>
      <c r="T53" s="2141"/>
      <c r="U53" s="2141"/>
      <c r="V53" s="2141"/>
      <c r="W53" s="2141"/>
      <c r="X53" s="2141"/>
      <c r="Y53" s="2141"/>
      <c r="Z53" s="2141"/>
      <c r="AA53" s="2141"/>
      <c r="AB53" s="2141"/>
      <c r="AC53" s="2141"/>
      <c r="AD53" s="2141"/>
    </row>
    <row r="54" spans="1:30" ht="12.75">
      <c r="A54" s="2141"/>
      <c r="B54" s="2141"/>
      <c r="C54" s="2141"/>
      <c r="D54" s="2141"/>
      <c r="E54" s="2141"/>
      <c r="F54" s="2141"/>
      <c r="G54" s="2141"/>
      <c r="H54" s="2141"/>
      <c r="I54" s="2141"/>
      <c r="J54" s="2141"/>
      <c r="K54" s="2141"/>
      <c r="L54" s="2141"/>
      <c r="M54" s="2141"/>
      <c r="N54" s="2141"/>
      <c r="O54" s="2141"/>
      <c r="P54" s="2141"/>
      <c r="Q54" s="2141"/>
      <c r="R54" s="2141"/>
      <c r="S54" s="2141"/>
      <c r="T54" s="2141"/>
      <c r="U54" s="2141"/>
      <c r="V54" s="2141"/>
      <c r="W54" s="2141"/>
      <c r="X54" s="2141"/>
      <c r="Y54" s="2141"/>
      <c r="Z54" s="2141"/>
      <c r="AA54" s="2141"/>
      <c r="AB54" s="2141"/>
      <c r="AC54" s="2141"/>
      <c r="AD54" s="2141"/>
    </row>
    <row r="55" spans="1:30" ht="12.75">
      <c r="A55" s="2141"/>
      <c r="B55" s="2141"/>
      <c r="C55" s="2141"/>
      <c r="D55" s="2141"/>
      <c r="E55" s="2141"/>
      <c r="F55" s="2141"/>
      <c r="G55" s="2141"/>
      <c r="H55" s="2141"/>
      <c r="I55" s="2141"/>
      <c r="J55" s="2141"/>
      <c r="K55" s="2141"/>
      <c r="L55" s="2141"/>
      <c r="M55" s="2141"/>
      <c r="N55" s="2141"/>
      <c r="O55" s="2141"/>
      <c r="P55" s="2141"/>
      <c r="Q55" s="2141"/>
      <c r="R55" s="2141"/>
      <c r="S55" s="2141"/>
      <c r="T55" s="2141"/>
      <c r="U55" s="2141"/>
      <c r="V55" s="2141"/>
      <c r="W55" s="2141"/>
      <c r="X55" s="2141"/>
      <c r="Y55" s="2141"/>
      <c r="Z55" s="2141"/>
      <c r="AA55" s="2141"/>
      <c r="AB55" s="2141"/>
      <c r="AC55" s="2141"/>
      <c r="AD55" s="2141"/>
    </row>
    <row r="56" spans="1:30"/>
    <row r="57" spans="1:30"/>
    <row r="58" spans="1:30"/>
  </sheetData>
  <customSheetViews>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alignWithMargins="0">
        <oddHeader>&amp;L&amp;8Statistiska Centralbyrån
Offentlig ekonomi&amp;R&amp;P</oddHeader>
      </headerFooter>
    </customSheetView>
  </customSheetViews>
  <phoneticPr fontId="89" type="noConversion"/>
  <conditionalFormatting sqref="D9:L41 O9:W41 Y9:AC41">
    <cfRule type="cellIs" dxfId="9" priority="9" stopIfTrue="1" operator="lessThan">
      <formula>-500</formula>
    </cfRule>
  </conditionalFormatting>
  <conditionalFormatting sqref="D34:L34 O34:W34 Y34:AC34 D36:L36 O36:W36 Y36:AC36">
    <cfRule type="cellIs" dxfId="8" priority="40" stopIfTrue="1" operator="lessThan">
      <formula>-500</formula>
    </cfRule>
    <cfRule type="cellIs" dxfId="7" priority="41" stopIfTrue="1" operator="greaterThan">
      <formula>D33</formula>
    </cfRule>
  </conditionalFormatting>
  <conditionalFormatting sqref="J9:J41">
    <cfRule type="cellIs" dxfId="6" priority="8" stopIfTrue="1" operator="greaterThan">
      <formula>1</formula>
    </cfRule>
  </conditionalFormatting>
  <conditionalFormatting sqref="M9:M28 X9:X42 M32:M42">
    <cfRule type="cellIs" dxfId="5" priority="27" stopIfTrue="1" operator="notBetween">
      <formula>-500</formula>
      <formula>500</formula>
    </cfRule>
  </conditionalFormatting>
  <conditionalFormatting sqref="M29:M31">
    <cfRule type="cellIs" dxfId="4" priority="11" stopIfTrue="1" operator="notBetween">
      <formula>-10</formula>
      <formula>10</formula>
    </cfRule>
  </conditionalFormatting>
  <conditionalFormatting sqref="U33">
    <cfRule type="cellIs" dxfId="3" priority="7" stopIfTrue="1" operator="greaterThan">
      <formula>1</formula>
    </cfRule>
  </conditionalFormatting>
  <conditionalFormatting sqref="U35">
    <cfRule type="cellIs" dxfId="2" priority="6" stopIfTrue="1" operator="greaterThan">
      <formula>1</formula>
    </cfRule>
  </conditionalFormatting>
  <dataValidations count="1">
    <dataValidation type="decimal" operator="lessThan" allowBlank="1" showInputMessage="1" showErrorMessage="1" error="Beloppet ska vara i 1000 tal kr" sqref="Y9:AC41 O9:W41 D9:L41"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13"/>
  <sheetViews>
    <sheetView showGridLines="0" zoomScaleNormal="100" workbookViewId="0">
      <pane xSplit="2" ySplit="7" topLeftCell="C8" activePane="bottomRight" state="frozen"/>
      <selection activeCell="F36" sqref="F36"/>
      <selection pane="topRight" activeCell="F36" sqref="F36"/>
      <selection pane="bottomLeft" activeCell="F36" sqref="F36"/>
      <selection pane="bottomRight"/>
    </sheetView>
  </sheetViews>
  <sheetFormatPr defaultColWidth="0" defaultRowHeight="12.75"/>
  <cols>
    <col min="1" max="1" width="4" style="250" customWidth="1"/>
    <col min="2" max="2" width="27.42578125" style="203" customWidth="1"/>
    <col min="3" max="5" width="10.42578125" style="203" customWidth="1"/>
    <col min="6" max="6" width="9.5703125" style="203" customWidth="1"/>
    <col min="7" max="7" width="8.42578125" style="203" customWidth="1"/>
    <col min="8" max="8" width="8.42578125" style="251" hidden="1" customWidth="1"/>
    <col min="9" max="9" width="25.5703125" style="203" customWidth="1"/>
    <col min="10" max="10" width="7" style="203" customWidth="1"/>
    <col min="11" max="11" width="1.42578125" style="204" customWidth="1"/>
    <col min="12" max="12" width="0.5703125" style="204" customWidth="1"/>
    <col min="13" max="13" width="12.7109375" style="164" customWidth="1"/>
    <col min="14" max="15" width="1" style="164" customWidth="1"/>
    <col min="16" max="16" width="1" style="252" customWidth="1"/>
    <col min="17" max="17" width="59.7109375" style="4" customWidth="1"/>
    <col min="18" max="23" width="8.42578125" style="163" customWidth="1"/>
    <col min="24" max="24" width="8.42578125" style="164" customWidth="1"/>
    <col min="25" max="26" width="9.42578125" style="163" customWidth="1"/>
    <col min="27" max="16384" width="0" style="163" hidden="1"/>
  </cols>
  <sheetData>
    <row r="1" spans="1:256" ht="21.75">
      <c r="A1" s="73" t="str">
        <f>"Specificering pedagogisk verksamhet "&amp;År&amp;", miljoner kr"</f>
        <v>Specificering pedagogisk verksamhet 2024, miljoner kr</v>
      </c>
      <c r="B1" s="74"/>
      <c r="C1" s="74"/>
      <c r="D1" s="74"/>
      <c r="E1" s="162"/>
      <c r="F1" s="162"/>
      <c r="G1" s="162"/>
      <c r="H1" s="245"/>
      <c r="I1" s="479" t="s">
        <v>446</v>
      </c>
      <c r="J1" s="476" t="str">
        <f>Information!A2</f>
        <v>RIKSTOTAL</v>
      </c>
      <c r="K1" s="187"/>
      <c r="L1" s="187"/>
      <c r="M1" s="1173"/>
      <c r="N1" s="162"/>
      <c r="O1" s="73"/>
      <c r="P1" s="133"/>
      <c r="Q1" s="162"/>
      <c r="R1" s="2141"/>
      <c r="S1" s="2141"/>
      <c r="T1" s="2141"/>
      <c r="U1" s="2141"/>
      <c r="V1" s="2141"/>
      <c r="W1" s="2141"/>
      <c r="X1" s="2141"/>
      <c r="Y1" s="2141"/>
      <c r="Z1" s="2141"/>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pans="1:256" ht="17.25" customHeight="1">
      <c r="A2" s="2141"/>
      <c r="B2" s="2141"/>
      <c r="C2" s="2141"/>
      <c r="D2" s="2141"/>
      <c r="E2" s="2141"/>
      <c r="F2" s="2141"/>
      <c r="G2" s="2141"/>
      <c r="H2" s="2141"/>
      <c r="I2" s="2141"/>
      <c r="J2" s="2141"/>
      <c r="K2" s="2141"/>
      <c r="L2" s="2141"/>
      <c r="M2" s="2141"/>
      <c r="N2" s="2141"/>
      <c r="O2" s="2141"/>
      <c r="P2" s="2141"/>
      <c r="Q2" s="2141"/>
      <c r="R2" s="2141"/>
      <c r="S2" s="2141"/>
      <c r="T2" s="2141"/>
      <c r="U2" s="2141"/>
      <c r="V2" s="2141"/>
      <c r="W2" s="2141"/>
      <c r="X2" s="2141"/>
      <c r="Y2" s="2141"/>
      <c r="Z2" s="2141"/>
    </row>
    <row r="3" spans="1:256" ht="17.25" customHeight="1" thickBot="1">
      <c r="A3" s="2141"/>
      <c r="B3" s="2141"/>
      <c r="C3" s="2141"/>
      <c r="D3" s="2141"/>
      <c r="E3" s="2141"/>
      <c r="F3" s="2141"/>
      <c r="G3" s="2141"/>
      <c r="H3" s="2141"/>
      <c r="I3" s="2141"/>
      <c r="J3" s="2141"/>
      <c r="K3" s="2141"/>
      <c r="L3" s="2141"/>
      <c r="M3" s="2141"/>
      <c r="N3" s="2141"/>
      <c r="O3" s="2141"/>
      <c r="P3" s="2141"/>
      <c r="Q3" s="2141"/>
      <c r="R3" s="2141"/>
      <c r="S3" s="2141"/>
      <c r="T3" s="2141"/>
      <c r="U3" s="2141"/>
      <c r="V3" s="2141"/>
      <c r="W3" s="2141"/>
      <c r="X3" s="2141"/>
      <c r="Y3" s="2141"/>
      <c r="Z3" s="2141"/>
    </row>
    <row r="4" spans="1:256" ht="11.25" customHeight="1">
      <c r="A4" s="1227" t="s">
        <v>603</v>
      </c>
      <c r="B4" s="1226" t="s">
        <v>445</v>
      </c>
      <c r="C4" s="979" t="s">
        <v>139</v>
      </c>
      <c r="D4" s="1222"/>
      <c r="E4" s="722" t="s">
        <v>139</v>
      </c>
      <c r="F4" s="1222"/>
      <c r="G4" s="1221"/>
      <c r="H4" s="246" t="s">
        <v>563</v>
      </c>
      <c r="I4" s="2635" t="s">
        <v>996</v>
      </c>
      <c r="J4" s="2636"/>
      <c r="K4" s="2636"/>
      <c r="L4" s="2636"/>
      <c r="M4" s="2626" t="s">
        <v>888</v>
      </c>
      <c r="N4" s="2141"/>
      <c r="O4" s="2141"/>
      <c r="P4" s="2141"/>
      <c r="Q4" s="2624" t="s">
        <v>58</v>
      </c>
      <c r="R4" s="2141"/>
      <c r="S4" s="2141"/>
      <c r="T4" s="2141"/>
      <c r="U4" s="2141"/>
      <c r="V4" s="2141"/>
      <c r="W4" s="2141"/>
      <c r="X4" s="2141"/>
      <c r="Y4" s="2141"/>
      <c r="Z4" s="2141"/>
    </row>
    <row r="5" spans="1:256" ht="12.6" customHeight="1">
      <c r="A5" s="1228" t="s">
        <v>605</v>
      </c>
      <c r="B5" s="764"/>
      <c r="C5" s="980" t="s">
        <v>42</v>
      </c>
      <c r="D5" s="2629" t="s">
        <v>774</v>
      </c>
      <c r="E5" s="725" t="s">
        <v>146</v>
      </c>
      <c r="F5" s="2629" t="s">
        <v>1056</v>
      </c>
      <c r="G5" s="2632" t="s">
        <v>1245</v>
      </c>
      <c r="H5" s="143"/>
      <c r="I5" s="2637"/>
      <c r="J5" s="2638"/>
      <c r="K5" s="2638"/>
      <c r="L5" s="2639"/>
      <c r="M5" s="2627"/>
      <c r="N5" s="2141"/>
      <c r="O5" s="2141"/>
      <c r="P5" s="2141"/>
      <c r="Q5" s="2625"/>
      <c r="R5" s="2141"/>
      <c r="S5" s="2141"/>
      <c r="T5" s="2141"/>
      <c r="U5" s="2141"/>
      <c r="V5" s="2141"/>
      <c r="W5" s="2141"/>
      <c r="X5" s="2141"/>
      <c r="Y5" s="2141"/>
      <c r="Z5" s="2141"/>
    </row>
    <row r="6" spans="1:256" ht="36.6" customHeight="1">
      <c r="A6" s="981"/>
      <c r="B6" s="764"/>
      <c r="C6" s="980"/>
      <c r="D6" s="2630"/>
      <c r="E6" s="516"/>
      <c r="F6" s="2630"/>
      <c r="G6" s="2633"/>
      <c r="H6" s="143"/>
      <c r="I6" s="1297"/>
      <c r="J6" s="1308"/>
      <c r="K6" s="1308"/>
      <c r="L6" s="2361"/>
      <c r="M6" s="2628"/>
      <c r="N6" s="2141"/>
      <c r="O6" s="2141"/>
      <c r="P6" s="2141"/>
      <c r="Q6" s="2625"/>
      <c r="R6" s="2141"/>
      <c r="S6" s="2141"/>
      <c r="T6" s="2141"/>
      <c r="U6" s="2141"/>
      <c r="V6" s="2141"/>
      <c r="W6" s="2141"/>
      <c r="X6" s="2141"/>
      <c r="Y6" s="2141"/>
      <c r="Z6" s="2141"/>
      <c r="IV6" s="2623"/>
    </row>
    <row r="7" spans="1:256" ht="65.099999999999994" customHeight="1" thickBot="1">
      <c r="A7" s="972"/>
      <c r="B7" s="764"/>
      <c r="C7" s="974"/>
      <c r="D7" s="2631"/>
      <c r="E7" s="516"/>
      <c r="F7" s="2631"/>
      <c r="G7" s="2634"/>
      <c r="H7" s="143"/>
      <c r="I7" s="1309"/>
      <c r="J7" s="764"/>
      <c r="K7" s="1310"/>
      <c r="L7" s="1306"/>
      <c r="M7" s="2369" t="str">
        <f>"År "&amp;År</f>
        <v>År 2024</v>
      </c>
      <c r="N7" s="2141"/>
      <c r="O7" s="2141"/>
      <c r="P7" s="2141"/>
      <c r="Q7" s="2625"/>
      <c r="R7" s="2141"/>
      <c r="S7" s="2141"/>
      <c r="T7" s="2141"/>
      <c r="U7" s="2141"/>
      <c r="V7" s="2141"/>
      <c r="W7" s="2141"/>
      <c r="X7" s="2141"/>
      <c r="Y7" s="2141"/>
      <c r="Z7" s="2141"/>
      <c r="IV7" s="2623"/>
    </row>
    <row r="8" spans="1:256">
      <c r="A8" s="1002" t="s">
        <v>384</v>
      </c>
      <c r="B8" s="1003" t="s">
        <v>525</v>
      </c>
      <c r="C8" s="117">
        <f>Drift!P47</f>
        <v>105311.25699999998</v>
      </c>
      <c r="D8" s="118">
        <f>SUM(Motpart!D13:L13)</f>
        <v>19512.145</v>
      </c>
      <c r="E8" s="118">
        <f>Drift!W47</f>
        <v>23184.289000000001</v>
      </c>
      <c r="F8" s="118">
        <f>Motpart!Y13</f>
        <v>449.673</v>
      </c>
      <c r="G8" s="123">
        <f>Drift!V47</f>
        <v>10466.605</v>
      </c>
      <c r="H8" s="144"/>
      <c r="I8" s="963" t="s">
        <v>807</v>
      </c>
      <c r="J8" s="1393">
        <v>558718</v>
      </c>
      <c r="K8" s="1301"/>
      <c r="L8" s="1301"/>
      <c r="M8" s="2370">
        <f>(C8-F8-G8)*1000000/J8</f>
        <v>168949.23557143315</v>
      </c>
      <c r="N8" s="2141"/>
      <c r="O8" s="2141"/>
      <c r="P8" s="2141"/>
      <c r="Q8" s="2382" t="s">
        <v>812</v>
      </c>
      <c r="R8" s="2141"/>
      <c r="S8" s="2141"/>
      <c r="T8" s="2141"/>
      <c r="U8" s="2141"/>
      <c r="V8" s="2141"/>
      <c r="W8" s="2141"/>
      <c r="X8" s="2141"/>
      <c r="Y8" s="2141"/>
      <c r="Z8" s="2141"/>
    </row>
    <row r="9" spans="1:256" s="1154" customFormat="1">
      <c r="A9" s="1004" t="s">
        <v>310</v>
      </c>
      <c r="B9" s="1005" t="s">
        <v>355</v>
      </c>
      <c r="C9" s="335">
        <f>C8-G8-D8</f>
        <v>75332.506999999983</v>
      </c>
      <c r="D9" s="982"/>
      <c r="E9" s="988"/>
      <c r="F9" s="988"/>
      <c r="G9" s="994"/>
      <c r="H9" s="145">
        <v>850</v>
      </c>
      <c r="I9" s="1298"/>
      <c r="J9" s="1299"/>
      <c r="K9" s="1300"/>
      <c r="L9" s="1300"/>
      <c r="M9" s="2371">
        <f>C9*1000000/J8</f>
        <v>134831.00061211557</v>
      </c>
      <c r="N9" s="2141"/>
      <c r="O9" s="2141"/>
      <c r="P9" s="2141"/>
      <c r="Q9" s="2382" t="s">
        <v>813</v>
      </c>
      <c r="R9" s="2141"/>
      <c r="S9" s="2141"/>
      <c r="T9" s="2141"/>
      <c r="U9" s="2141"/>
      <c r="V9" s="2141"/>
      <c r="W9" s="2141"/>
      <c r="X9" s="2141"/>
      <c r="Y9" s="2141"/>
      <c r="Z9" s="2141"/>
    </row>
    <row r="10" spans="1:256" s="1150" customFormat="1">
      <c r="A10" s="1004" t="s">
        <v>308</v>
      </c>
      <c r="B10" s="1006" t="s">
        <v>1043</v>
      </c>
      <c r="C10" s="79">
        <f>Drift!C47+Drift!D47</f>
        <v>53035.317999999999</v>
      </c>
      <c r="D10" s="982"/>
      <c r="E10" s="989"/>
      <c r="F10" s="989"/>
      <c r="G10" s="994"/>
      <c r="H10" s="145">
        <v>851</v>
      </c>
      <c r="I10" s="1298"/>
      <c r="J10" s="1299"/>
      <c r="K10" s="1038"/>
      <c r="L10" s="1038"/>
      <c r="M10" s="2371">
        <f>IF(C10=0,0,C10*100/C9)</f>
        <v>70.401636839193486</v>
      </c>
      <c r="N10" s="2141"/>
      <c r="O10" s="2141"/>
      <c r="P10" s="2141"/>
      <c r="Q10" s="2382" t="s">
        <v>356</v>
      </c>
      <c r="R10" s="2141"/>
      <c r="S10" s="2141"/>
      <c r="T10" s="2141"/>
      <c r="U10" s="2141"/>
      <c r="V10" s="2141"/>
      <c r="W10" s="2141"/>
      <c r="X10" s="2141"/>
      <c r="Y10" s="2141"/>
      <c r="Z10" s="2141"/>
    </row>
    <row r="11" spans="1:256" s="1150" customFormat="1">
      <c r="A11" s="1004" t="s">
        <v>311</v>
      </c>
      <c r="B11" s="1006" t="s">
        <v>522</v>
      </c>
      <c r="C11" s="1978">
        <v>12467.084000000001</v>
      </c>
      <c r="D11" s="983" t="str">
        <f>IF(C8=0,"",IF(C11&lt;Drift!I47+Drift!J47+Drift!L47,"Kommentera",""))</f>
        <v/>
      </c>
      <c r="E11" s="237">
        <v>258.80599999999998</v>
      </c>
      <c r="F11" s="989"/>
      <c r="G11" s="253">
        <v>194.435</v>
      </c>
      <c r="H11" s="145"/>
      <c r="I11" s="2074" t="str">
        <f>IF(G11&gt;E11,"Därav kol. G&gt; Kol. E- korrigera!","")</f>
        <v/>
      </c>
      <c r="J11" s="1394"/>
      <c r="K11" s="1034"/>
      <c r="L11" s="1034"/>
      <c r="M11" s="2371">
        <f>(C11-E11)*1000000/J8</f>
        <v>21850.518508442543</v>
      </c>
      <c r="N11" s="2141"/>
      <c r="O11" s="2141"/>
      <c r="P11" s="2141"/>
      <c r="Q11" s="2382" t="s">
        <v>814</v>
      </c>
      <c r="R11" s="2141"/>
      <c r="S11" s="2141"/>
      <c r="T11" s="2141"/>
      <c r="U11" s="2141"/>
      <c r="V11" s="2141"/>
      <c r="W11" s="2141"/>
      <c r="X11" s="2141"/>
      <c r="Y11" s="2141"/>
      <c r="Z11" s="2141"/>
    </row>
    <row r="12" spans="1:256" s="1150" customFormat="1">
      <c r="A12" s="1004" t="s">
        <v>447</v>
      </c>
      <c r="B12" s="1006" t="s">
        <v>484</v>
      </c>
      <c r="C12" s="986"/>
      <c r="D12" s="984"/>
      <c r="E12" s="80">
        <f>Drift!R47</f>
        <v>5807.5820000000003</v>
      </c>
      <c r="F12" s="990"/>
      <c r="G12" s="1169"/>
      <c r="H12" s="159" t="s">
        <v>537</v>
      </c>
      <c r="I12" s="1036"/>
      <c r="J12" s="1299"/>
      <c r="K12" s="1300"/>
      <c r="L12" s="1300"/>
      <c r="M12" s="2371">
        <f>(Motpart!G13+Motpart!K13)*1000000/J8</f>
        <v>818.19808919705474</v>
      </c>
      <c r="N12" s="2141"/>
      <c r="O12" s="2141"/>
      <c r="P12" s="2141"/>
      <c r="Q12" s="2382" t="s">
        <v>815</v>
      </c>
      <c r="R12" s="2141"/>
      <c r="S12" s="2141"/>
      <c r="T12" s="2141"/>
      <c r="U12" s="2141"/>
      <c r="V12" s="2141"/>
      <c r="W12" s="2141"/>
      <c r="X12" s="2141"/>
      <c r="Y12" s="2141"/>
      <c r="Z12" s="2141"/>
    </row>
    <row r="13" spans="1:256" s="1150" customFormat="1">
      <c r="A13" s="1004" t="s">
        <v>448</v>
      </c>
      <c r="B13" s="1006" t="s">
        <v>449</v>
      </c>
      <c r="C13" s="987"/>
      <c r="D13" s="984"/>
      <c r="E13" s="237">
        <v>567.35299999999995</v>
      </c>
      <c r="F13" s="990"/>
      <c r="G13" s="1169"/>
      <c r="H13" s="160" t="s">
        <v>538</v>
      </c>
      <c r="I13" s="1036"/>
      <c r="J13" s="1299"/>
      <c r="K13" s="1300"/>
      <c r="L13" s="1300"/>
      <c r="M13" s="2371">
        <f>F8*1000000/J8</f>
        <v>804.82998578889533</v>
      </c>
      <c r="N13" s="2141"/>
      <c r="O13" s="2141"/>
      <c r="P13" s="2141"/>
      <c r="Q13" s="2382" t="s">
        <v>816</v>
      </c>
      <c r="R13" s="2141"/>
      <c r="S13" s="2141"/>
      <c r="T13" s="2141"/>
      <c r="U13" s="2141"/>
      <c r="V13" s="2141"/>
      <c r="W13" s="2141"/>
      <c r="X13" s="2141"/>
      <c r="Y13" s="2141"/>
      <c r="Z13" s="2141"/>
    </row>
    <row r="14" spans="1:256" s="1150" customFormat="1">
      <c r="A14" s="1007" t="s">
        <v>554</v>
      </c>
      <c r="B14" s="1008"/>
      <c r="C14" s="987"/>
      <c r="D14" s="985"/>
      <c r="E14" s="993"/>
      <c r="F14" s="991"/>
      <c r="G14" s="1169"/>
      <c r="H14" s="159" t="s">
        <v>539</v>
      </c>
      <c r="I14" s="1036"/>
      <c r="J14" s="1299"/>
      <c r="K14" s="1300"/>
      <c r="L14" s="1300"/>
      <c r="M14" s="2371">
        <f>((Motpart!D13+Motpart!E13+Motpart!F13+Motpart!J13)-((Motpart!D13+Motpart!E13+Motpart!F13+Motpart!J13)*0.06))*1000000/J8</f>
        <v>31985.500485038963</v>
      </c>
      <c r="N14" s="2141"/>
      <c r="O14" s="2141"/>
      <c r="P14" s="2141"/>
      <c r="Q14" s="2382" t="s">
        <v>817</v>
      </c>
      <c r="R14" s="2141"/>
      <c r="S14" s="2141"/>
      <c r="T14" s="2141"/>
      <c r="U14" s="2141"/>
      <c r="V14" s="2141"/>
      <c r="W14" s="2141"/>
      <c r="X14" s="2141"/>
      <c r="Y14" s="2141"/>
      <c r="Z14" s="2141"/>
    </row>
    <row r="15" spans="1:256" s="1155" customFormat="1" ht="13.5" thickBot="1">
      <c r="A15" s="1007" t="s">
        <v>306</v>
      </c>
      <c r="B15" s="1008"/>
      <c r="C15" s="987"/>
      <c r="D15" s="985"/>
      <c r="E15" s="985"/>
      <c r="F15" s="992"/>
      <c r="G15" s="995"/>
      <c r="H15" s="146"/>
      <c r="I15" s="1307"/>
      <c r="J15" s="1395"/>
      <c r="K15" s="1035"/>
      <c r="L15" s="1035"/>
      <c r="M15" s="2372">
        <f>IF(C9=0,0,(E12-E13)*100/C9)</f>
        <v>6.9561324966922999</v>
      </c>
      <c r="N15" s="2141"/>
      <c r="O15" s="2141"/>
      <c r="P15" s="2141"/>
      <c r="Q15" s="2382" t="s">
        <v>510</v>
      </c>
      <c r="R15" s="2141"/>
      <c r="S15" s="2141"/>
      <c r="T15" s="2141"/>
      <c r="U15" s="2141"/>
      <c r="V15" s="2141"/>
      <c r="W15" s="2141"/>
      <c r="X15" s="2141"/>
      <c r="Y15" s="2141"/>
      <c r="Z15" s="2141"/>
    </row>
    <row r="16" spans="1:256">
      <c r="A16" s="1009" t="s">
        <v>644</v>
      </c>
      <c r="B16" s="1010" t="s">
        <v>526</v>
      </c>
      <c r="C16" s="77">
        <f>Drift!P50</f>
        <v>26636.750999999997</v>
      </c>
      <c r="D16" s="78">
        <f>SUM(Motpart!D15:L15)</f>
        <v>3000.0960000000005</v>
      </c>
      <c r="E16" s="81">
        <f>Drift!W50</f>
        <v>8007.0309999999999</v>
      </c>
      <c r="F16" s="78">
        <f>Motpart!Y15</f>
        <v>171.93600000000001</v>
      </c>
      <c r="G16" s="124">
        <f>Drift!V50</f>
        <v>3173.6149999999998</v>
      </c>
      <c r="H16" s="143"/>
      <c r="I16" s="963" t="s">
        <v>808</v>
      </c>
      <c r="J16" s="1393">
        <v>865475</v>
      </c>
      <c r="K16" s="1306"/>
      <c r="L16" s="1301"/>
      <c r="M16" s="2373">
        <f>(C16-G16-F16)*1000000/J16</f>
        <v>26911.46480256506</v>
      </c>
      <c r="N16" s="2141"/>
      <c r="O16" s="2141"/>
      <c r="P16" s="2141"/>
      <c r="Q16" s="2384" t="s">
        <v>854</v>
      </c>
      <c r="R16" s="2141"/>
      <c r="S16" s="2141"/>
      <c r="T16" s="2141"/>
      <c r="U16" s="2141"/>
      <c r="V16" s="2141"/>
      <c r="W16" s="2141"/>
      <c r="X16" s="2141"/>
      <c r="Y16" s="2141"/>
      <c r="Z16" s="2141"/>
    </row>
    <row r="17" spans="1:256">
      <c r="A17" s="1004" t="s">
        <v>367</v>
      </c>
      <c r="B17" s="1011" t="s">
        <v>355</v>
      </c>
      <c r="C17" s="335">
        <f>C16-G16-D16</f>
        <v>20463.039999999997</v>
      </c>
      <c r="D17" s="996"/>
      <c r="E17" s="997"/>
      <c r="F17" s="997"/>
      <c r="G17" s="994"/>
      <c r="H17" s="147" t="s">
        <v>267</v>
      </c>
      <c r="I17" s="1298"/>
      <c r="J17" s="1299"/>
      <c r="K17" s="1300"/>
      <c r="L17" s="1300"/>
      <c r="M17" s="2371">
        <f>C17*1000000/J16</f>
        <v>23643.710101389406</v>
      </c>
      <c r="N17" s="2141"/>
      <c r="O17" s="2141"/>
      <c r="P17" s="2141"/>
      <c r="Q17" s="2382" t="s">
        <v>855</v>
      </c>
      <c r="R17" s="2141"/>
      <c r="S17" s="2141"/>
      <c r="T17" s="2141"/>
      <c r="U17" s="2141"/>
      <c r="V17" s="2141"/>
      <c r="W17" s="2141"/>
      <c r="X17" s="2141"/>
      <c r="Y17" s="2141"/>
      <c r="Z17" s="2141"/>
    </row>
    <row r="18" spans="1:256">
      <c r="A18" s="1004" t="s">
        <v>368</v>
      </c>
      <c r="B18" s="1914" t="s">
        <v>1044</v>
      </c>
      <c r="C18" s="82">
        <f>Drift!C50+Drift!D50</f>
        <v>14204.758</v>
      </c>
      <c r="D18" s="996"/>
      <c r="E18" s="989"/>
      <c r="F18" s="989"/>
      <c r="G18" s="994"/>
      <c r="H18" s="145" t="s">
        <v>564</v>
      </c>
      <c r="I18" s="1298"/>
      <c r="J18" s="1299"/>
      <c r="K18" s="1038"/>
      <c r="L18" s="1038"/>
      <c r="M18" s="2371">
        <f>IF(C18=0,0,(C18*100/C17))</f>
        <v>69.416655589785307</v>
      </c>
      <c r="N18" s="2141"/>
      <c r="O18" s="2141"/>
      <c r="P18" s="2141"/>
      <c r="Q18" s="2382" t="s">
        <v>362</v>
      </c>
      <c r="R18" s="2141"/>
      <c r="S18" s="2141"/>
      <c r="T18" s="2141"/>
      <c r="U18" s="2141"/>
      <c r="V18" s="2141"/>
      <c r="W18" s="2141"/>
      <c r="X18" s="2141"/>
      <c r="Y18" s="2141"/>
      <c r="Z18" s="2141"/>
    </row>
    <row r="19" spans="1:256" ht="13.5" customHeight="1">
      <c r="A19" s="1004" t="s">
        <v>369</v>
      </c>
      <c r="B19" s="1006" t="s">
        <v>522</v>
      </c>
      <c r="C19" s="1978">
        <v>3671.43</v>
      </c>
      <c r="D19" s="996" t="str">
        <f>IF(C16=0,"",IF(C19&lt;Drift!I50+Drift!J50+Drift!L50,"Kommentera",""))</f>
        <v/>
      </c>
      <c r="E19" s="237">
        <v>110.866</v>
      </c>
      <c r="F19" s="991"/>
      <c r="G19" s="253">
        <v>78.385000000000005</v>
      </c>
      <c r="H19" s="143"/>
      <c r="I19" s="2075" t="str">
        <f>IF(G19&gt;E19,"Därav kol. G&gt; Kol. E-korrigera!","")</f>
        <v/>
      </c>
      <c r="J19" s="1394"/>
      <c r="K19" s="1034"/>
      <c r="L19" s="1034"/>
      <c r="M19" s="2374">
        <f>(C19-E19)*1000000/J16</f>
        <v>4113.9998266847688</v>
      </c>
      <c r="N19" s="2141"/>
      <c r="O19" s="2141"/>
      <c r="P19" s="2141"/>
      <c r="Q19" s="2382" t="s">
        <v>856</v>
      </c>
      <c r="R19" s="2141"/>
      <c r="S19" s="2141"/>
      <c r="T19" s="2141"/>
      <c r="U19" s="2141"/>
      <c r="V19" s="2141"/>
      <c r="W19" s="2141"/>
      <c r="X19" s="2141"/>
      <c r="Y19" s="2141"/>
      <c r="Z19" s="2141"/>
    </row>
    <row r="20" spans="1:256">
      <c r="A20" s="1004" t="s">
        <v>540</v>
      </c>
      <c r="B20" s="1006" t="s">
        <v>484</v>
      </c>
      <c r="C20" s="986"/>
      <c r="D20" s="984"/>
      <c r="E20" s="82">
        <f>Drift!R50</f>
        <v>3732.9639999999999</v>
      </c>
      <c r="F20" s="990"/>
      <c r="G20" s="1169"/>
      <c r="H20" s="391" t="s">
        <v>565</v>
      </c>
      <c r="I20" s="1036"/>
      <c r="J20" s="1299"/>
      <c r="K20" s="1300"/>
      <c r="L20" s="1300"/>
      <c r="M20" s="2371">
        <f>IF(D16=0,0,(Motpart!G15+Motpart!K15)*1000000/J16)</f>
        <v>200.22877610560676</v>
      </c>
      <c r="N20" s="2141"/>
      <c r="O20" s="2141"/>
      <c r="P20" s="2141"/>
      <c r="Q20" s="2382" t="s">
        <v>857</v>
      </c>
      <c r="R20" s="2141"/>
      <c r="S20" s="2141"/>
      <c r="T20" s="2141"/>
      <c r="U20" s="2141"/>
      <c r="V20" s="2141"/>
      <c r="W20" s="2141"/>
      <c r="X20" s="2141"/>
      <c r="Y20" s="2141"/>
      <c r="Z20" s="2141"/>
    </row>
    <row r="21" spans="1:256">
      <c r="A21" s="1004" t="s">
        <v>541</v>
      </c>
      <c r="B21" s="1006" t="s">
        <v>449</v>
      </c>
      <c r="C21" s="987"/>
      <c r="D21" s="984"/>
      <c r="E21" s="237">
        <v>207.01300000000001</v>
      </c>
      <c r="F21" s="990"/>
      <c r="G21" s="1169"/>
      <c r="H21" s="391" t="s">
        <v>566</v>
      </c>
      <c r="I21" s="1036"/>
      <c r="J21" s="1299"/>
      <c r="K21" s="1300"/>
      <c r="L21" s="1300"/>
      <c r="M21" s="2371">
        <f>IF(F16=0,0,(F16*1000000/J16))</f>
        <v>198.66085097778677</v>
      </c>
      <c r="N21" s="2141"/>
      <c r="O21" s="2141"/>
      <c r="P21" s="2141"/>
      <c r="Q21" s="2382" t="s">
        <v>858</v>
      </c>
      <c r="R21" s="2141"/>
      <c r="S21" s="2141"/>
      <c r="T21" s="2141"/>
      <c r="U21" s="2141"/>
      <c r="V21" s="2141"/>
      <c r="W21" s="2141"/>
      <c r="X21" s="2141"/>
      <c r="Y21" s="2141"/>
      <c r="Z21" s="2141"/>
      <c r="IV21" s="247"/>
    </row>
    <row r="22" spans="1:256">
      <c r="A22" s="1007" t="s">
        <v>553</v>
      </c>
      <c r="B22" s="1012"/>
      <c r="C22" s="987"/>
      <c r="D22" s="985"/>
      <c r="E22" s="993"/>
      <c r="F22" s="991"/>
      <c r="G22" s="1169"/>
      <c r="H22" s="391" t="s">
        <v>567</v>
      </c>
      <c r="I22" s="1036"/>
      <c r="J22" s="1299"/>
      <c r="K22" s="1300"/>
      <c r="L22" s="1300"/>
      <c r="M22" s="2371">
        <f>IF(D16=0,0,((Motpart!D15+Motpart!E15+Motpart!F15+Motpart!I15+Motpart!J15)-((Motpart!D15+Motpart!E15+Motpart!F15+Motpart!J15)*0.06))*1000000/J16)</f>
        <v>3073.5540830179957</v>
      </c>
      <c r="N22" s="2141"/>
      <c r="O22" s="2141"/>
      <c r="P22" s="2141"/>
      <c r="Q22" s="2382" t="s">
        <v>859</v>
      </c>
      <c r="R22" s="2141"/>
      <c r="S22" s="2141"/>
      <c r="T22" s="2141"/>
      <c r="U22" s="2141"/>
      <c r="V22" s="2141"/>
      <c r="W22" s="2141"/>
      <c r="X22" s="2141"/>
      <c r="Y22" s="2141"/>
      <c r="Z22" s="2141"/>
      <c r="IV22" s="247"/>
    </row>
    <row r="23" spans="1:256" ht="13.5" thickBot="1">
      <c r="A23" s="1007" t="s">
        <v>542</v>
      </c>
      <c r="B23" s="1012"/>
      <c r="C23" s="987"/>
      <c r="D23" s="985"/>
      <c r="E23" s="985"/>
      <c r="F23" s="985"/>
      <c r="G23" s="995"/>
      <c r="H23" s="392"/>
      <c r="I23" s="606"/>
      <c r="J23" s="1395"/>
      <c r="K23" s="1035"/>
      <c r="L23" s="1035"/>
      <c r="M23" s="2375">
        <f>IF(E20=0,0,(E20-E21)*100/C17)</f>
        <v>17.230826895710511</v>
      </c>
      <c r="N23" s="2141"/>
      <c r="O23" s="2141"/>
      <c r="P23" s="2141"/>
      <c r="Q23" s="2385" t="s">
        <v>511</v>
      </c>
      <c r="R23" s="2141"/>
      <c r="S23" s="2141"/>
      <c r="T23" s="2141"/>
      <c r="U23" s="2141"/>
      <c r="V23" s="2141"/>
      <c r="W23" s="2141"/>
      <c r="X23" s="2141"/>
      <c r="Y23" s="2141"/>
      <c r="Z23" s="2141"/>
      <c r="IV23" s="247"/>
    </row>
    <row r="24" spans="1:256">
      <c r="A24" s="1009" t="s">
        <v>373</v>
      </c>
      <c r="B24" s="1013" t="s">
        <v>527</v>
      </c>
      <c r="C24" s="77">
        <f>Drift!P53</f>
        <v>10706.457000000002</v>
      </c>
      <c r="D24" s="78">
        <f>SUM(Motpart!D17:L17)</f>
        <v>1340.5920000000001</v>
      </c>
      <c r="E24" s="78">
        <f>Drift!W53</f>
        <v>1829.5120000000002</v>
      </c>
      <c r="F24" s="78">
        <f>Motpart!Y17</f>
        <v>59.021999999999998</v>
      </c>
      <c r="G24" s="124">
        <f>Drift!V53</f>
        <v>1294.114</v>
      </c>
      <c r="H24" s="159"/>
      <c r="I24" s="963" t="s">
        <v>809</v>
      </c>
      <c r="J24" s="1393">
        <v>120098</v>
      </c>
      <c r="K24" s="1303"/>
      <c r="L24" s="1301"/>
      <c r="M24" s="2373">
        <f>(C24-G24-F24)*1000000/J24</f>
        <v>77880.739063098488</v>
      </c>
      <c r="N24" s="2141"/>
      <c r="O24" s="2141"/>
      <c r="P24" s="2141"/>
      <c r="Q24" s="2382" t="s">
        <v>848</v>
      </c>
      <c r="R24" s="2141"/>
      <c r="S24" s="2141"/>
      <c r="T24" s="2141"/>
      <c r="U24" s="2141"/>
      <c r="V24" s="2141"/>
      <c r="W24" s="2141"/>
      <c r="X24" s="2141"/>
      <c r="Y24" s="2141"/>
      <c r="Z24" s="2141"/>
    </row>
    <row r="25" spans="1:256">
      <c r="A25" s="1004" t="s">
        <v>370</v>
      </c>
      <c r="B25" s="1014" t="s">
        <v>355</v>
      </c>
      <c r="C25" s="335">
        <f>C24-G24-D24</f>
        <v>8071.751000000002</v>
      </c>
      <c r="D25" s="996"/>
      <c r="E25" s="997"/>
      <c r="F25" s="997"/>
      <c r="G25" s="994"/>
      <c r="H25" s="391" t="s">
        <v>568</v>
      </c>
      <c r="I25" s="1036"/>
      <c r="J25" s="1299"/>
      <c r="K25" s="1300"/>
      <c r="L25" s="1300"/>
      <c r="M25" s="2371">
        <f>C25*1000000/J24</f>
        <v>67209.703741944089</v>
      </c>
      <c r="N25" s="2141"/>
      <c r="O25" s="2141"/>
      <c r="P25" s="2141"/>
      <c r="Q25" s="2382" t="s">
        <v>849</v>
      </c>
      <c r="R25" s="2141"/>
      <c r="S25" s="2141"/>
      <c r="T25" s="2141"/>
      <c r="U25" s="2141"/>
      <c r="V25" s="2141"/>
      <c r="W25" s="2141"/>
      <c r="X25" s="2141"/>
      <c r="Y25" s="2141"/>
      <c r="Z25" s="2141"/>
    </row>
    <row r="26" spans="1:256">
      <c r="A26" s="1004" t="s">
        <v>371</v>
      </c>
      <c r="B26" s="1915" t="s">
        <v>1044</v>
      </c>
      <c r="C26" s="82">
        <f>Drift!C53+Drift!D53</f>
        <v>5028.4849999999997</v>
      </c>
      <c r="D26" s="996"/>
      <c r="E26" s="989"/>
      <c r="F26" s="989"/>
      <c r="G26" s="994"/>
      <c r="H26" s="159" t="s">
        <v>373</v>
      </c>
      <c r="I26" s="1036"/>
      <c r="J26" s="1299"/>
      <c r="K26" s="1038"/>
      <c r="L26" s="1038"/>
      <c r="M26" s="2372">
        <f>IF(C26=0,0,C26*100/C25)</f>
        <v>62.297325574091644</v>
      </c>
      <c r="N26" s="2141"/>
      <c r="O26" s="2141"/>
      <c r="P26" s="2141"/>
      <c r="Q26" s="2382" t="s">
        <v>363</v>
      </c>
      <c r="R26" s="2141"/>
      <c r="S26" s="2141"/>
      <c r="T26" s="2141"/>
      <c r="U26" s="2141"/>
      <c r="V26" s="2141"/>
      <c r="W26" s="2141"/>
      <c r="X26" s="2141"/>
      <c r="Y26" s="2141"/>
      <c r="Z26" s="2141"/>
    </row>
    <row r="27" spans="1:256">
      <c r="A27" s="1007" t="s">
        <v>372</v>
      </c>
      <c r="B27" s="1006" t="s">
        <v>522</v>
      </c>
      <c r="C27" s="1978">
        <v>1913.4290000000001</v>
      </c>
      <c r="D27" s="996" t="str">
        <f>IF(C24=0,"",IF(C27&lt;Drift!I53+Drift!J53+Drift!L53,"Kommentera",""))</f>
        <v/>
      </c>
      <c r="E27" s="237">
        <v>47.232999999999997</v>
      </c>
      <c r="F27" s="991"/>
      <c r="G27" s="253">
        <v>40.292999999999999</v>
      </c>
      <c r="H27" s="391"/>
      <c r="I27" s="2076" t="str">
        <f>IF(G27&gt;E27,"Därav kol. G&gt; Kol. E- korrigera!","")</f>
        <v/>
      </c>
      <c r="J27" s="1122"/>
      <c r="K27" s="1034"/>
      <c r="L27" s="1034"/>
      <c r="M27" s="2371">
        <f>(C27-E27)*1000000/J24</f>
        <v>15538.943196389617</v>
      </c>
      <c r="N27" s="2141"/>
      <c r="O27" s="2141"/>
      <c r="P27" s="2141"/>
      <c r="Q27" s="2382" t="s">
        <v>850</v>
      </c>
      <c r="R27" s="2141"/>
      <c r="S27" s="2141"/>
      <c r="T27" s="2141"/>
      <c r="U27" s="2141"/>
      <c r="V27" s="2141"/>
      <c r="W27" s="2141"/>
      <c r="X27" s="2141"/>
      <c r="Y27" s="2141"/>
      <c r="Z27" s="2141"/>
    </row>
    <row r="28" spans="1:256">
      <c r="A28" s="1007" t="s">
        <v>543</v>
      </c>
      <c r="B28" s="1015"/>
      <c r="C28" s="996"/>
      <c r="D28" s="996"/>
      <c r="E28" s="996"/>
      <c r="F28" s="991"/>
      <c r="G28" s="1169"/>
      <c r="H28" s="159" t="s">
        <v>569</v>
      </c>
      <c r="I28" s="1036"/>
      <c r="J28" s="1299"/>
      <c r="K28" s="1300"/>
      <c r="L28" s="1300"/>
      <c r="M28" s="2372">
        <f>(Motpart!G17+Motpart!K17)*1000000/J24</f>
        <v>508.85110493097295</v>
      </c>
      <c r="N28" s="2141"/>
      <c r="O28" s="2141"/>
      <c r="P28" s="2141"/>
      <c r="Q28" s="2382" t="s">
        <v>851</v>
      </c>
      <c r="R28" s="2141"/>
      <c r="S28" s="2141"/>
      <c r="T28" s="2141"/>
      <c r="U28" s="2141"/>
      <c r="V28" s="2141"/>
      <c r="W28" s="2141"/>
      <c r="X28" s="2141"/>
      <c r="Y28" s="2141"/>
      <c r="Z28" s="2141"/>
    </row>
    <row r="29" spans="1:256">
      <c r="A29" s="1007" t="s">
        <v>544</v>
      </c>
      <c r="B29" s="1016"/>
      <c r="C29" s="996"/>
      <c r="D29" s="996"/>
      <c r="E29" s="996"/>
      <c r="F29" s="991"/>
      <c r="G29" s="1169"/>
      <c r="H29" s="390" t="s">
        <v>570</v>
      </c>
      <c r="I29" s="1036"/>
      <c r="J29" s="1299"/>
      <c r="K29" s="1300"/>
      <c r="L29" s="1300"/>
      <c r="M29" s="2376">
        <f>F24*1000000/J24</f>
        <v>491.44865026894701</v>
      </c>
      <c r="N29" s="2141"/>
      <c r="O29" s="2141"/>
      <c r="P29" s="2141"/>
      <c r="Q29" s="2382" t="s">
        <v>852</v>
      </c>
      <c r="R29" s="2141"/>
      <c r="S29" s="2141"/>
      <c r="T29" s="2141"/>
      <c r="U29" s="2141"/>
      <c r="V29" s="2141"/>
      <c r="W29" s="2141"/>
      <c r="X29" s="2141"/>
      <c r="Y29" s="2141"/>
      <c r="Z29" s="2141"/>
    </row>
    <row r="30" spans="1:256" ht="13.5" thickBot="1">
      <c r="A30" s="1007" t="s">
        <v>552</v>
      </c>
      <c r="B30" s="1017"/>
      <c r="C30" s="996"/>
      <c r="D30" s="996"/>
      <c r="E30" s="996"/>
      <c r="F30" s="991"/>
      <c r="G30" s="1170"/>
      <c r="H30" s="393" t="s">
        <v>571</v>
      </c>
      <c r="I30" s="606"/>
      <c r="J30" s="1304"/>
      <c r="K30" s="1305"/>
      <c r="L30" s="1305"/>
      <c r="M30" s="2377">
        <f>(Motpart!D17+Motpart!E17+Motpart!F17+Motpart!I17+Motpart!J17-(Motpart!D17+Motpart!E17+Motpart!F17+Motpart!J17)*0.06)*1000000/J24</f>
        <v>10015.6214091825</v>
      </c>
      <c r="N30" s="2141"/>
      <c r="O30" s="2141"/>
      <c r="P30" s="2141"/>
      <c r="Q30" s="2385" t="s">
        <v>853</v>
      </c>
      <c r="R30" s="2141"/>
      <c r="S30" s="2141"/>
      <c r="T30" s="2141"/>
      <c r="U30" s="2141"/>
      <c r="V30" s="2141"/>
      <c r="W30" s="2141"/>
      <c r="X30" s="2141"/>
      <c r="Y30" s="2141"/>
      <c r="Z30" s="2141"/>
    </row>
    <row r="31" spans="1:256">
      <c r="A31" s="1009" t="s">
        <v>385</v>
      </c>
      <c r="B31" s="1018" t="s">
        <v>528</v>
      </c>
      <c r="C31" s="77">
        <f>Drift!P54</f>
        <v>178461.32100000003</v>
      </c>
      <c r="D31" s="78">
        <f>SUM(Motpart!D18:L18)</f>
        <v>24346.888000000003</v>
      </c>
      <c r="E31" s="78">
        <f>Drift!W54</f>
        <v>33391.691999999995</v>
      </c>
      <c r="F31" s="78">
        <f>Motpart!Y18</f>
        <v>1659.4670000000001</v>
      </c>
      <c r="G31" s="124">
        <f>Drift!V54</f>
        <v>17302.851999999999</v>
      </c>
      <c r="H31" s="394"/>
      <c r="I31" s="963" t="s">
        <v>810</v>
      </c>
      <c r="J31" s="1393">
        <v>1127415</v>
      </c>
      <c r="K31" s="1301"/>
      <c r="L31" s="1301"/>
      <c r="M31" s="2378">
        <f>SUM(M32:M34,M36:M38)</f>
        <v>117107.5664240763</v>
      </c>
      <c r="N31" s="2141"/>
      <c r="O31" s="2141"/>
      <c r="P31" s="2141"/>
      <c r="Q31" s="2382" t="s">
        <v>836</v>
      </c>
      <c r="R31" s="2141"/>
      <c r="S31" s="2141"/>
      <c r="T31" s="2141"/>
      <c r="U31" s="2141"/>
      <c r="V31" s="2141"/>
      <c r="W31" s="2141"/>
      <c r="X31" s="2141"/>
      <c r="Y31" s="2141"/>
      <c r="Z31" s="2141"/>
    </row>
    <row r="32" spans="1:256">
      <c r="A32" s="1004" t="s">
        <v>374</v>
      </c>
      <c r="B32" s="1019" t="s">
        <v>493</v>
      </c>
      <c r="C32" s="254">
        <v>78900.778999999995</v>
      </c>
      <c r="D32" s="996"/>
      <c r="E32" s="237">
        <v>5817.5320000000002</v>
      </c>
      <c r="F32" s="997"/>
      <c r="G32" s="253">
        <v>5644.5789999999997</v>
      </c>
      <c r="H32" s="145" t="s">
        <v>572</v>
      </c>
      <c r="I32" s="2077"/>
      <c r="J32" s="1833"/>
      <c r="K32" s="1833"/>
      <c r="L32" s="2362"/>
      <c r="M32" s="2371">
        <f>(C32-E32)*1000000/J31</f>
        <v>64823.731279076455</v>
      </c>
      <c r="N32" s="2141"/>
      <c r="O32" s="2141"/>
      <c r="P32" s="2141"/>
      <c r="Q32" s="2382" t="s">
        <v>837</v>
      </c>
      <c r="R32" s="2141"/>
      <c r="S32" s="2141"/>
      <c r="T32" s="2141"/>
      <c r="U32" s="2141"/>
      <c r="V32" s="2141"/>
      <c r="W32" s="2141"/>
      <c r="X32" s="2141"/>
      <c r="Y32" s="2141"/>
      <c r="Z32" s="2141"/>
    </row>
    <row r="33" spans="1:26">
      <c r="A33" s="1004" t="s">
        <v>375</v>
      </c>
      <c r="B33" s="1019" t="s">
        <v>800</v>
      </c>
      <c r="C33" s="254">
        <v>5714.6779999999999</v>
      </c>
      <c r="D33" s="996"/>
      <c r="E33" s="237">
        <v>173.08799999999999</v>
      </c>
      <c r="F33" s="989"/>
      <c r="G33" s="253">
        <v>113.001</v>
      </c>
      <c r="H33" s="145" t="s">
        <v>573</v>
      </c>
      <c r="I33" s="2075"/>
      <c r="J33" s="1299"/>
      <c r="K33" s="1038"/>
      <c r="L33" s="1038"/>
      <c r="M33" s="2371">
        <f>(C33-E33)*1000000/J31</f>
        <v>4915.3062536865309</v>
      </c>
      <c r="N33" s="2141"/>
      <c r="O33" s="2141"/>
      <c r="P33" s="2141"/>
      <c r="Q33" s="2382" t="s">
        <v>838</v>
      </c>
      <c r="R33" s="2141"/>
      <c r="S33" s="2141"/>
      <c r="T33" s="2141"/>
      <c r="U33" s="2141"/>
      <c r="V33" s="2141"/>
      <c r="W33" s="2141"/>
      <c r="X33" s="2141"/>
      <c r="Y33" s="2141"/>
      <c r="Z33" s="2141"/>
    </row>
    <row r="34" spans="1:26">
      <c r="A34" s="1004" t="s">
        <v>376</v>
      </c>
      <c r="B34" s="1019" t="s">
        <v>509</v>
      </c>
      <c r="C34" s="254">
        <v>8070.7879999999996</v>
      </c>
      <c r="D34" s="996"/>
      <c r="E34" s="237">
        <v>714.91099999999994</v>
      </c>
      <c r="F34" s="989"/>
      <c r="G34" s="253">
        <v>557.47900000000004</v>
      </c>
      <c r="H34" s="145"/>
      <c r="I34" s="2075"/>
      <c r="J34" s="1122"/>
      <c r="K34" s="1034"/>
      <c r="L34" s="1034"/>
      <c r="M34" s="2371">
        <f>(C34-E34)*1000000/J31</f>
        <v>6524.551296550072</v>
      </c>
      <c r="N34" s="2141"/>
      <c r="O34" s="2141"/>
      <c r="P34" s="2141"/>
      <c r="Q34" s="2382" t="s">
        <v>839</v>
      </c>
      <c r="R34" s="2141"/>
      <c r="S34" s="2141"/>
      <c r="T34" s="2141"/>
      <c r="U34" s="2141"/>
      <c r="V34" s="2141"/>
      <c r="W34" s="2141"/>
      <c r="X34" s="2141"/>
      <c r="Y34" s="2141"/>
      <c r="Z34" s="2141"/>
    </row>
    <row r="35" spans="1:26">
      <c r="A35" s="1004" t="s">
        <v>377</v>
      </c>
      <c r="B35" s="1019" t="s">
        <v>491</v>
      </c>
      <c r="C35" s="254">
        <v>4281.8850000000002</v>
      </c>
      <c r="D35" s="996" t="str">
        <f>IF(C31=0,"",IF(OR(C35=0,C35=""),"Kommentera",""))</f>
        <v/>
      </c>
      <c r="E35" s="237">
        <v>23.920999999999999</v>
      </c>
      <c r="F35" s="989"/>
      <c r="G35" s="253">
        <v>10.537000000000001</v>
      </c>
      <c r="H35" s="145" t="s">
        <v>574</v>
      </c>
      <c r="I35" s="2074"/>
      <c r="J35" s="1299"/>
      <c r="K35" s="1300"/>
      <c r="L35" s="1300"/>
      <c r="M35" s="2371">
        <f>(C35-E35)*1000000/J31</f>
        <v>3776.7494667003721</v>
      </c>
      <c r="N35" s="2141"/>
      <c r="O35" s="2141"/>
      <c r="P35" s="2141"/>
      <c r="Q35" s="2382" t="s">
        <v>840</v>
      </c>
      <c r="R35" s="2141"/>
      <c r="S35" s="2141"/>
      <c r="T35" s="2141"/>
      <c r="U35" s="2141"/>
      <c r="V35" s="2141"/>
      <c r="W35" s="2141"/>
      <c r="X35" s="2141"/>
      <c r="Y35" s="2141"/>
      <c r="Z35" s="2141"/>
    </row>
    <row r="36" spans="1:26" ht="15" customHeight="1">
      <c r="A36" s="1004" t="s">
        <v>378</v>
      </c>
      <c r="B36" s="1020" t="s">
        <v>723</v>
      </c>
      <c r="C36" s="254">
        <v>4869.1639999999998</v>
      </c>
      <c r="D36" s="996"/>
      <c r="E36" s="237">
        <v>201.267</v>
      </c>
      <c r="F36" s="988"/>
      <c r="G36" s="253">
        <v>156.75899999999999</v>
      </c>
      <c r="H36" s="145" t="s">
        <v>575</v>
      </c>
      <c r="I36" s="1839"/>
      <c r="J36" s="1299"/>
      <c r="K36" s="1300"/>
      <c r="L36" s="1300"/>
      <c r="M36" s="2371">
        <f>(C36-E36)*1000000/J31</f>
        <v>4140.3538182479388</v>
      </c>
      <c r="N36" s="2141"/>
      <c r="O36" s="2141"/>
      <c r="P36" s="2141"/>
      <c r="Q36" s="2382" t="s">
        <v>841</v>
      </c>
      <c r="R36" s="2141"/>
      <c r="S36" s="2141"/>
      <c r="T36" s="2141"/>
      <c r="U36" s="2141"/>
      <c r="V36" s="2141"/>
      <c r="W36" s="2141"/>
      <c r="X36" s="2141"/>
      <c r="Y36" s="2141"/>
      <c r="Z36" s="2141"/>
    </row>
    <row r="37" spans="1:26" s="195" customFormat="1">
      <c r="A37" s="1004" t="s">
        <v>233</v>
      </c>
      <c r="B37" s="1021" t="s">
        <v>523</v>
      </c>
      <c r="C37" s="254">
        <v>23853.762999999999</v>
      </c>
      <c r="D37" s="996" t="str">
        <f>IF(C31=0,"",IF(C37&lt;Drift!I54+Drift!J54+Drift!L54,"Kommentera",""))</f>
        <v/>
      </c>
      <c r="E37" s="237">
        <v>840.52599999999995</v>
      </c>
      <c r="F37" s="917"/>
      <c r="G37" s="253">
        <v>764.10299999999995</v>
      </c>
      <c r="H37" s="160" t="s">
        <v>576</v>
      </c>
      <c r="I37" s="2078"/>
      <c r="J37" s="1299"/>
      <c r="K37" s="1300"/>
      <c r="L37" s="1300"/>
      <c r="M37" s="2371">
        <f>(C37-E37)*1000000/J31</f>
        <v>20412.392065033724</v>
      </c>
      <c r="N37" s="2141"/>
      <c r="O37" s="2141"/>
      <c r="P37" s="2141"/>
      <c r="Q37" s="2382" t="s">
        <v>842</v>
      </c>
      <c r="R37" s="2141"/>
      <c r="S37" s="2141"/>
      <c r="T37" s="2141"/>
      <c r="U37" s="2141"/>
      <c r="V37" s="2141"/>
      <c r="W37" s="2141"/>
      <c r="X37" s="2141"/>
      <c r="Y37" s="2141"/>
      <c r="Z37" s="2141"/>
    </row>
    <row r="38" spans="1:26" s="195" customFormat="1" ht="12.75" customHeight="1">
      <c r="A38" s="1004" t="s">
        <v>379</v>
      </c>
      <c r="B38" s="1019" t="s">
        <v>444</v>
      </c>
      <c r="C38" s="254">
        <v>22765.333999999999</v>
      </c>
      <c r="D38" s="996"/>
      <c r="E38" s="237">
        <v>22627.919000000002</v>
      </c>
      <c r="F38" s="917"/>
      <c r="G38" s="253">
        <v>10056.395</v>
      </c>
      <c r="H38" s="145"/>
      <c r="I38" s="2613"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1836"/>
      <c r="K38" s="1836"/>
      <c r="L38" s="2363"/>
      <c r="M38" s="2371">
        <f>((C38+C39-G38)*1000000/J31)</f>
        <v>16291.231711481576</v>
      </c>
      <c r="N38" s="2141"/>
      <c r="O38" s="2141"/>
      <c r="P38" s="2141"/>
      <c r="Q38" s="2382" t="s">
        <v>843</v>
      </c>
      <c r="R38" s="2141"/>
      <c r="S38" s="2141"/>
      <c r="T38" s="2141"/>
      <c r="U38" s="2141"/>
      <c r="V38" s="2141"/>
      <c r="W38" s="2141"/>
      <c r="X38" s="2141"/>
      <c r="Y38" s="2141"/>
      <c r="Z38" s="2141"/>
    </row>
    <row r="39" spans="1:26" s="195" customFormat="1">
      <c r="A39" s="1004" t="s">
        <v>380</v>
      </c>
      <c r="B39" s="1022" t="s">
        <v>492</v>
      </c>
      <c r="C39" s="254">
        <v>5658.04</v>
      </c>
      <c r="D39" s="2013"/>
      <c r="E39" s="919"/>
      <c r="F39" s="919"/>
      <c r="G39" s="998"/>
      <c r="H39" s="159"/>
      <c r="I39" s="2614"/>
      <c r="J39" s="1837"/>
      <c r="K39" s="1837"/>
      <c r="L39" s="2364"/>
      <c r="M39" s="2372">
        <f>(M31*J31/1000000+D31-F31-(Motpart!D18+Motpart!E18+Motpart!F18+Motpart!J18)*0.06)*1000000/J31+M35</f>
        <v>139825.30913638722</v>
      </c>
      <c r="N39" s="2141"/>
      <c r="O39" s="2141"/>
      <c r="P39" s="2141"/>
      <c r="Q39" s="2382" t="s">
        <v>844</v>
      </c>
      <c r="R39" s="2141"/>
      <c r="S39" s="2141"/>
      <c r="T39" s="2141"/>
      <c r="U39" s="2141"/>
      <c r="V39" s="2141"/>
      <c r="W39" s="2141"/>
      <c r="X39" s="2141"/>
      <c r="Y39" s="2141"/>
      <c r="Z39" s="2141"/>
    </row>
    <row r="40" spans="1:26">
      <c r="A40" s="1023" t="s">
        <v>545</v>
      </c>
      <c r="B40" s="1024" t="s">
        <v>126</v>
      </c>
      <c r="C40" s="1166">
        <f>(C31-SUM(C32:C39)-D31)*-1</f>
        <v>-2.00000001132139E-3</v>
      </c>
      <c r="D40" s="985"/>
      <c r="E40" s="1167">
        <f>(E31-SUM(E32:E38)-F31-(Motpart!D18+Motpart!E18+Motpart!F18)*0.06)*-1</f>
        <v>1.0000000543186616E-4</v>
      </c>
      <c r="F40" s="985"/>
      <c r="G40" s="1168">
        <f>(G31-SUM(G32:G38))*-1</f>
        <v>1.0000000038417056E-3</v>
      </c>
      <c r="H40" s="147"/>
      <c r="I40" s="2614"/>
      <c r="J40" s="1837"/>
      <c r="K40" s="1837"/>
      <c r="L40" s="2364"/>
      <c r="M40" s="2371">
        <f>(Motpart!G18+Motpart!K18)*1000000/J31</f>
        <v>1481.9139358621271</v>
      </c>
      <c r="N40" s="2141"/>
      <c r="O40" s="2141"/>
      <c r="P40" s="2141"/>
      <c r="Q40" s="2382" t="s">
        <v>845</v>
      </c>
      <c r="R40" s="2141"/>
      <c r="S40" s="2141"/>
      <c r="T40" s="2141"/>
      <c r="U40" s="2141"/>
      <c r="V40" s="2141"/>
      <c r="W40" s="2141"/>
      <c r="X40" s="2141"/>
      <c r="Y40" s="2141"/>
      <c r="Z40" s="2141"/>
    </row>
    <row r="41" spans="1:26">
      <c r="A41" s="1023" t="s">
        <v>546</v>
      </c>
      <c r="B41" s="1024"/>
      <c r="C41" s="987"/>
      <c r="D41" s="985"/>
      <c r="E41" s="985"/>
      <c r="F41" s="985"/>
      <c r="G41" s="995"/>
      <c r="H41" s="147"/>
      <c r="I41" s="2614"/>
      <c r="J41" s="1837"/>
      <c r="K41" s="1837"/>
      <c r="L41" s="2364"/>
      <c r="M41" s="2372">
        <f>F31*1000000/J31</f>
        <v>1471.9220517733045</v>
      </c>
      <c r="N41" s="2141"/>
      <c r="O41" s="2141"/>
      <c r="P41" s="2141"/>
      <c r="Q41" s="2382" t="s">
        <v>846</v>
      </c>
      <c r="R41" s="2141"/>
      <c r="S41" s="2141"/>
      <c r="T41" s="2141"/>
      <c r="U41" s="2141"/>
      <c r="V41" s="2141"/>
      <c r="W41" s="2141"/>
      <c r="X41" s="2141"/>
      <c r="Y41" s="2141"/>
      <c r="Z41" s="2141"/>
    </row>
    <row r="42" spans="1:26">
      <c r="A42" s="1004" t="s">
        <v>547</v>
      </c>
      <c r="B42" s="1022"/>
      <c r="C42" s="987"/>
      <c r="D42" s="985"/>
      <c r="E42" s="985"/>
      <c r="F42" s="985"/>
      <c r="G42" s="995"/>
      <c r="H42" s="147"/>
      <c r="I42" s="2614"/>
      <c r="J42" s="1838"/>
      <c r="K42" s="1838"/>
      <c r="L42" s="2365"/>
      <c r="M42" s="2376">
        <f>((Motpart!D18+Motpart!E18+Motpart!F18+Motpart!J18-(Motpart!D18+Motpart!E18+Motpart!F18+Motpart!J18)*0.06))*1000000/J31</f>
        <v>18524.344540386639</v>
      </c>
      <c r="N42" s="2141"/>
      <c r="O42" s="2141"/>
      <c r="P42" s="2141"/>
      <c r="Q42" s="2382" t="s">
        <v>847</v>
      </c>
      <c r="R42" s="2141"/>
      <c r="S42" s="2141"/>
      <c r="T42" s="2141"/>
      <c r="U42" s="2141"/>
      <c r="V42" s="2141"/>
      <c r="W42" s="2141"/>
      <c r="X42" s="2141"/>
      <c r="Y42" s="2141"/>
      <c r="Z42" s="2141"/>
    </row>
    <row r="43" spans="1:26" ht="13.5" thickBot="1">
      <c r="A43" s="1025"/>
      <c r="B43" s="1026"/>
      <c r="C43" s="1712" t="str">
        <f>IF(ABS(C40)&lt;100,"",IF(C31=0,"C31",IF(ABS(C40/C31)&gt;0.01,"C40")))</f>
        <v/>
      </c>
      <c r="D43" s="1713"/>
      <c r="E43" s="1710" t="str">
        <f>IF(ABS(E40)&lt;100,"",IF(E31=0,"E31",IF(ABS(E40/E31)&gt;0.01,"E40")))</f>
        <v/>
      </c>
      <c r="F43" s="1713"/>
      <c r="G43" s="1714" t="str">
        <f>IF(ABS(G40)&lt;100,"",IF(G31=0,"G31",IF(ABS(G40/G31)&gt;0.01,"G40")))</f>
        <v/>
      </c>
      <c r="H43" s="146"/>
      <c r="I43" s="1037"/>
      <c r="J43" s="1395"/>
      <c r="K43" s="1035"/>
      <c r="L43" s="1035"/>
      <c r="M43" s="2377"/>
      <c r="N43" s="2141"/>
      <c r="O43" s="2141"/>
      <c r="P43" s="2141"/>
      <c r="Q43" s="2385" t="s">
        <v>494</v>
      </c>
      <c r="R43" s="2141"/>
      <c r="S43" s="2141"/>
      <c r="T43" s="2141"/>
      <c r="U43" s="2141"/>
      <c r="V43" s="2141"/>
      <c r="W43" s="2141"/>
      <c r="X43" s="2141"/>
      <c r="Y43" s="2141"/>
      <c r="Z43" s="2141"/>
    </row>
    <row r="44" spans="1:26">
      <c r="A44" s="1009" t="s">
        <v>386</v>
      </c>
      <c r="B44" s="2395" t="s">
        <v>1178</v>
      </c>
      <c r="C44" s="77">
        <f>Drift!P55</f>
        <v>10480.791000000003</v>
      </c>
      <c r="D44" s="78">
        <f>SUM(Motpart!D19:L19)</f>
        <v>756.38100000000009</v>
      </c>
      <c r="E44" s="78">
        <f>Drift!W55</f>
        <v>1644.1410000000001</v>
      </c>
      <c r="F44" s="78">
        <f>Motpart!Y19</f>
        <v>330.01400000000001</v>
      </c>
      <c r="G44" s="124">
        <f>Drift!V55</f>
        <v>1091.6980000000001</v>
      </c>
      <c r="H44" s="149"/>
      <c r="I44" s="1302" t="s">
        <v>810</v>
      </c>
      <c r="J44" s="1393">
        <v>1127415</v>
      </c>
      <c r="K44" s="1303"/>
      <c r="L44" s="1301"/>
      <c r="M44" s="2372">
        <f>SUM(M45:M47,M49:M51)</f>
        <v>6890.2338535499357</v>
      </c>
      <c r="N44" s="2141"/>
      <c r="O44" s="2141"/>
      <c r="P44" s="2141"/>
      <c r="Q44" s="2382" t="s">
        <v>836</v>
      </c>
      <c r="R44" s="2141"/>
      <c r="S44" s="2141"/>
      <c r="T44" s="2141"/>
      <c r="U44" s="2141"/>
      <c r="V44" s="2141"/>
      <c r="W44" s="2141"/>
      <c r="X44" s="2141"/>
      <c r="Y44" s="2141"/>
      <c r="Z44" s="2141"/>
    </row>
    <row r="45" spans="1:26">
      <c r="A45" s="1004" t="s">
        <v>381</v>
      </c>
      <c r="B45" s="1019" t="s">
        <v>493</v>
      </c>
      <c r="C45" s="254">
        <v>4652.9920000000002</v>
      </c>
      <c r="D45" s="996"/>
      <c r="E45" s="237">
        <v>370.971</v>
      </c>
      <c r="F45" s="989"/>
      <c r="G45" s="253">
        <v>369.41800000000001</v>
      </c>
      <c r="H45" s="143" t="s">
        <v>577</v>
      </c>
      <c r="I45" s="1298"/>
      <c r="J45" s="1299"/>
      <c r="K45" s="1300"/>
      <c r="L45" s="1300"/>
      <c r="M45" s="2376">
        <f>(C45-E45)*1000000/J44</f>
        <v>3798.0876607105638</v>
      </c>
      <c r="N45" s="2141"/>
      <c r="O45" s="2141"/>
      <c r="P45" s="2141"/>
      <c r="Q45" s="2382" t="s">
        <v>873</v>
      </c>
      <c r="R45" s="2141"/>
      <c r="S45" s="2141"/>
      <c r="T45" s="2141"/>
      <c r="U45" s="2141"/>
      <c r="V45" s="2141"/>
      <c r="W45" s="2141"/>
      <c r="X45" s="2141"/>
      <c r="Y45" s="2141"/>
      <c r="Z45" s="2141"/>
    </row>
    <row r="46" spans="1:26">
      <c r="A46" s="1004" t="s">
        <v>387</v>
      </c>
      <c r="B46" s="1019" t="s">
        <v>800</v>
      </c>
      <c r="C46" s="254">
        <v>148.56</v>
      </c>
      <c r="D46" s="996"/>
      <c r="E46" s="237">
        <v>4.7149999999999999</v>
      </c>
      <c r="F46" s="989"/>
      <c r="G46" s="253">
        <v>3.7549999999999999</v>
      </c>
      <c r="H46" s="147" t="s">
        <v>578</v>
      </c>
      <c r="I46" s="1298"/>
      <c r="J46" s="1299"/>
      <c r="K46" s="1038"/>
      <c r="L46" s="1038"/>
      <c r="M46" s="2376">
        <f>(C46-E46)*1000000/J44</f>
        <v>127.58833260157085</v>
      </c>
      <c r="N46" s="2141"/>
      <c r="O46" s="2141"/>
      <c r="P46" s="2141"/>
      <c r="Q46" s="2382" t="s">
        <v>874</v>
      </c>
      <c r="R46" s="2141"/>
      <c r="S46" s="2141"/>
      <c r="T46" s="2141"/>
      <c r="U46" s="2141"/>
      <c r="V46" s="2141"/>
      <c r="W46" s="2141"/>
      <c r="X46" s="2141"/>
      <c r="Y46" s="2141"/>
      <c r="Z46" s="2141"/>
    </row>
    <row r="47" spans="1:26">
      <c r="A47" s="1004" t="s">
        <v>388</v>
      </c>
      <c r="B47" s="1019" t="s">
        <v>509</v>
      </c>
      <c r="C47" s="254">
        <v>153.11099999999999</v>
      </c>
      <c r="D47" s="996"/>
      <c r="E47" s="237">
        <v>7.1319999999999997</v>
      </c>
      <c r="F47" s="988"/>
      <c r="G47" s="253">
        <v>4.7009999999999996</v>
      </c>
      <c r="H47" s="147"/>
      <c r="I47" s="1298"/>
      <c r="J47" s="1394"/>
      <c r="K47" s="1034"/>
      <c r="L47" s="1034"/>
      <c r="M47" s="2376">
        <f>(C47-E47)*1000000/J44</f>
        <v>129.48115822478854</v>
      </c>
      <c r="N47" s="2141"/>
      <c r="O47" s="2141"/>
      <c r="P47" s="2141"/>
      <c r="Q47" s="2382" t="s">
        <v>875</v>
      </c>
      <c r="R47" s="2141"/>
      <c r="S47" s="2141"/>
      <c r="T47" s="2141"/>
      <c r="U47" s="2141"/>
      <c r="V47" s="2141"/>
      <c r="W47" s="2141"/>
      <c r="X47" s="2141"/>
      <c r="Y47" s="2141"/>
      <c r="Z47" s="2141"/>
    </row>
    <row r="48" spans="1:26">
      <c r="A48" s="1004" t="s">
        <v>382</v>
      </c>
      <c r="B48" s="1019" t="s">
        <v>491</v>
      </c>
      <c r="C48" s="254">
        <v>860.60900000000004</v>
      </c>
      <c r="D48" s="996" t="str">
        <f>IF(C44=0,"",IF(OR(C48=0,C48=""),"Kommentera",""))</f>
        <v/>
      </c>
      <c r="E48" s="237">
        <v>6.3719999999999999</v>
      </c>
      <c r="F48" s="917"/>
      <c r="G48" s="253">
        <v>2.5979999999999999</v>
      </c>
      <c r="H48" s="145" t="s">
        <v>579</v>
      </c>
      <c r="I48" s="1298"/>
      <c r="J48" s="1299"/>
      <c r="K48" s="1300"/>
      <c r="L48" s="1300"/>
      <c r="M48" s="2376">
        <f>(C48-E48)*1000000/J44</f>
        <v>757.69525862260139</v>
      </c>
      <c r="N48" s="2141"/>
      <c r="O48" s="2141"/>
      <c r="P48" s="2141"/>
      <c r="Q48" s="2382" t="s">
        <v>876</v>
      </c>
      <c r="R48" s="2141"/>
      <c r="S48" s="2141"/>
      <c r="T48" s="2141"/>
      <c r="U48" s="2141"/>
      <c r="V48" s="2141"/>
      <c r="W48" s="2141"/>
      <c r="X48" s="2141"/>
      <c r="Y48" s="2141"/>
      <c r="Z48" s="2141"/>
    </row>
    <row r="49" spans="1:26">
      <c r="A49" s="1004" t="s">
        <v>389</v>
      </c>
      <c r="B49" s="1020" t="s">
        <v>723</v>
      </c>
      <c r="C49" s="254">
        <v>142.56200000000001</v>
      </c>
      <c r="D49" s="996"/>
      <c r="E49" s="237">
        <v>6.2910000000000004</v>
      </c>
      <c r="F49" s="999"/>
      <c r="G49" s="253">
        <v>5.36</v>
      </c>
      <c r="H49" s="147" t="s">
        <v>580</v>
      </c>
      <c r="I49" s="1298"/>
      <c r="J49" s="1299"/>
      <c r="K49" s="1300"/>
      <c r="L49" s="1300"/>
      <c r="M49" s="2376">
        <f>(C49-E49)*1000000/J44</f>
        <v>120.87030951335581</v>
      </c>
      <c r="N49" s="2141"/>
      <c r="O49" s="2141"/>
      <c r="P49" s="2141"/>
      <c r="Q49" s="2382" t="s">
        <v>877</v>
      </c>
      <c r="R49" s="2141"/>
      <c r="S49" s="2141"/>
      <c r="T49" s="2141"/>
      <c r="U49" s="2141"/>
      <c r="V49" s="2141"/>
      <c r="W49" s="2141"/>
      <c r="X49" s="2141"/>
      <c r="Y49" s="2141"/>
      <c r="Z49" s="2141"/>
    </row>
    <row r="50" spans="1:26">
      <c r="A50" s="1004" t="s">
        <v>390</v>
      </c>
      <c r="B50" s="1021" t="s">
        <v>523</v>
      </c>
      <c r="C50" s="254">
        <v>896.70500000000004</v>
      </c>
      <c r="D50" s="996" t="str">
        <f>IF(C44=0,"",IF(C50&lt;Drift!I55+Drift!J55+Drift!L55,"Kommentera",""))</f>
        <v/>
      </c>
      <c r="E50" s="237">
        <v>26.975999999999999</v>
      </c>
      <c r="F50" s="988"/>
      <c r="G50" s="253">
        <v>26.297999999999998</v>
      </c>
      <c r="H50" s="145" t="s">
        <v>581</v>
      </c>
      <c r="I50" s="1298"/>
      <c r="J50" s="1299"/>
      <c r="K50" s="1300"/>
      <c r="L50" s="1300"/>
      <c r="M50" s="2376">
        <f>(C50-E50)*1000000/J44</f>
        <v>771.43642757990619</v>
      </c>
      <c r="N50" s="2141"/>
      <c r="O50" s="2141"/>
      <c r="P50" s="2141"/>
      <c r="Q50" s="2382" t="s">
        <v>878</v>
      </c>
      <c r="R50" s="2141"/>
      <c r="S50" s="2141"/>
      <c r="T50" s="2141"/>
      <c r="U50" s="2141"/>
      <c r="V50" s="2141"/>
      <c r="W50" s="2141"/>
      <c r="X50" s="2141"/>
      <c r="Y50" s="2141"/>
      <c r="Z50" s="2141"/>
    </row>
    <row r="51" spans="1:26">
      <c r="A51" s="1004" t="s">
        <v>391</v>
      </c>
      <c r="B51" s="1019" t="s">
        <v>444</v>
      </c>
      <c r="C51" s="254">
        <v>2526.8870000000002</v>
      </c>
      <c r="D51" s="1225"/>
      <c r="E51" s="237">
        <v>866.33600000000001</v>
      </c>
      <c r="F51" s="988"/>
      <c r="G51" s="253">
        <v>679.56700000000001</v>
      </c>
      <c r="H51" s="143" t="s">
        <v>582</v>
      </c>
      <c r="I51" s="2617"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1840"/>
      <c r="K51" s="1840"/>
      <c r="L51" s="2366"/>
      <c r="M51" s="2376">
        <f>(C51+C52-G51)*1000000/J44</f>
        <v>1942.76996491975</v>
      </c>
      <c r="N51" s="2141"/>
      <c r="O51" s="2141"/>
      <c r="P51" s="2141"/>
      <c r="Q51" s="2382" t="s">
        <v>879</v>
      </c>
      <c r="R51" s="2141"/>
      <c r="S51" s="2141"/>
      <c r="T51" s="2141"/>
      <c r="U51" s="2141"/>
      <c r="V51" s="2141"/>
      <c r="W51" s="2141"/>
      <c r="X51" s="2141"/>
      <c r="Y51" s="2141"/>
      <c r="Z51" s="2141"/>
    </row>
    <row r="52" spans="1:26">
      <c r="A52" s="1004" t="s">
        <v>392</v>
      </c>
      <c r="B52" s="1022" t="s">
        <v>454</v>
      </c>
      <c r="C52" s="254">
        <v>342.988</v>
      </c>
      <c r="D52" s="2014" t="str">
        <f>IF(OR(C52 &gt; SUM(Drift!N55+Drift!O55+100), C52 &lt; SUM(Drift!N55+Drift!O55-100)),"Fördelad gemensam verksamhet skiljer sig mot Driftfliken.","")</f>
        <v/>
      </c>
      <c r="E52" s="996"/>
      <c r="F52" s="996"/>
      <c r="G52" s="998"/>
      <c r="H52" s="147"/>
      <c r="I52" s="2616"/>
      <c r="J52" s="1840"/>
      <c r="K52" s="1840"/>
      <c r="L52" s="2366"/>
      <c r="M52" s="2371">
        <f>((M44*J44/1000000+D44-F44-(Motpart!D19+Motpart!E19+Motpart!F19+Motpart!J19)*0.06))*1000000/J44+M48</f>
        <v>8003.638997174955</v>
      </c>
      <c r="N52" s="2141"/>
      <c r="O52" s="2141"/>
      <c r="P52" s="2141"/>
      <c r="Q52" s="2382" t="s">
        <v>880</v>
      </c>
      <c r="R52" s="2141"/>
      <c r="S52" s="2141"/>
      <c r="T52" s="2141"/>
      <c r="U52" s="2141"/>
      <c r="V52" s="2141"/>
      <c r="W52" s="2141"/>
      <c r="X52" s="2141"/>
      <c r="Y52" s="2141"/>
      <c r="Z52" s="2141"/>
    </row>
    <row r="53" spans="1:26">
      <c r="A53" s="1025" t="s">
        <v>548</v>
      </c>
      <c r="B53" s="1022" t="s">
        <v>126</v>
      </c>
      <c r="C53" s="1166">
        <f>(C44-SUM(C45:C52)-D44)*-1</f>
        <v>3.9999999978590495E-3</v>
      </c>
      <c r="D53" s="996"/>
      <c r="E53" s="1167">
        <f>(E44-SUM(E45:E51)-F44-(Motpart!D19+Motpart!E19+Motpart!F19)*0.06)*-1</f>
        <v>3.4000000005107722E-4</v>
      </c>
      <c r="F53" s="996"/>
      <c r="G53" s="1168">
        <f>(G44-SUM(G45:G51))*-1</f>
        <v>-9.9999999997635314E-4</v>
      </c>
      <c r="H53" s="147"/>
      <c r="I53" s="2616"/>
      <c r="J53" s="1840"/>
      <c r="K53" s="1840"/>
      <c r="L53" s="2366"/>
      <c r="M53" s="2372">
        <f>(Motpart!G19+Motpart!K19)*1000000/J44</f>
        <v>284.78155781145364</v>
      </c>
      <c r="N53" s="2141"/>
      <c r="O53" s="2141"/>
      <c r="P53" s="2141"/>
      <c r="Q53" s="2382" t="s">
        <v>881</v>
      </c>
      <c r="R53" s="2141"/>
      <c r="S53" s="2141"/>
      <c r="T53" s="2141"/>
      <c r="U53" s="2141"/>
      <c r="V53" s="2141"/>
      <c r="W53" s="2141"/>
      <c r="X53" s="2141"/>
      <c r="Y53" s="2141"/>
      <c r="Z53" s="2141"/>
    </row>
    <row r="54" spans="1:26">
      <c r="A54" s="1025" t="s">
        <v>549</v>
      </c>
      <c r="B54" s="1022"/>
      <c r="C54" s="996"/>
      <c r="D54" s="996"/>
      <c r="E54" s="996"/>
      <c r="F54" s="996"/>
      <c r="G54" s="998"/>
      <c r="H54" s="145"/>
      <c r="I54" s="2616"/>
      <c r="J54" s="1840"/>
      <c r="K54" s="1840"/>
      <c r="L54" s="2366"/>
      <c r="M54" s="2376">
        <f>F44*1000000/J44</f>
        <v>292.71741106868365</v>
      </c>
      <c r="N54" s="2141"/>
      <c r="O54" s="2141"/>
      <c r="P54" s="2141"/>
      <c r="Q54" s="2382" t="s">
        <v>882</v>
      </c>
      <c r="R54" s="2141"/>
      <c r="S54" s="2141"/>
      <c r="T54" s="2141"/>
      <c r="U54" s="2141"/>
      <c r="V54" s="2141"/>
      <c r="W54" s="2141"/>
      <c r="X54" s="2141"/>
      <c r="Y54" s="2141"/>
      <c r="Z54" s="2141"/>
    </row>
    <row r="55" spans="1:26">
      <c r="A55" s="1025" t="s">
        <v>550</v>
      </c>
      <c r="B55" s="1027"/>
      <c r="C55" s="996"/>
      <c r="D55" s="996"/>
      <c r="E55" s="996"/>
      <c r="F55" s="996"/>
      <c r="G55" s="998"/>
      <c r="H55" s="143"/>
      <c r="I55" s="2616"/>
      <c r="J55" s="1840"/>
      <c r="K55" s="1840"/>
      <c r="L55" s="2366"/>
      <c r="M55" s="2376">
        <f>Motpart!H19*1000000/J44</f>
        <v>1.6817232341240802</v>
      </c>
      <c r="N55" s="2141"/>
      <c r="O55" s="2141"/>
      <c r="P55" s="2141"/>
      <c r="Q55" s="2382" t="s">
        <v>1059</v>
      </c>
      <c r="R55" s="2141"/>
      <c r="S55" s="2141"/>
      <c r="T55" s="2141"/>
      <c r="U55" s="2141"/>
      <c r="V55" s="2141"/>
      <c r="W55" s="2141"/>
      <c r="X55" s="2141"/>
      <c r="Y55" s="2141"/>
      <c r="Z55" s="2141"/>
    </row>
    <row r="56" spans="1:26">
      <c r="A56" s="1007" t="s">
        <v>551</v>
      </c>
      <c r="B56" s="1022"/>
      <c r="C56" s="985"/>
      <c r="D56" s="985"/>
      <c r="E56" s="985"/>
      <c r="F56" s="985"/>
      <c r="G56" s="995"/>
      <c r="H56" s="1171"/>
      <c r="I56" s="1172"/>
      <c r="J56" s="1394"/>
      <c r="K56" s="1038"/>
      <c r="L56" s="1038"/>
      <c r="M56" s="2376">
        <f>(Motpart!D19+Motpart!E19+Motpart!F19+Motpart!J19-(Motpart!D19+Motpart!E19+Motpart!F19+Motpart!J19)*0.06)*1000000/J44</f>
        <v>352.04841163191901</v>
      </c>
      <c r="N56" s="2141"/>
      <c r="O56" s="2141"/>
      <c r="P56" s="2141"/>
      <c r="Q56" s="2382" t="s">
        <v>883</v>
      </c>
      <c r="R56" s="2141"/>
      <c r="S56" s="2141"/>
      <c r="T56" s="2141"/>
      <c r="U56" s="2141"/>
      <c r="V56" s="2141"/>
      <c r="W56" s="2141"/>
      <c r="X56" s="2141"/>
      <c r="Y56" s="2141"/>
      <c r="Z56" s="2141"/>
    </row>
    <row r="57" spans="1:26" ht="13.5" thickBot="1">
      <c r="A57" s="1025"/>
      <c r="B57" s="1028"/>
      <c r="C57" s="1710" t="str">
        <f>IF(ABS(C53)&lt;100,"",IF(C44=0,"C44",IF(ABS(C53/C44)&gt;0.01,"C53")))</f>
        <v/>
      </c>
      <c r="D57" s="1710"/>
      <c r="E57" s="1710" t="str">
        <f>IF(ABS(E53)&lt;100,"",IF(E44=0,"E44",IF(ABS(E53/E44)&gt;0.01,"E53")))</f>
        <v/>
      </c>
      <c r="F57" s="1710"/>
      <c r="G57" s="1711" t="str">
        <f>IF(ABS(G53)&lt;100,"",IF(G44=0,"G44",IF(ABS(G53/G44)&gt;0.01,"G53")))</f>
        <v/>
      </c>
      <c r="H57" s="161"/>
      <c r="I57" s="1039"/>
      <c r="J57" s="1395"/>
      <c r="K57" s="1035"/>
      <c r="L57" s="1035"/>
      <c r="M57" s="2377"/>
      <c r="N57" s="2141"/>
      <c r="O57" s="2141"/>
      <c r="P57" s="2141"/>
      <c r="Q57" s="2385" t="s">
        <v>1182</v>
      </c>
      <c r="R57" s="2141"/>
      <c r="S57" s="2141"/>
      <c r="T57" s="2141"/>
      <c r="U57" s="2141"/>
      <c r="V57" s="2141"/>
      <c r="W57" s="2141"/>
      <c r="X57" s="2141"/>
      <c r="Y57" s="2141"/>
      <c r="Z57" s="2141"/>
    </row>
    <row r="58" spans="1:26">
      <c r="A58" s="1009" t="s">
        <v>393</v>
      </c>
      <c r="B58" s="1018" t="s">
        <v>529</v>
      </c>
      <c r="C58" s="77">
        <f>Drift!P56</f>
        <v>67653.366999999998</v>
      </c>
      <c r="D58" s="78">
        <f>SUM(Motpart!D20:L20)</f>
        <v>26632.854999999996</v>
      </c>
      <c r="E58" s="78">
        <f>Drift!W56</f>
        <v>16372.708000000001</v>
      </c>
      <c r="F58" s="78">
        <f>Motpart!Y20</f>
        <v>8586.3189999999995</v>
      </c>
      <c r="G58" s="124">
        <f>Drift!V56</f>
        <v>4477.1530000000002</v>
      </c>
      <c r="H58" s="143"/>
      <c r="I58" s="1302" t="s">
        <v>811</v>
      </c>
      <c r="J58" s="1393">
        <v>375030</v>
      </c>
      <c r="K58" s="1301"/>
      <c r="L58" s="1301"/>
      <c r="M58" s="2378">
        <f>SUM(M59:M61,M63:M65)</f>
        <v>92207.751379889611</v>
      </c>
      <c r="N58" s="2141"/>
      <c r="O58" s="2141"/>
      <c r="P58" s="2141"/>
      <c r="Q58" s="2382" t="s">
        <v>818</v>
      </c>
      <c r="R58" s="2141"/>
      <c r="S58" s="2141"/>
      <c r="T58" s="2141"/>
      <c r="U58" s="2141"/>
      <c r="V58" s="2141"/>
      <c r="W58" s="2141"/>
      <c r="X58" s="2141"/>
      <c r="Y58" s="2141"/>
      <c r="Z58" s="2141"/>
    </row>
    <row r="59" spans="1:26">
      <c r="A59" s="1004" t="s">
        <v>394</v>
      </c>
      <c r="B59" s="1019" t="s">
        <v>493</v>
      </c>
      <c r="C59" s="254">
        <v>19902.317999999999</v>
      </c>
      <c r="D59" s="996"/>
      <c r="E59" s="237">
        <v>2101.4160000000002</v>
      </c>
      <c r="F59" s="988"/>
      <c r="G59" s="253">
        <v>1975.405</v>
      </c>
      <c r="H59" s="147" t="s">
        <v>583</v>
      </c>
      <c r="I59" s="1298"/>
      <c r="J59" s="1299"/>
      <c r="K59" s="1300"/>
      <c r="L59" s="1300"/>
      <c r="M59" s="2376">
        <f>(C59-E59)*1000000/J58</f>
        <v>47465.27477801776</v>
      </c>
      <c r="N59" s="2141"/>
      <c r="O59" s="2141"/>
      <c r="P59" s="2141"/>
      <c r="Q59" s="2382" t="s">
        <v>819</v>
      </c>
      <c r="R59" s="2141"/>
      <c r="S59" s="2141"/>
      <c r="T59" s="2141"/>
      <c r="U59" s="2141"/>
      <c r="V59" s="2141"/>
      <c r="W59" s="2141"/>
      <c r="X59" s="2141"/>
      <c r="Y59" s="2141"/>
      <c r="Z59" s="2141"/>
    </row>
    <row r="60" spans="1:26">
      <c r="A60" s="1004" t="s">
        <v>395</v>
      </c>
      <c r="B60" s="1019" t="s">
        <v>800</v>
      </c>
      <c r="C60" s="254">
        <v>2566.8530000000001</v>
      </c>
      <c r="D60" s="996"/>
      <c r="E60" s="237">
        <v>167.96899999999999</v>
      </c>
      <c r="F60" s="988"/>
      <c r="G60" s="253">
        <v>25.262</v>
      </c>
      <c r="H60" s="147" t="s">
        <v>584</v>
      </c>
      <c r="I60" s="1298"/>
      <c r="J60" s="1299"/>
      <c r="K60" s="1038"/>
      <c r="L60" s="1038"/>
      <c r="M60" s="2376">
        <f>(C60-E60)*1000000/J58</f>
        <v>6396.5122790176783</v>
      </c>
      <c r="N60" s="2141"/>
      <c r="O60" s="2141"/>
      <c r="P60" s="2141"/>
      <c r="Q60" s="2382" t="s">
        <v>820</v>
      </c>
      <c r="R60" s="2141"/>
      <c r="S60" s="2141"/>
      <c r="T60" s="2141"/>
      <c r="U60" s="2141"/>
      <c r="V60" s="2141"/>
      <c r="W60" s="2141"/>
      <c r="X60" s="2141"/>
      <c r="Y60" s="2141"/>
      <c r="Z60" s="2141"/>
    </row>
    <row r="61" spans="1:26">
      <c r="A61" s="1004" t="s">
        <v>396</v>
      </c>
      <c r="B61" s="1019" t="s">
        <v>509</v>
      </c>
      <c r="C61" s="254">
        <v>1740.4949999999999</v>
      </c>
      <c r="D61" s="996"/>
      <c r="E61" s="237">
        <v>205.869</v>
      </c>
      <c r="F61" s="988"/>
      <c r="G61" s="253">
        <v>88.498000000000005</v>
      </c>
      <c r="H61" s="145"/>
      <c r="I61" s="1298"/>
      <c r="J61" s="1122"/>
      <c r="K61" s="1034"/>
      <c r="L61" s="1034"/>
      <c r="M61" s="2376">
        <f>(C61-E61)*1000000/J58</f>
        <v>4092.0086393088554</v>
      </c>
      <c r="N61" s="2141"/>
      <c r="O61" s="2141"/>
      <c r="P61" s="2141"/>
      <c r="Q61" s="2382" t="s">
        <v>821</v>
      </c>
      <c r="R61" s="2141"/>
      <c r="S61" s="2141"/>
      <c r="T61" s="2141"/>
      <c r="U61" s="2141"/>
      <c r="V61" s="2141"/>
      <c r="W61" s="2141"/>
      <c r="X61" s="2141"/>
      <c r="Y61" s="2141"/>
      <c r="Z61" s="2141"/>
    </row>
    <row r="62" spans="1:26">
      <c r="A62" s="1004" t="s">
        <v>248</v>
      </c>
      <c r="B62" s="1019" t="s">
        <v>491</v>
      </c>
      <c r="C62" s="254">
        <v>1508.5</v>
      </c>
      <c r="D62" s="996" t="str">
        <f>IF(C58=0,"",IF(OR(C62=0,C62=""),"Kommentera",""))</f>
        <v/>
      </c>
      <c r="E62" s="237">
        <v>45.222000000000001</v>
      </c>
      <c r="F62" s="988"/>
      <c r="G62" s="253">
        <v>3.7639999999999998</v>
      </c>
      <c r="H62" s="143" t="s">
        <v>585</v>
      </c>
      <c r="I62" s="1298"/>
      <c r="J62" s="1299"/>
      <c r="K62" s="1300"/>
      <c r="L62" s="1300"/>
      <c r="M62" s="2376">
        <f>(C62-E62)*1000000/J58</f>
        <v>3901.7625256646133</v>
      </c>
      <c r="N62" s="2141"/>
      <c r="O62" s="2141"/>
      <c r="P62" s="2141"/>
      <c r="Q62" s="2382" t="s">
        <v>822</v>
      </c>
      <c r="R62" s="2141"/>
      <c r="S62" s="2141"/>
      <c r="T62" s="2141"/>
      <c r="U62" s="2141"/>
      <c r="V62" s="2141"/>
      <c r="W62" s="2141"/>
      <c r="X62" s="2141"/>
      <c r="Y62" s="2141"/>
      <c r="Z62" s="2141"/>
    </row>
    <row r="63" spans="1:26">
      <c r="A63" s="1004" t="s">
        <v>397</v>
      </c>
      <c r="B63" s="1020" t="s">
        <v>723</v>
      </c>
      <c r="C63" s="254">
        <v>1027.8689999999999</v>
      </c>
      <c r="D63" s="996"/>
      <c r="E63" s="237">
        <v>32.506</v>
      </c>
      <c r="F63" s="988"/>
      <c r="G63" s="253">
        <v>25.577000000000002</v>
      </c>
      <c r="H63" s="147" t="s">
        <v>586</v>
      </c>
      <c r="I63" s="1298"/>
      <c r="J63" s="1299"/>
      <c r="K63" s="1300"/>
      <c r="L63" s="1300"/>
      <c r="M63" s="2376">
        <f>(C63-E63)*1000000/J58</f>
        <v>2654.0890062128365</v>
      </c>
      <c r="N63" s="2141"/>
      <c r="O63" s="2141"/>
      <c r="P63" s="2141"/>
      <c r="Q63" s="2382" t="s">
        <v>823</v>
      </c>
      <c r="R63" s="2141"/>
      <c r="S63" s="2141"/>
      <c r="T63" s="2141"/>
      <c r="U63" s="2141"/>
      <c r="V63" s="2141"/>
      <c r="W63" s="2141"/>
      <c r="X63" s="2141"/>
      <c r="Y63" s="2141"/>
      <c r="Z63" s="2141"/>
    </row>
    <row r="64" spans="1:26">
      <c r="A64" s="1004" t="s">
        <v>398</v>
      </c>
      <c r="B64" s="1021" t="s">
        <v>523</v>
      </c>
      <c r="C64" s="254">
        <v>6457.8819999999996</v>
      </c>
      <c r="D64" s="996" t="str">
        <f>IF(C58=0,"",IF(C64&lt;Drift!I56+Drift!J56+Drift!L56,"Kommentera",""))</f>
        <v/>
      </c>
      <c r="E64" s="237">
        <v>146.136</v>
      </c>
      <c r="F64" s="988"/>
      <c r="G64" s="253">
        <v>81.203999999999994</v>
      </c>
      <c r="H64" s="147" t="s">
        <v>587</v>
      </c>
      <c r="I64" s="1298"/>
      <c r="J64" s="1299"/>
      <c r="K64" s="1300"/>
      <c r="L64" s="1300"/>
      <c r="M64" s="2376">
        <f>(C64-E64)*1000000/J58</f>
        <v>16829.97626856518</v>
      </c>
      <c r="N64" s="2141"/>
      <c r="O64" s="2141"/>
      <c r="P64" s="2141"/>
      <c r="Q64" s="2382" t="s">
        <v>824</v>
      </c>
      <c r="R64" s="2141"/>
      <c r="S64" s="2141"/>
      <c r="T64" s="2141"/>
      <c r="U64" s="2141"/>
      <c r="V64" s="2141"/>
      <c r="W64" s="2141"/>
      <c r="X64" s="2141"/>
      <c r="Y64" s="2141"/>
      <c r="Z64" s="2141"/>
    </row>
    <row r="65" spans="1:26">
      <c r="A65" s="1004" t="s">
        <v>399</v>
      </c>
      <c r="B65" s="1029" t="s">
        <v>444</v>
      </c>
      <c r="C65" s="254">
        <v>6447.0389999999998</v>
      </c>
      <c r="D65" s="996"/>
      <c r="E65" s="237">
        <v>4211.0349999999999</v>
      </c>
      <c r="F65" s="988"/>
      <c r="G65" s="253">
        <v>2277.4430000000002</v>
      </c>
      <c r="H65" s="147" t="s">
        <v>588</v>
      </c>
      <c r="I65" s="2618"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1841"/>
      <c r="K65" s="1841"/>
      <c r="L65" s="2367"/>
      <c r="M65" s="2376">
        <f>(C65+C66-G65)*1000000/J58</f>
        <v>14769.890408767296</v>
      </c>
      <c r="N65" s="2141"/>
      <c r="O65" s="2141"/>
      <c r="P65" s="2141"/>
      <c r="Q65" s="2382" t="s">
        <v>825</v>
      </c>
      <c r="R65" s="2141"/>
      <c r="S65" s="2141"/>
      <c r="T65" s="2141"/>
      <c r="U65" s="2141"/>
      <c r="V65" s="2141"/>
      <c r="W65" s="2141"/>
      <c r="X65" s="2141"/>
      <c r="Y65" s="2141"/>
      <c r="Z65" s="2141"/>
    </row>
    <row r="66" spans="1:26">
      <c r="A66" s="1004" t="s">
        <v>400</v>
      </c>
      <c r="B66" s="1030" t="s">
        <v>454</v>
      </c>
      <c r="C66" s="254">
        <v>1369.556</v>
      </c>
      <c r="D66" s="2013" t="str">
        <f>IF(OR(C66 &gt; SUM(Drift!N56+Drift!O56+100), C66 &lt; SUM(Drift!N56+Drift!O56-100)),"Fördelad gemensam verksamhet skiljer sig mot Driftfliken.","")</f>
        <v/>
      </c>
      <c r="E66" s="996"/>
      <c r="F66" s="996"/>
      <c r="G66" s="998"/>
      <c r="H66" s="147"/>
      <c r="I66" s="2619"/>
      <c r="J66" s="1841"/>
      <c r="K66" s="1841"/>
      <c r="L66" s="2367"/>
      <c r="M66" s="2376">
        <f>(M58*J58/1000000+D58-F58-(Motpart!D20+Motpart!E20+Motpart!F20+Motpart!J20)*0.06)*1000000/J58+M62</f>
        <v>141893.31264165536</v>
      </c>
      <c r="N66" s="2141"/>
      <c r="O66" s="2141"/>
      <c r="P66" s="2141"/>
      <c r="Q66" s="2382" t="s">
        <v>826</v>
      </c>
      <c r="R66" s="2141"/>
      <c r="S66" s="2141"/>
      <c r="T66" s="2141"/>
      <c r="U66" s="2141"/>
      <c r="V66" s="2141"/>
      <c r="W66" s="2141"/>
      <c r="X66" s="2141"/>
      <c r="Y66" s="2141"/>
      <c r="Z66" s="2141"/>
    </row>
    <row r="67" spans="1:26">
      <c r="A67" s="1004" t="s">
        <v>555</v>
      </c>
      <c r="B67" s="1022" t="s">
        <v>126</v>
      </c>
      <c r="C67" s="1166">
        <f>(C58-SUM(C59:C66)-D58)*-1</f>
        <v>-1.4551915228366852E-11</v>
      </c>
      <c r="D67" s="984"/>
      <c r="E67" s="1167">
        <f>(E58-SUM(E59:E65)-F58-(Motpart!D20+Motpart!E20+Motpart!F20)*0.06)*-1</f>
        <v>1.9599999992578887E-3</v>
      </c>
      <c r="F67" s="984"/>
      <c r="G67" s="1168">
        <f>(G58-SUM(G59:G65))*-1</f>
        <v>0</v>
      </c>
      <c r="H67" s="147"/>
      <c r="I67" s="2619"/>
      <c r="J67" s="1841"/>
      <c r="K67" s="1841"/>
      <c r="L67" s="2367"/>
      <c r="M67" s="2376">
        <f>(Motpart!G20+Motpart!K20)*1000000/J58</f>
        <v>30234.253259739216</v>
      </c>
      <c r="N67" s="2141"/>
      <c r="O67" s="2141"/>
      <c r="P67" s="2141"/>
      <c r="Q67" s="2382" t="s">
        <v>1058</v>
      </c>
      <c r="R67" s="2141"/>
      <c r="S67" s="2141"/>
      <c r="T67" s="2141"/>
      <c r="U67" s="2141"/>
      <c r="V67" s="2141"/>
      <c r="W67" s="2141"/>
      <c r="X67" s="2141"/>
      <c r="Y67" s="2141"/>
      <c r="Z67" s="2141"/>
    </row>
    <row r="68" spans="1:26">
      <c r="A68" s="1023" t="s">
        <v>556</v>
      </c>
      <c r="B68" s="1022"/>
      <c r="C68" s="996"/>
      <c r="D68" s="985"/>
      <c r="E68" s="996"/>
      <c r="F68" s="996"/>
      <c r="G68" s="998"/>
      <c r="H68" s="145"/>
      <c r="I68" s="2619"/>
      <c r="J68" s="1841"/>
      <c r="K68" s="1841"/>
      <c r="L68" s="2367"/>
      <c r="M68" s="2376">
        <f>F58*1000000/J58</f>
        <v>22895.019065141452</v>
      </c>
      <c r="N68" s="2141"/>
      <c r="O68" s="2141"/>
      <c r="P68" s="2141"/>
      <c r="Q68" s="2382" t="s">
        <v>1057</v>
      </c>
      <c r="R68" s="2141"/>
      <c r="S68" s="2141"/>
      <c r="T68" s="2141"/>
      <c r="U68" s="2141"/>
      <c r="V68" s="2141"/>
      <c r="W68" s="2141"/>
      <c r="X68" s="2141"/>
      <c r="Y68" s="2141"/>
      <c r="Z68" s="2141"/>
    </row>
    <row r="69" spans="1:26">
      <c r="A69" s="1023" t="s">
        <v>557</v>
      </c>
      <c r="B69" s="1027"/>
      <c r="C69" s="996"/>
      <c r="D69" s="985"/>
      <c r="E69" s="996"/>
      <c r="F69" s="996"/>
      <c r="G69" s="998"/>
      <c r="H69" s="143"/>
      <c r="I69" s="2619"/>
      <c r="J69" s="1841"/>
      <c r="K69" s="1841"/>
      <c r="L69" s="2367"/>
      <c r="M69" s="2376">
        <f>Motpart!H20*1000000/J58</f>
        <v>1372.8288403594379</v>
      </c>
      <c r="N69" s="2141"/>
      <c r="O69" s="2141"/>
      <c r="P69" s="2141"/>
      <c r="Q69" s="2382" t="s">
        <v>1060</v>
      </c>
      <c r="R69" s="2141"/>
      <c r="S69" s="2141"/>
      <c r="T69" s="2141"/>
      <c r="U69" s="2141"/>
      <c r="V69" s="2141"/>
      <c r="W69" s="2141"/>
      <c r="X69" s="2141"/>
      <c r="Y69" s="2141"/>
      <c r="Z69" s="2141"/>
    </row>
    <row r="70" spans="1:26">
      <c r="A70" s="1023" t="s">
        <v>558</v>
      </c>
      <c r="B70" s="1022"/>
      <c r="C70" s="985"/>
      <c r="D70" s="985"/>
      <c r="E70" s="985"/>
      <c r="F70" s="985"/>
      <c r="G70" s="995"/>
      <c r="H70" s="1171"/>
      <c r="I70" s="1172"/>
      <c r="J70" s="1394"/>
      <c r="K70" s="1038"/>
      <c r="L70" s="1038"/>
      <c r="M70" s="2376">
        <f>((Motpart!D20+Motpart!E20+Motpart!F20+Motpart!J20)-(Motpart!D20+Motpart!E20+Motpart!F20+Motpart!J20)*0.06)*1000000/J58</f>
        <v>36604.346425619282</v>
      </c>
      <c r="N70" s="2141"/>
      <c r="O70" s="2141"/>
      <c r="P70" s="2141"/>
      <c r="Q70" s="2382" t="s">
        <v>827</v>
      </c>
      <c r="R70" s="2141"/>
      <c r="S70" s="2141"/>
      <c r="T70" s="2141"/>
      <c r="U70" s="2141"/>
      <c r="V70" s="2141"/>
      <c r="W70" s="2141"/>
      <c r="X70" s="2141"/>
      <c r="Y70" s="2141"/>
      <c r="Z70" s="2141"/>
    </row>
    <row r="71" spans="1:26" ht="13.5" thickBot="1">
      <c r="A71" s="1031"/>
      <c r="B71" s="1032"/>
      <c r="C71" s="1706" t="str">
        <f>IF(ABS(C67)&lt;100,"",IF(C58=0,"C58",IF(ABS(C67/C58)&gt;0.01,"C67")))</f>
        <v/>
      </c>
      <c r="D71" s="1707"/>
      <c r="E71" s="1707" t="str">
        <f>IF(ABS(E67)&lt;100,"",IF(E58=0,"E58",IF(ABS(E67/E58)&gt;0.01,"E67")))</f>
        <v/>
      </c>
      <c r="F71" s="1709"/>
      <c r="G71" s="1708" t="str">
        <f>IF(ABS(G67)&lt;100,"",IF(G58=0,"G58",IF(ABS(G67/G58)&gt;0.01,"G67")))</f>
        <v/>
      </c>
      <c r="H71" s="146"/>
      <c r="I71" s="1037"/>
      <c r="J71" s="1395"/>
      <c r="K71" s="1035"/>
      <c r="L71" s="1035"/>
      <c r="M71" s="2377"/>
      <c r="N71" s="2141"/>
      <c r="O71" s="2141"/>
      <c r="P71" s="2141"/>
      <c r="Q71" s="2385" t="s">
        <v>495</v>
      </c>
      <c r="R71" s="2141"/>
      <c r="S71" s="2141"/>
      <c r="T71" s="2141"/>
      <c r="U71" s="2141"/>
      <c r="V71" s="2141"/>
      <c r="W71" s="2141"/>
      <c r="X71" s="2141"/>
      <c r="Y71" s="2141"/>
      <c r="Z71" s="2141"/>
    </row>
    <row r="72" spans="1:26">
      <c r="A72" s="1009" t="s">
        <v>401</v>
      </c>
      <c r="B72" s="2396" t="s">
        <v>1179</v>
      </c>
      <c r="C72" s="77">
        <f>Drift!P57</f>
        <v>5249.62</v>
      </c>
      <c r="D72" s="78">
        <f>SUM(Motpart!D21:L21)</f>
        <v>1374.944</v>
      </c>
      <c r="E72" s="78">
        <f>Drift!W57</f>
        <v>1336.826</v>
      </c>
      <c r="F72" s="78">
        <f>Motpart!Y21</f>
        <v>840.61500000000001</v>
      </c>
      <c r="G72" s="124">
        <f>Drift!V57</f>
        <v>363.17700000000002</v>
      </c>
      <c r="H72" s="143"/>
      <c r="I72" s="1312" t="s">
        <v>811</v>
      </c>
      <c r="J72" s="1393">
        <v>375030</v>
      </c>
      <c r="K72" s="1303"/>
      <c r="L72" s="1301"/>
      <c r="M72" s="2378">
        <f>SUM(M73:M75,M77:M79)</f>
        <v>8270.4503639708819</v>
      </c>
      <c r="N72" s="2141"/>
      <c r="O72" s="2141"/>
      <c r="P72" s="2141"/>
      <c r="Q72" s="2382" t="s">
        <v>818</v>
      </c>
      <c r="R72" s="2141"/>
      <c r="S72" s="2141"/>
      <c r="T72" s="2141"/>
      <c r="U72" s="2141"/>
      <c r="V72" s="2141"/>
      <c r="W72" s="2141"/>
      <c r="X72" s="2141"/>
      <c r="Y72" s="2141"/>
      <c r="Z72" s="2141"/>
    </row>
    <row r="73" spans="1:26">
      <c r="A73" s="1004" t="s">
        <v>402</v>
      </c>
      <c r="B73" s="1019" t="s">
        <v>493</v>
      </c>
      <c r="C73" s="254">
        <v>1766.653</v>
      </c>
      <c r="D73" s="996"/>
      <c r="E73" s="237">
        <v>190.43199999999999</v>
      </c>
      <c r="F73" s="988"/>
      <c r="G73" s="253">
        <v>188.221</v>
      </c>
      <c r="H73" s="160" t="s">
        <v>589</v>
      </c>
      <c r="I73" s="764"/>
      <c r="J73" s="1299"/>
      <c r="K73" s="1300"/>
      <c r="L73" s="1300"/>
      <c r="M73" s="2376">
        <f>(C73-E73)*1000000/J72</f>
        <v>4202.9197664186868</v>
      </c>
      <c r="N73" s="2141"/>
      <c r="O73" s="2141"/>
      <c r="P73" s="2141"/>
      <c r="Q73" s="2382" t="s">
        <v>819</v>
      </c>
      <c r="R73" s="2141"/>
      <c r="S73" s="2141"/>
      <c r="T73" s="2141"/>
      <c r="U73" s="2141"/>
      <c r="V73" s="2141"/>
      <c r="W73" s="2141"/>
      <c r="X73" s="2141"/>
      <c r="Y73" s="2141"/>
      <c r="Z73" s="2141"/>
    </row>
    <row r="74" spans="1:26">
      <c r="A74" s="1004" t="s">
        <v>403</v>
      </c>
      <c r="B74" s="1019" t="s">
        <v>800</v>
      </c>
      <c r="C74" s="254">
        <v>115.10299999999999</v>
      </c>
      <c r="D74" s="996"/>
      <c r="E74" s="237">
        <v>5.0469999999999997</v>
      </c>
      <c r="F74" s="988"/>
      <c r="G74" s="253">
        <v>1.5680000000000001</v>
      </c>
      <c r="H74" s="159" t="s">
        <v>590</v>
      </c>
      <c r="I74" s="764"/>
      <c r="J74" s="1299"/>
      <c r="K74" s="1038"/>
      <c r="L74" s="1038"/>
      <c r="M74" s="2376">
        <f>(C74-E74)*1000000/J72</f>
        <v>293.45918993147217</v>
      </c>
      <c r="N74" s="2141"/>
      <c r="O74" s="2141"/>
      <c r="P74" s="2141"/>
      <c r="Q74" s="2382" t="s">
        <v>820</v>
      </c>
      <c r="R74" s="2141"/>
      <c r="S74" s="2141"/>
      <c r="T74" s="2141"/>
      <c r="U74" s="2141"/>
      <c r="V74" s="2141"/>
      <c r="W74" s="2141"/>
      <c r="X74" s="2141"/>
      <c r="Y74" s="2141"/>
      <c r="Z74" s="2141"/>
    </row>
    <row r="75" spans="1:26">
      <c r="A75" s="1004" t="s">
        <v>404</v>
      </c>
      <c r="B75" s="1019" t="s">
        <v>509</v>
      </c>
      <c r="C75" s="254">
        <v>57.676000000000002</v>
      </c>
      <c r="D75" s="996"/>
      <c r="E75" s="237">
        <v>5.2220000000000004</v>
      </c>
      <c r="F75" s="988"/>
      <c r="G75" s="253">
        <v>2.9870000000000001</v>
      </c>
      <c r="H75" s="1311"/>
      <c r="I75" s="764"/>
      <c r="J75" s="1122"/>
      <c r="K75" s="1034"/>
      <c r="L75" s="1034"/>
      <c r="M75" s="2376">
        <f>(C75-E75)*1000000/J72</f>
        <v>139.86614404180997</v>
      </c>
      <c r="N75" s="2141"/>
      <c r="O75" s="2141"/>
      <c r="P75" s="2141"/>
      <c r="Q75" s="2382" t="s">
        <v>821</v>
      </c>
      <c r="R75" s="2141"/>
      <c r="S75" s="2141"/>
      <c r="T75" s="2141"/>
      <c r="U75" s="2141"/>
      <c r="V75" s="2141"/>
      <c r="W75" s="2141"/>
      <c r="X75" s="2141"/>
      <c r="Y75" s="2141"/>
      <c r="Z75" s="2141"/>
    </row>
    <row r="76" spans="1:26">
      <c r="A76" s="1004" t="s">
        <v>405</v>
      </c>
      <c r="B76" s="1019" t="s">
        <v>491</v>
      </c>
      <c r="C76" s="254">
        <v>402.25599999999997</v>
      </c>
      <c r="D76" s="996" t="str">
        <f>IF(C72=0,"",IF(OR(C76=0,C76=""),"Kommentera",""))</f>
        <v/>
      </c>
      <c r="E76" s="237">
        <v>3.1110000000000002</v>
      </c>
      <c r="F76" s="988"/>
      <c r="G76" s="253">
        <v>1.7370000000000001</v>
      </c>
      <c r="H76" s="1311" t="s">
        <v>591</v>
      </c>
      <c r="I76" s="764"/>
      <c r="J76" s="1299"/>
      <c r="K76" s="1300"/>
      <c r="L76" s="1300"/>
      <c r="M76" s="2376">
        <f>(C76-E76)*1000000/J72</f>
        <v>1064.301522544863</v>
      </c>
      <c r="N76" s="2141"/>
      <c r="O76" s="2141"/>
      <c r="P76" s="2141"/>
      <c r="Q76" s="2382" t="s">
        <v>822</v>
      </c>
      <c r="R76" s="2141"/>
      <c r="S76" s="2141"/>
      <c r="T76" s="2141"/>
      <c r="U76" s="2141"/>
      <c r="V76" s="2141"/>
      <c r="W76" s="2141"/>
      <c r="X76" s="2141"/>
      <c r="Y76" s="2141"/>
      <c r="Z76" s="2141"/>
    </row>
    <row r="77" spans="1:26">
      <c r="A77" s="1004" t="s">
        <v>406</v>
      </c>
      <c r="B77" s="1020" t="s">
        <v>723</v>
      </c>
      <c r="C77" s="254">
        <v>72.924999999999997</v>
      </c>
      <c r="D77" s="996"/>
      <c r="E77" s="237">
        <v>3.4169999999999998</v>
      </c>
      <c r="F77" s="988"/>
      <c r="G77" s="253">
        <v>2.681</v>
      </c>
      <c r="H77" s="1311" t="s">
        <v>592</v>
      </c>
      <c r="I77" s="764"/>
      <c r="J77" s="1299"/>
      <c r="K77" s="1300"/>
      <c r="L77" s="1300"/>
      <c r="M77" s="2376">
        <f>(C77-E77)*1000000/J72</f>
        <v>185.3398394795083</v>
      </c>
      <c r="N77" s="2141"/>
      <c r="O77" s="2141"/>
      <c r="P77" s="2141"/>
      <c r="Q77" s="2382" t="s">
        <v>823</v>
      </c>
      <c r="R77" s="2141"/>
      <c r="S77" s="2141"/>
      <c r="T77" s="2141"/>
      <c r="U77" s="2141"/>
      <c r="V77" s="2141"/>
      <c r="W77" s="2141"/>
      <c r="X77" s="2141"/>
      <c r="Y77" s="2141"/>
      <c r="Z77" s="2141"/>
    </row>
    <row r="78" spans="1:26">
      <c r="A78" s="1004" t="s">
        <v>407</v>
      </c>
      <c r="B78" s="1021" t="s">
        <v>523</v>
      </c>
      <c r="C78" s="254">
        <v>385.32900000000001</v>
      </c>
      <c r="D78" s="996" t="str">
        <f>IF(C72=0,"",IF(C78&lt;Drift!I57+Drift!J57+Drift!L57,"Kommentera",""))</f>
        <v/>
      </c>
      <c r="E78" s="237">
        <v>5.4260000000000002</v>
      </c>
      <c r="F78" s="988"/>
      <c r="G78" s="253">
        <v>4.7709999999999999</v>
      </c>
      <c r="H78" s="1311" t="s">
        <v>593</v>
      </c>
      <c r="I78" s="764"/>
      <c r="J78" s="1299"/>
      <c r="K78" s="1300"/>
      <c r="L78" s="1300"/>
      <c r="M78" s="2376">
        <f>(C78-E78)*1000000/J72</f>
        <v>1012.9936271764925</v>
      </c>
      <c r="N78" s="2141"/>
      <c r="O78" s="2141"/>
      <c r="P78" s="2141"/>
      <c r="Q78" s="2382" t="s">
        <v>824</v>
      </c>
      <c r="R78" s="2141"/>
      <c r="S78" s="2141"/>
      <c r="T78" s="2141"/>
      <c r="U78" s="2141"/>
      <c r="V78" s="2141"/>
      <c r="W78" s="2141"/>
      <c r="X78" s="2141"/>
      <c r="Y78" s="2141"/>
      <c r="Z78" s="2141"/>
    </row>
    <row r="79" spans="1:26">
      <c r="A79" s="1004" t="s">
        <v>408</v>
      </c>
      <c r="B79" s="1019" t="s">
        <v>444</v>
      </c>
      <c r="C79" s="254">
        <v>945.84799999999996</v>
      </c>
      <c r="D79" s="996"/>
      <c r="E79" s="237">
        <v>264.334</v>
      </c>
      <c r="F79" s="988"/>
      <c r="G79" s="253">
        <v>161.21100000000001</v>
      </c>
      <c r="H79" s="160" t="s">
        <v>594</v>
      </c>
      <c r="I79" s="2613"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1840"/>
      <c r="K79" s="1840"/>
      <c r="L79" s="2366"/>
      <c r="M79" s="2371">
        <f>(C79+C80-G79)*1000000/J72</f>
        <v>2435.8717969229124</v>
      </c>
      <c r="N79" s="2141"/>
      <c r="O79" s="2141"/>
      <c r="P79" s="2141"/>
      <c r="Q79" s="2382" t="s">
        <v>825</v>
      </c>
      <c r="R79" s="2141"/>
      <c r="S79" s="2141"/>
      <c r="T79" s="2141"/>
      <c r="U79" s="2141"/>
      <c r="V79" s="2141"/>
      <c r="W79" s="2141"/>
      <c r="X79" s="2141"/>
      <c r="Y79" s="2141"/>
      <c r="Z79" s="2141"/>
    </row>
    <row r="80" spans="1:26">
      <c r="A80" s="1004" t="s">
        <v>409</v>
      </c>
      <c r="B80" s="1033" t="s">
        <v>454</v>
      </c>
      <c r="C80" s="254">
        <v>128.88800000000001</v>
      </c>
      <c r="D80" s="2013" t="str">
        <f>IF(OR(C80 &gt; SUM(Drift!N57+Drift!O57+100), C80 &lt; SUM(Drift!N57+Drift!O57-100)),"Fördelad gemensam verksamhet skiljer sig mot Driftfliken.","")</f>
        <v/>
      </c>
      <c r="E80" s="996"/>
      <c r="F80" s="996"/>
      <c r="G80" s="998"/>
      <c r="H80" s="159"/>
      <c r="I80" s="2620"/>
      <c r="J80" s="1840"/>
      <c r="K80" s="1840"/>
      <c r="L80" s="2366"/>
      <c r="M80" s="2371">
        <f>((M72*J72/1000000+D72-F72-(Motpart!D21+Motpart!E21+Motpart!F21+Motpart!J21)*0.06))/J72*1000000+M76</f>
        <v>10708.269098472123</v>
      </c>
      <c r="N80" s="2141"/>
      <c r="O80" s="2141"/>
      <c r="P80" s="2141"/>
      <c r="Q80" s="2382" t="s">
        <v>826</v>
      </c>
      <c r="R80" s="2141"/>
      <c r="S80" s="2141"/>
      <c r="T80" s="2141"/>
      <c r="U80" s="2141"/>
      <c r="V80" s="2141"/>
      <c r="W80" s="2141"/>
      <c r="X80" s="2141"/>
      <c r="Y80" s="2141"/>
      <c r="Z80" s="2141"/>
    </row>
    <row r="81" spans="1:26">
      <c r="A81" s="1023" t="s">
        <v>559</v>
      </c>
      <c r="B81" s="1022" t="s">
        <v>126</v>
      </c>
      <c r="C81" s="1166">
        <f>(C72-SUM(C73:C80)-D72)*-1</f>
        <v>2.0000000004074536E-3</v>
      </c>
      <c r="D81" s="984"/>
      <c r="E81" s="1167">
        <f>(E72-SUM(E73:E79)-F72-(Motpart!D21+Motpart!E21+Motpart!F21)*0.06)*-1</f>
        <v>-3.1599999999798456E-3</v>
      </c>
      <c r="F81" s="984"/>
      <c r="G81" s="1168">
        <f>(G72-SUM(G73:G79))*-1</f>
        <v>-9.9999999997635314E-4</v>
      </c>
      <c r="H81" s="145"/>
      <c r="I81" s="2620"/>
      <c r="J81" s="1840"/>
      <c r="K81" s="1840"/>
      <c r="L81" s="2366"/>
      <c r="M81" s="2376">
        <f>(Motpart!G21+Motpart!K21)*1000000/J72</f>
        <v>2655.3422392875236</v>
      </c>
      <c r="N81" s="2141"/>
      <c r="O81" s="2141"/>
      <c r="P81" s="2141"/>
      <c r="Q81" s="2382" t="s">
        <v>1058</v>
      </c>
      <c r="R81" s="2141"/>
      <c r="S81" s="2141"/>
      <c r="T81" s="2141"/>
      <c r="U81" s="2141"/>
      <c r="V81" s="2141"/>
      <c r="W81" s="2141"/>
      <c r="X81" s="2141"/>
      <c r="Y81" s="2141"/>
      <c r="Z81" s="2141"/>
    </row>
    <row r="82" spans="1:26">
      <c r="A82" s="1023" t="s">
        <v>560</v>
      </c>
      <c r="B82" s="1022"/>
      <c r="C82" s="996"/>
      <c r="D82" s="985"/>
      <c r="E82" s="996"/>
      <c r="F82" s="996"/>
      <c r="G82" s="998"/>
      <c r="H82" s="143"/>
      <c r="I82" s="2620"/>
      <c r="J82" s="1840"/>
      <c r="K82" s="1840"/>
      <c r="L82" s="2366"/>
      <c r="M82" s="2376">
        <f>F72*1000000/J72</f>
        <v>2241.4606831453484</v>
      </c>
      <c r="N82" s="2141"/>
      <c r="O82" s="2141"/>
      <c r="P82" s="2141"/>
      <c r="Q82" s="2382" t="s">
        <v>1057</v>
      </c>
      <c r="R82" s="2141"/>
      <c r="S82" s="2141"/>
      <c r="T82" s="2141"/>
      <c r="U82" s="2141"/>
      <c r="V82" s="2141"/>
      <c r="W82" s="2141"/>
      <c r="X82" s="2141"/>
      <c r="Y82" s="2141"/>
      <c r="Z82" s="2141"/>
    </row>
    <row r="83" spans="1:26">
      <c r="A83" s="1023" t="s">
        <v>561</v>
      </c>
      <c r="B83" s="1027"/>
      <c r="C83" s="996"/>
      <c r="D83" s="985"/>
      <c r="E83" s="996"/>
      <c r="F83" s="996"/>
      <c r="G83" s="998"/>
      <c r="H83" s="147"/>
      <c r="I83" s="2620"/>
      <c r="J83" s="1840"/>
      <c r="K83" s="1840"/>
      <c r="L83" s="2366"/>
      <c r="M83" s="2371">
        <f>Motpart!H21*1000000/J72</f>
        <v>147.49220062395008</v>
      </c>
      <c r="N83" s="2141"/>
      <c r="O83" s="2141"/>
      <c r="P83" s="2141"/>
      <c r="Q83" s="2382" t="s">
        <v>1060</v>
      </c>
      <c r="R83" s="2141"/>
      <c r="S83" s="2141"/>
      <c r="T83" s="2141"/>
      <c r="U83" s="2141"/>
      <c r="V83" s="2141"/>
      <c r="W83" s="2141"/>
      <c r="X83" s="2141"/>
      <c r="Y83" s="2141"/>
      <c r="Z83" s="2141"/>
    </row>
    <row r="84" spans="1:26">
      <c r="A84" s="1004" t="s">
        <v>562</v>
      </c>
      <c r="B84" s="1022"/>
      <c r="C84" s="985"/>
      <c r="D84" s="985"/>
      <c r="E84" s="985"/>
      <c r="F84" s="985"/>
      <c r="G84" s="995"/>
      <c r="H84" s="1171"/>
      <c r="I84" s="1172"/>
      <c r="J84" s="1394"/>
      <c r="K84" s="1038"/>
      <c r="L84" s="1038"/>
      <c r="M84" s="2371">
        <f>((Motpart!D21+Motpart!E21+Motpart!F21+Motpart!J21)-(Motpart!D21+Motpart!E21+Motpart!F21+Motpart!J21)*0.06)*1000000/J72</f>
        <v>802.85619817081295</v>
      </c>
      <c r="N84" s="2141"/>
      <c r="O84" s="2141"/>
      <c r="P84" s="2141"/>
      <c r="Q84" s="2382" t="s">
        <v>828</v>
      </c>
      <c r="R84" s="2141"/>
      <c r="S84" s="2141"/>
      <c r="T84" s="2141"/>
      <c r="U84" s="2141"/>
      <c r="V84" s="2141"/>
      <c r="W84" s="2141"/>
      <c r="X84" s="2141"/>
      <c r="Y84" s="2141"/>
      <c r="Z84" s="2141"/>
    </row>
    <row r="85" spans="1:26" ht="13.5" thickBot="1">
      <c r="A85" s="1025"/>
      <c r="B85" s="1032"/>
      <c r="C85" s="1706" t="str">
        <f>IF(ABS(C81)&lt;100,"",IF(C72=0,"C72",IF(ABS(C81/C72)&gt;0.01,"C81")))</f>
        <v/>
      </c>
      <c r="D85" s="1707"/>
      <c r="E85" s="1707" t="str">
        <f>IF(ABS(E81)&lt;100,"",IF(E72=0,"E72",IF(ABS(E81/E72)&gt;0.01,"E81")))</f>
        <v/>
      </c>
      <c r="F85" s="1707"/>
      <c r="G85" s="1708" t="str">
        <f>IF(ABS(G81)&lt;100,"",IF(G72=0,"G72",IF(ABS(G81/G72)&gt;0.01,"G81")))</f>
        <v/>
      </c>
      <c r="H85" s="146"/>
      <c r="I85" s="1037"/>
      <c r="J85" s="1395"/>
      <c r="K85" s="1035"/>
      <c r="L85" s="1038"/>
      <c r="M85" s="2372"/>
      <c r="N85" s="2141"/>
      <c r="O85" s="2141"/>
      <c r="P85" s="2141"/>
      <c r="Q85" s="2385" t="s">
        <v>1183</v>
      </c>
      <c r="R85" s="2141"/>
      <c r="S85" s="2141"/>
      <c r="T85" s="2141"/>
      <c r="U85" s="2141"/>
      <c r="V85" s="2141"/>
      <c r="W85" s="2141"/>
      <c r="X85" s="2141"/>
      <c r="Y85" s="2141"/>
      <c r="Z85" s="2141"/>
    </row>
    <row r="86" spans="1:26" ht="12.75" customHeight="1">
      <c r="A86" s="1009" t="s">
        <v>410</v>
      </c>
      <c r="B86" s="1018" t="s">
        <v>531</v>
      </c>
      <c r="C86" s="158">
        <f>Drift!P60</f>
        <v>1758.451</v>
      </c>
      <c r="D86" s="78">
        <f>SUM(Motpart!D22:L22)</f>
        <v>401.77700000000004</v>
      </c>
      <c r="E86" s="157">
        <f>Drift!W60</f>
        <v>263.49399999999997</v>
      </c>
      <c r="F86" s="78">
        <f>Motpart!Y22</f>
        <v>68.260000000000005</v>
      </c>
      <c r="G86" s="125">
        <f>Drift!V60</f>
        <v>91.733999999999995</v>
      </c>
      <c r="H86" s="148"/>
      <c r="I86" s="1040" t="s">
        <v>524</v>
      </c>
      <c r="J86" s="1393">
        <v>6100889</v>
      </c>
      <c r="K86" s="1041"/>
      <c r="L86" s="1041"/>
      <c r="M86" s="2378">
        <f>SUM(M87:M91)</f>
        <v>206.73593635288233</v>
      </c>
      <c r="N86" s="2141"/>
      <c r="O86" s="2141"/>
      <c r="P86" s="2141"/>
      <c r="Q86" s="2382" t="s">
        <v>829</v>
      </c>
      <c r="R86" s="2141"/>
      <c r="S86" s="2141"/>
      <c r="T86" s="2141"/>
      <c r="U86" s="2141"/>
      <c r="V86" s="2141"/>
      <c r="W86" s="2141"/>
      <c r="X86" s="2141"/>
      <c r="Y86" s="2141"/>
      <c r="Z86" s="2141"/>
    </row>
    <row r="87" spans="1:26" ht="12.75" customHeight="1">
      <c r="A87" s="1004" t="s">
        <v>411</v>
      </c>
      <c r="B87" s="1019" t="s">
        <v>493</v>
      </c>
      <c r="C87" s="254">
        <v>691.75400000000002</v>
      </c>
      <c r="D87" s="996"/>
      <c r="E87" s="237">
        <v>11.396000000000001</v>
      </c>
      <c r="F87" s="988"/>
      <c r="G87" s="253">
        <v>8.5</v>
      </c>
      <c r="H87" s="147"/>
      <c r="I87" s="1042"/>
      <c r="J87" s="1396"/>
      <c r="K87" s="1038"/>
      <c r="L87" s="1038"/>
      <c r="M87" s="2376">
        <f>(C87-E87)*1000000/J86</f>
        <v>111.51784600572148</v>
      </c>
      <c r="N87" s="2141"/>
      <c r="O87" s="2141"/>
      <c r="P87" s="2141"/>
      <c r="Q87" s="2382" t="s">
        <v>830</v>
      </c>
      <c r="R87" s="2141"/>
      <c r="S87" s="2141"/>
      <c r="T87" s="2141"/>
      <c r="U87" s="2141"/>
      <c r="V87" s="2141"/>
      <c r="W87" s="2141"/>
      <c r="X87" s="2141"/>
      <c r="Y87" s="2141"/>
      <c r="Z87" s="2141"/>
    </row>
    <row r="88" spans="1:26" ht="12.75" customHeight="1">
      <c r="A88" s="1004" t="s">
        <v>412</v>
      </c>
      <c r="B88" s="1019" t="s">
        <v>800</v>
      </c>
      <c r="C88" s="254">
        <v>34.96</v>
      </c>
      <c r="D88" s="996"/>
      <c r="E88" s="237">
        <v>0.78300000000000003</v>
      </c>
      <c r="F88" s="988"/>
      <c r="G88" s="253">
        <v>0.437</v>
      </c>
      <c r="H88" s="147"/>
      <c r="I88" s="1042"/>
      <c r="J88" s="1396"/>
      <c r="K88" s="1038"/>
      <c r="L88" s="1038"/>
      <c r="M88" s="2376">
        <f>(C88-E88)*1000000/J86</f>
        <v>5.6019704669270327</v>
      </c>
      <c r="N88" s="2141"/>
      <c r="O88" s="2141"/>
      <c r="P88" s="2141"/>
      <c r="Q88" s="2382" t="s">
        <v>831</v>
      </c>
      <c r="R88" s="2141"/>
      <c r="S88" s="2141"/>
      <c r="T88" s="2141"/>
      <c r="U88" s="2141"/>
      <c r="V88" s="2141"/>
      <c r="W88" s="2141"/>
      <c r="X88" s="2141"/>
      <c r="Y88" s="2141"/>
      <c r="Z88" s="2141"/>
    </row>
    <row r="89" spans="1:26" ht="15.75" customHeight="1">
      <c r="A89" s="1004" t="s">
        <v>413</v>
      </c>
      <c r="B89" s="1029" t="s">
        <v>723</v>
      </c>
      <c r="C89" s="254">
        <v>4.4939999999999998</v>
      </c>
      <c r="D89" s="996"/>
      <c r="E89" s="237">
        <v>8.0000000000000002E-3</v>
      </c>
      <c r="F89" s="988"/>
      <c r="G89" s="253">
        <v>0</v>
      </c>
      <c r="H89" s="147"/>
      <c r="I89" s="1043"/>
      <c r="J89" s="1397"/>
      <c r="K89" s="1044"/>
      <c r="L89" s="1044"/>
      <c r="M89" s="2376">
        <f>(C89-E89)*1000000/J86</f>
        <v>0.73530267474133693</v>
      </c>
      <c r="N89" s="2141"/>
      <c r="O89" s="2141"/>
      <c r="P89" s="2141"/>
      <c r="Q89" s="2382" t="s">
        <v>832</v>
      </c>
      <c r="R89" s="2141"/>
      <c r="S89" s="2141"/>
      <c r="T89" s="2141"/>
      <c r="U89" s="2141"/>
      <c r="V89" s="2141"/>
      <c r="W89" s="2141"/>
      <c r="X89" s="2141"/>
      <c r="Y89" s="2141"/>
      <c r="Z89" s="2141"/>
    </row>
    <row r="90" spans="1:26" ht="12.75" customHeight="1">
      <c r="A90" s="1004" t="s">
        <v>414</v>
      </c>
      <c r="B90" s="1021" t="s">
        <v>523</v>
      </c>
      <c r="C90" s="254">
        <v>195.75899999999999</v>
      </c>
      <c r="D90" s="996" t="str">
        <f>IF(C86=0,"",IF(C90&lt;Drift!I60+Drift!J60+Drift!L60,"Kommentera",""))</f>
        <v/>
      </c>
      <c r="E90" s="237">
        <v>2.1869999999999998</v>
      </c>
      <c r="F90" s="988"/>
      <c r="G90" s="253">
        <v>1.7709999999999999</v>
      </c>
      <c r="H90" s="147"/>
      <c r="I90" s="2621"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1834"/>
      <c r="K90" s="1834"/>
      <c r="L90" s="2357"/>
      <c r="M90" s="2376">
        <f>(C90-E90)*1000000/J86</f>
        <v>31.728490716680792</v>
      </c>
      <c r="N90" s="2141"/>
      <c r="O90" s="2141"/>
      <c r="P90" s="2141"/>
      <c r="Q90" s="2382" t="s">
        <v>833</v>
      </c>
      <c r="R90" s="2141"/>
      <c r="S90" s="2141"/>
      <c r="T90" s="2141"/>
      <c r="U90" s="2141"/>
      <c r="V90" s="2141"/>
      <c r="W90" s="2141"/>
      <c r="X90" s="2141"/>
      <c r="Y90" s="2141"/>
      <c r="Z90" s="2141"/>
    </row>
    <row r="91" spans="1:26" ht="12.75" customHeight="1">
      <c r="A91" s="1004" t="s">
        <v>415</v>
      </c>
      <c r="B91" s="1019" t="s">
        <v>444</v>
      </c>
      <c r="C91" s="254">
        <v>378.11500000000001</v>
      </c>
      <c r="D91" s="996"/>
      <c r="E91" s="237">
        <v>164.37700000000001</v>
      </c>
      <c r="F91" s="988"/>
      <c r="G91" s="253">
        <v>81.027000000000001</v>
      </c>
      <c r="H91" s="147"/>
      <c r="I91" s="2620"/>
      <c r="J91" s="1834"/>
      <c r="K91" s="1834"/>
      <c r="L91" s="2357"/>
      <c r="M91" s="2376">
        <f>(C91+C92-G91)*1000000/J86</f>
        <v>57.15232648881171</v>
      </c>
      <c r="N91" s="2141"/>
      <c r="O91" s="2141"/>
      <c r="P91" s="2141"/>
      <c r="Q91" s="2382" t="s">
        <v>834</v>
      </c>
      <c r="R91" s="2141"/>
      <c r="S91" s="2141"/>
      <c r="T91" s="2141"/>
      <c r="U91" s="2141"/>
      <c r="V91" s="2141"/>
      <c r="W91" s="2141"/>
      <c r="X91" s="2141"/>
      <c r="Y91" s="2141"/>
      <c r="Z91" s="2141"/>
    </row>
    <row r="92" spans="1:26" ht="12.75" customHeight="1">
      <c r="A92" s="1004" t="s">
        <v>416</v>
      </c>
      <c r="B92" s="1033" t="s">
        <v>492</v>
      </c>
      <c r="C92" s="254">
        <v>51.591999999999999</v>
      </c>
      <c r="D92" s="2013" t="str">
        <f>IF(OR(C92 &gt; SUM(Drift!N60+Drift!O60+100), C92 &lt; SUM(Drift!N60+Drift!O60-100)),"Fördelad gemensam verksamhet skiljer sig mot Driftfliken.","")</f>
        <v/>
      </c>
      <c r="E92" s="996"/>
      <c r="F92" s="996"/>
      <c r="G92" s="998"/>
      <c r="H92" s="147"/>
      <c r="I92" s="2620"/>
      <c r="J92" s="1834"/>
      <c r="K92" s="1834"/>
      <c r="L92" s="2357"/>
      <c r="M92" s="2379"/>
      <c r="N92" s="2141"/>
      <c r="O92" s="2141"/>
      <c r="P92" s="2141"/>
      <c r="Q92" s="2386"/>
      <c r="R92" s="2141"/>
      <c r="S92" s="2141"/>
      <c r="T92" s="2141"/>
      <c r="U92" s="2141"/>
      <c r="V92" s="2141"/>
      <c r="W92" s="2141"/>
      <c r="X92" s="2141"/>
      <c r="Y92" s="2141"/>
      <c r="Z92" s="2141"/>
    </row>
    <row r="93" spans="1:26" ht="12.75" customHeight="1">
      <c r="A93" s="1004"/>
      <c r="B93" s="1033" t="s">
        <v>126</v>
      </c>
      <c r="C93" s="1166">
        <f>(C86-SUM(C87:C92)-D86)*-1</f>
        <v>2.2737367544323206E-13</v>
      </c>
      <c r="D93" s="1000"/>
      <c r="E93" s="1167">
        <f>(E86-SUM(E87:E91)-F86-(Motpart!D22+Motpart!E22+Motpart!F22)*0.06)*-1</f>
        <v>1.040000000035235E-3</v>
      </c>
      <c r="F93" s="1000"/>
      <c r="G93" s="1168">
        <f>(G86-SUM(G87:G91))*-1</f>
        <v>1.0000000000047748E-3</v>
      </c>
      <c r="H93" s="145"/>
      <c r="I93" s="2620"/>
      <c r="J93" s="1834"/>
      <c r="K93" s="1834"/>
      <c r="L93" s="2357"/>
      <c r="M93" s="2379"/>
      <c r="N93" s="2141"/>
      <c r="O93" s="2141"/>
      <c r="P93" s="2141"/>
      <c r="Q93" s="2382" t="s">
        <v>496</v>
      </c>
      <c r="R93" s="2141"/>
      <c r="S93" s="2141"/>
      <c r="T93" s="2141"/>
      <c r="U93" s="2141"/>
      <c r="V93" s="2141"/>
      <c r="W93" s="2141"/>
      <c r="X93" s="2141"/>
      <c r="Y93" s="2141"/>
      <c r="Z93" s="2141"/>
    </row>
    <row r="94" spans="1:26" ht="16.5" customHeight="1" thickBot="1">
      <c r="A94" s="1025"/>
      <c r="B94" s="1026"/>
      <c r="C94" s="1706" t="str">
        <f>IF(ABS(C93)&lt;100,"",IF(C86=0,"C86",IF(ABS(C93/C86)&gt;0.01,"C93")))</f>
        <v/>
      </c>
      <c r="D94" s="1707"/>
      <c r="E94" s="1707" t="str">
        <f>IF(ABS(E93)&lt;100,"",IF(E86=0,"E86",IF(ABS(E93/E86)&gt;0.01,"E93")))</f>
        <v/>
      </c>
      <c r="F94" s="1707"/>
      <c r="G94" s="1708" t="str">
        <f>IF(ABS(G93)&lt;100,"",IF(G86=0,"G86",IF(ABS(G93/G86)&gt;0.01,"G93")))</f>
        <v/>
      </c>
      <c r="H94" s="161"/>
      <c r="I94" s="2622"/>
      <c r="J94" s="1842"/>
      <c r="K94" s="1842"/>
      <c r="L94" s="1842"/>
      <c r="M94" s="2380"/>
      <c r="N94" s="2141"/>
      <c r="O94" s="2141"/>
      <c r="P94" s="2141"/>
      <c r="Q94" s="2385"/>
      <c r="R94" s="2141"/>
      <c r="S94" s="2141"/>
      <c r="T94" s="2141"/>
      <c r="U94" s="2141"/>
      <c r="V94" s="2141"/>
      <c r="W94" s="2141"/>
      <c r="X94" s="2141"/>
      <c r="Y94" s="2141"/>
      <c r="Z94" s="2141"/>
    </row>
    <row r="95" spans="1:26" ht="12.75" customHeight="1">
      <c r="A95" s="1009" t="s">
        <v>417</v>
      </c>
      <c r="B95" s="1018" t="s">
        <v>532</v>
      </c>
      <c r="C95" s="77">
        <f>Drift!P61</f>
        <v>6586.9520000000002</v>
      </c>
      <c r="D95" s="1001">
        <f>SUM(Motpart!D23:L23)</f>
        <v>2241.3849999999998</v>
      </c>
      <c r="E95" s="157">
        <f>Drift!W61</f>
        <v>3412.6640000000002</v>
      </c>
      <c r="F95" s="78">
        <f>Motpart!Y23</f>
        <v>435.50400000000002</v>
      </c>
      <c r="G95" s="125">
        <f>Drift!V61</f>
        <v>318.26100000000002</v>
      </c>
      <c r="H95" s="148"/>
      <c r="I95" s="1040" t="s">
        <v>524</v>
      </c>
      <c r="J95" s="1393">
        <v>6100889</v>
      </c>
      <c r="K95" s="1041"/>
      <c r="L95" s="1041"/>
      <c r="M95" s="2378">
        <f>SUM(M96:M100)</f>
        <v>647.7851014827512</v>
      </c>
      <c r="N95" s="2141"/>
      <c r="O95" s="2141"/>
      <c r="P95" s="2141"/>
      <c r="Q95" s="2382" t="s">
        <v>829</v>
      </c>
      <c r="R95" s="2141"/>
      <c r="S95" s="2141"/>
      <c r="T95" s="2141"/>
      <c r="U95" s="2141"/>
      <c r="V95" s="2141"/>
      <c r="W95" s="2141"/>
      <c r="X95" s="2141"/>
      <c r="Y95" s="2141"/>
      <c r="Z95" s="2141"/>
    </row>
    <row r="96" spans="1:26" ht="12.75" customHeight="1">
      <c r="A96" s="1004" t="s">
        <v>418</v>
      </c>
      <c r="B96" s="1019" t="s">
        <v>493</v>
      </c>
      <c r="C96" s="254">
        <v>2191.0239999999999</v>
      </c>
      <c r="D96" s="996"/>
      <c r="E96" s="237">
        <v>139.14599999999999</v>
      </c>
      <c r="F96" s="988"/>
      <c r="G96" s="253">
        <v>77.873000000000005</v>
      </c>
      <c r="H96" s="147"/>
      <c r="I96" s="1042"/>
      <c r="J96" s="1396"/>
      <c r="K96" s="1038"/>
      <c r="L96" s="1038"/>
      <c r="M96" s="2376">
        <f>(C96-E96)*1000000/J95</f>
        <v>336.32442747278304</v>
      </c>
      <c r="N96" s="2141"/>
      <c r="O96" s="2141"/>
      <c r="P96" s="2141"/>
      <c r="Q96" s="2382" t="s">
        <v>830</v>
      </c>
      <c r="R96" s="2141"/>
      <c r="S96" s="2141"/>
      <c r="T96" s="2141"/>
      <c r="U96" s="2141"/>
      <c r="V96" s="2141"/>
      <c r="W96" s="2141"/>
      <c r="X96" s="2141"/>
      <c r="Y96" s="2141"/>
      <c r="Z96" s="2141"/>
    </row>
    <row r="97" spans="1:26" ht="12.75" customHeight="1">
      <c r="A97" s="1004" t="s">
        <v>419</v>
      </c>
      <c r="B97" s="1019" t="s">
        <v>800</v>
      </c>
      <c r="C97" s="254">
        <v>158.84399999999999</v>
      </c>
      <c r="D97" s="996"/>
      <c r="E97" s="237">
        <v>18.844999999999999</v>
      </c>
      <c r="F97" s="988"/>
      <c r="G97" s="253">
        <v>7.7130000000000001</v>
      </c>
      <c r="H97" s="145"/>
      <c r="I97" s="1042"/>
      <c r="J97" s="1396"/>
      <c r="K97" s="1038"/>
      <c r="L97" s="1038"/>
      <c r="M97" s="2376">
        <f>(C97-E97)*1000000/J95</f>
        <v>22.947311449200271</v>
      </c>
      <c r="N97" s="2141"/>
      <c r="O97" s="2141"/>
      <c r="P97" s="2141"/>
      <c r="Q97" s="2382" t="s">
        <v>831</v>
      </c>
      <c r="R97" s="2141"/>
      <c r="S97" s="2141"/>
      <c r="T97" s="2141"/>
      <c r="U97" s="2141"/>
      <c r="V97" s="2141"/>
      <c r="W97" s="2141"/>
      <c r="X97" s="2141"/>
      <c r="Y97" s="2141"/>
      <c r="Z97" s="2141"/>
    </row>
    <row r="98" spans="1:26" ht="14.25" customHeight="1">
      <c r="A98" s="1004" t="s">
        <v>420</v>
      </c>
      <c r="B98" s="1020" t="s">
        <v>723</v>
      </c>
      <c r="C98" s="254">
        <v>11.032999999999999</v>
      </c>
      <c r="D98" s="996"/>
      <c r="E98" s="237">
        <v>1.7999999999999999E-2</v>
      </c>
      <c r="F98" s="988"/>
      <c r="G98" s="253">
        <v>0</v>
      </c>
      <c r="H98" s="143"/>
      <c r="I98" s="1043"/>
      <c r="J98" s="1397"/>
      <c r="K98" s="1044"/>
      <c r="L98" s="1044"/>
      <c r="M98" s="2376">
        <f>(C98-E98)*1000000/J95</f>
        <v>1.8054745791965725</v>
      </c>
      <c r="N98" s="2141"/>
      <c r="O98" s="2141"/>
      <c r="P98" s="2141"/>
      <c r="Q98" s="2382" t="s">
        <v>832</v>
      </c>
      <c r="R98" s="2141"/>
      <c r="S98" s="2141"/>
      <c r="T98" s="2141"/>
      <c r="U98" s="2141"/>
      <c r="V98" s="2141"/>
      <c r="W98" s="2141"/>
      <c r="X98" s="2141"/>
      <c r="Y98" s="2141"/>
      <c r="Z98" s="2141"/>
    </row>
    <row r="99" spans="1:26" ht="15" customHeight="1">
      <c r="A99" s="1004" t="s">
        <v>421</v>
      </c>
      <c r="B99" s="1021" t="s">
        <v>523</v>
      </c>
      <c r="C99" s="254">
        <v>534.55799999999999</v>
      </c>
      <c r="D99" s="2043" t="str">
        <f>IF(C95=0,"",IF(C99&lt;Drift!I61+Drift!J61+Drift!L61,"Kommentera",""))</f>
        <v/>
      </c>
      <c r="E99" s="237">
        <v>21.361000000000001</v>
      </c>
      <c r="F99" s="988"/>
      <c r="G99" s="253">
        <v>18.539000000000001</v>
      </c>
      <c r="H99" s="147"/>
      <c r="I99" s="2615"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1843"/>
      <c r="K99" s="1843"/>
      <c r="L99" s="2356"/>
      <c r="M99" s="2376">
        <f>(C99-E99)*1000000/J95</f>
        <v>84.118396515655348</v>
      </c>
      <c r="N99" s="2141"/>
      <c r="O99" s="2141"/>
      <c r="P99" s="2141"/>
      <c r="Q99" s="2382" t="s">
        <v>833</v>
      </c>
      <c r="R99" s="2141"/>
      <c r="S99" s="2141"/>
      <c r="T99" s="2141"/>
      <c r="U99" s="2141"/>
      <c r="V99" s="2141"/>
      <c r="W99" s="2141"/>
      <c r="X99" s="2141"/>
      <c r="Y99" s="2141"/>
      <c r="Z99" s="2141"/>
    </row>
    <row r="100" spans="1:26" ht="12.75" customHeight="1">
      <c r="A100" s="1004" t="s">
        <v>422</v>
      </c>
      <c r="B100" s="1019" t="s">
        <v>444</v>
      </c>
      <c r="C100" s="254">
        <v>1291.1469999999999</v>
      </c>
      <c r="D100" s="996"/>
      <c r="E100" s="237">
        <v>2704.7310000000002</v>
      </c>
      <c r="F100" s="988"/>
      <c r="G100" s="253">
        <v>214.136</v>
      </c>
      <c r="H100" s="145"/>
      <c r="I100" s="2616"/>
      <c r="J100" s="1843"/>
      <c r="K100" s="1843"/>
      <c r="L100" s="2356"/>
      <c r="M100" s="2376">
        <f>(C100+C101-G100)*1000000/J95</f>
        <v>202.58949146591587</v>
      </c>
      <c r="N100" s="2141"/>
      <c r="O100" s="2141"/>
      <c r="P100" s="2141"/>
      <c r="Q100" s="2382" t="s">
        <v>834</v>
      </c>
      <c r="R100" s="2141"/>
      <c r="S100" s="2141"/>
      <c r="T100" s="2141"/>
      <c r="U100" s="2141"/>
      <c r="V100" s="2141"/>
      <c r="W100" s="2141"/>
      <c r="X100" s="2141"/>
      <c r="Y100" s="2141"/>
      <c r="Z100" s="2141"/>
    </row>
    <row r="101" spans="1:26" ht="12.75" customHeight="1">
      <c r="A101" s="1004" t="s">
        <v>423</v>
      </c>
      <c r="B101" s="1019" t="s">
        <v>492</v>
      </c>
      <c r="C101" s="254">
        <v>158.965</v>
      </c>
      <c r="D101" s="2013" t="str">
        <f>IF(OR(C101 &gt; SUM(Drift!N61+Drift!O61+100), C101 &lt; SUM(Drift!N61+Drift!O61-100)),"Fördelad gemensam verksamhet skiljer sig mot Driftfliken.","")</f>
        <v/>
      </c>
      <c r="E101" s="996"/>
      <c r="F101" s="996"/>
      <c r="G101" s="998"/>
      <c r="H101" s="145"/>
      <c r="I101" s="2616"/>
      <c r="J101" s="1843"/>
      <c r="K101" s="1843"/>
      <c r="L101" s="2356"/>
      <c r="M101" s="2379">
        <f>(((M95*J95/1000000)+D95-F95+((M86*J86/1000000)+D86-F86)))/(J86)*1000000</f>
        <v>1205.1909156190188</v>
      </c>
      <c r="N101" s="2141"/>
      <c r="O101" s="2141"/>
      <c r="P101" s="2141"/>
      <c r="Q101" s="2382" t="s">
        <v>835</v>
      </c>
      <c r="R101" s="2141"/>
      <c r="S101" s="2141"/>
      <c r="T101" s="2141"/>
      <c r="U101" s="2141"/>
      <c r="V101" s="2141"/>
      <c r="W101" s="2141"/>
      <c r="X101" s="2141"/>
      <c r="Y101" s="2141"/>
      <c r="Z101" s="2141"/>
    </row>
    <row r="102" spans="1:26" ht="15" customHeight="1">
      <c r="A102" s="1694"/>
      <c r="B102" s="1695" t="s">
        <v>126</v>
      </c>
      <c r="C102" s="1696">
        <f>(C95-SUM(C96:C101)-D95)*-1</f>
        <v>3.9999999994506652E-3</v>
      </c>
      <c r="D102" s="984"/>
      <c r="E102" s="1697">
        <f>(E95-SUM(E96:E100)-F95-(Motpart!D23+Motpart!E23+Motpart!F23)*0.06)*-1</f>
        <v>1.3599999999200918E-3</v>
      </c>
      <c r="F102" s="984"/>
      <c r="G102" s="1698">
        <f>(G95-SUM(G96:G100))*-1</f>
        <v>-5.6843418860808015E-14</v>
      </c>
      <c r="H102" s="1229"/>
      <c r="I102" s="2616"/>
      <c r="J102" s="1834"/>
      <c r="K102" s="1834"/>
      <c r="L102" s="2357"/>
      <c r="M102" s="2379"/>
      <c r="N102" s="2141"/>
      <c r="O102" s="2141"/>
      <c r="P102" s="2141"/>
      <c r="Q102" s="2382" t="s">
        <v>497</v>
      </c>
      <c r="R102" s="2141"/>
      <c r="S102" s="2141"/>
      <c r="T102" s="2141"/>
      <c r="U102" s="2141"/>
      <c r="V102" s="2141"/>
      <c r="W102" s="2141"/>
      <c r="X102" s="2141"/>
      <c r="Y102" s="2141"/>
      <c r="Z102" s="2141"/>
    </row>
    <row r="103" spans="1:26" ht="12.75" customHeight="1" thickBot="1">
      <c r="A103" s="1699"/>
      <c r="B103" s="1700"/>
      <c r="C103" s="1702" t="str">
        <f>IF(ABS(C102)&lt;100,"",IF(C95=0,"C95",IF(ABS(C102/C95)&gt;0.01,"C102")))</f>
        <v/>
      </c>
      <c r="D103" s="1703"/>
      <c r="E103" s="1704" t="str">
        <f>IF(ABS(E102)&lt;100,"",IF(E95=0,"E95",IF(ABS(E102/E95)&gt;0.01,"E102")))</f>
        <v/>
      </c>
      <c r="F103" s="1703"/>
      <c r="G103" s="1705" t="str">
        <f>IF(ABS(G102)&lt;100,"",IF(G95=0,"G95",IF(ABS(G102/G95)&gt;0.01,"G102")))</f>
        <v/>
      </c>
      <c r="H103" s="1701"/>
      <c r="I103" s="1835"/>
      <c r="J103" s="1835"/>
      <c r="K103" s="1835"/>
      <c r="L103" s="1835"/>
      <c r="M103" s="2381"/>
      <c r="N103" s="2141"/>
      <c r="O103" s="2141"/>
      <c r="P103" s="2141"/>
      <c r="Q103" s="2383"/>
      <c r="R103" s="2141"/>
      <c r="S103" s="2141"/>
      <c r="T103" s="2141"/>
      <c r="U103" s="2141"/>
      <c r="V103" s="2141"/>
      <c r="W103" s="2141"/>
      <c r="X103" s="2141"/>
      <c r="Y103" s="2141"/>
      <c r="Z103" s="2141"/>
    </row>
    <row r="104" spans="1:26" ht="13.5" thickTop="1">
      <c r="A104" s="2387" t="s">
        <v>1195</v>
      </c>
      <c r="B104" s="2390" t="s">
        <v>1190</v>
      </c>
      <c r="C104" s="77">
        <v>3895.9609999999998</v>
      </c>
      <c r="D104" s="1001">
        <f>SUM(Motpart!D24:L24)</f>
        <v>851.6629999999999</v>
      </c>
      <c r="E104" s="157">
        <v>871.83900000000006</v>
      </c>
      <c r="F104" s="78">
        <f>Motpart!Y24</f>
        <v>87.894999999999996</v>
      </c>
      <c r="G104" s="125">
        <v>182.351</v>
      </c>
      <c r="H104" s="148"/>
      <c r="I104" s="1040" t="s">
        <v>1215</v>
      </c>
      <c r="J104" s="1393">
        <v>8682407</v>
      </c>
      <c r="K104" s="1041"/>
      <c r="L104" s="1041"/>
      <c r="M104" s="2368">
        <f>SUM(M105:M109)</f>
        <v>327.83812138730656</v>
      </c>
      <c r="N104" s="2141"/>
      <c r="O104" s="2141"/>
      <c r="P104" s="2141"/>
      <c r="Q104" s="2382" t="s">
        <v>1216</v>
      </c>
      <c r="R104" s="2141"/>
      <c r="S104" s="2141"/>
      <c r="T104" s="2141"/>
      <c r="U104" s="2141"/>
      <c r="V104" s="2141"/>
      <c r="W104" s="2141"/>
      <c r="X104" s="2141"/>
      <c r="Y104" s="2141"/>
      <c r="Z104" s="2141"/>
    </row>
    <row r="105" spans="1:26">
      <c r="A105" s="2388" t="s">
        <v>1196</v>
      </c>
      <c r="B105" s="2391" t="s">
        <v>493</v>
      </c>
      <c r="C105" s="254">
        <v>1781.5989999999999</v>
      </c>
      <c r="D105" s="996"/>
      <c r="E105" s="237">
        <v>50.13</v>
      </c>
      <c r="F105" s="988"/>
      <c r="G105" s="253">
        <v>35.317999999999998</v>
      </c>
      <c r="H105" s="147"/>
      <c r="I105" s="2093"/>
      <c r="J105" s="1396"/>
      <c r="K105" s="1038"/>
      <c r="L105" s="1038"/>
      <c r="M105" s="2358">
        <f>(C105-E105)*1000000/J104</f>
        <v>199.42269465137949</v>
      </c>
      <c r="N105" s="2141"/>
      <c r="O105" s="2141"/>
      <c r="P105" s="2141"/>
      <c r="Q105" s="2382" t="s">
        <v>1217</v>
      </c>
      <c r="R105" s="2141"/>
      <c r="S105" s="2141"/>
      <c r="T105" s="2141"/>
      <c r="U105" s="2141"/>
      <c r="V105" s="2141"/>
      <c r="W105" s="2141"/>
      <c r="X105" s="2141"/>
    </row>
    <row r="106" spans="1:26">
      <c r="A106" s="2388" t="s">
        <v>1197</v>
      </c>
      <c r="B106" s="2391" t="s">
        <v>800</v>
      </c>
      <c r="C106" s="254">
        <v>56.128</v>
      </c>
      <c r="D106" s="996"/>
      <c r="E106" s="237">
        <v>0.55500000000000005</v>
      </c>
      <c r="F106" s="988"/>
      <c r="G106" s="253">
        <v>0.13400000000000001</v>
      </c>
      <c r="H106" s="145"/>
      <c r="I106" s="1042"/>
      <c r="J106" s="1396"/>
      <c r="K106" s="1038"/>
      <c r="L106" s="1038"/>
      <c r="M106" s="2358">
        <f>(C106-E106)*1000000/J104</f>
        <v>6.4006444295919325</v>
      </c>
      <c r="N106" s="2141"/>
      <c r="O106" s="2141"/>
      <c r="P106" s="2141"/>
      <c r="Q106" s="2382" t="s">
        <v>1218</v>
      </c>
      <c r="R106" s="2141"/>
      <c r="S106" s="2141"/>
      <c r="T106" s="2141"/>
      <c r="U106" s="2141"/>
      <c r="V106" s="2141"/>
      <c r="W106" s="2141"/>
      <c r="X106" s="2141"/>
    </row>
    <row r="107" spans="1:26">
      <c r="A107" s="2388" t="s">
        <v>1198</v>
      </c>
      <c r="B107" s="2392" t="s">
        <v>723</v>
      </c>
      <c r="C107" s="254">
        <v>6.4740000000000002</v>
      </c>
      <c r="D107" s="996"/>
      <c r="E107" s="237">
        <v>-8.1000000000000003E-2</v>
      </c>
      <c r="F107" s="988"/>
      <c r="G107" s="253">
        <v>0</v>
      </c>
      <c r="H107" s="143"/>
      <c r="I107" s="1043"/>
      <c r="J107" s="1397"/>
      <c r="K107" s="1044"/>
      <c r="L107" s="1044"/>
      <c r="M107" s="2358">
        <f>(C107-E107)*1000000/J104</f>
        <v>0.75497497410568304</v>
      </c>
      <c r="N107" s="2141"/>
      <c r="O107" s="2141"/>
      <c r="P107" s="2141"/>
      <c r="Q107" s="2382" t="s">
        <v>1219</v>
      </c>
      <c r="R107" s="2141"/>
      <c r="S107" s="2141"/>
      <c r="T107" s="2141"/>
      <c r="U107" s="2141"/>
      <c r="V107" s="2141"/>
      <c r="W107" s="2141"/>
      <c r="X107" s="2141"/>
    </row>
    <row r="108" spans="1:26" ht="12.75" customHeight="1">
      <c r="A108" s="2388" t="s">
        <v>1199</v>
      </c>
      <c r="B108" s="2393" t="s">
        <v>523</v>
      </c>
      <c r="C108" s="254">
        <v>398.50200000000001</v>
      </c>
      <c r="D108" s="2043" t="str">
        <f>IF(C104=0,"",IF(C108&lt;Drift!I62+Drift!J62+Drift!L62,"Kommentera",""))</f>
        <v/>
      </c>
      <c r="E108" s="237">
        <v>1.8640000000000001</v>
      </c>
      <c r="F108" s="988"/>
      <c r="G108" s="253">
        <v>1.4930000000000001</v>
      </c>
      <c r="H108" s="147"/>
      <c r="I108" s="2615" t="str">
        <f>IF(SUM(E109-G109+100)&lt;Motpart!AA24,"I Motparten är statsbidragen "&amp;""&amp;(Motpart!AA24)&amp;" tkr. Alla bidrag från staten o statliga myndigheter, inklusive de från Migrationsverket, ska ingå under Övrigt som extern intäkt. De externa intäkterna på Övrigt-raden är dock bara "&amp;""&amp;(ROUND(E109-G109,0))&amp;" tkr. ","")</f>
        <v/>
      </c>
      <c r="J108" s="1843"/>
      <c r="K108" s="1843"/>
      <c r="L108" s="2356"/>
      <c r="M108" s="2358">
        <f>(C108-E108)*1000000/J104</f>
        <v>45.682954047189916</v>
      </c>
      <c r="N108" s="2141"/>
      <c r="O108" s="2141"/>
      <c r="P108" s="2141"/>
      <c r="Q108" s="2382" t="s">
        <v>1220</v>
      </c>
      <c r="R108" s="2141"/>
      <c r="S108" s="2141"/>
      <c r="T108" s="2141"/>
      <c r="U108" s="2141"/>
      <c r="V108" s="2141"/>
      <c r="W108" s="2141"/>
      <c r="X108" s="2141"/>
    </row>
    <row r="109" spans="1:26" ht="12.75" customHeight="1">
      <c r="A109" s="2388" t="s">
        <v>1200</v>
      </c>
      <c r="B109" s="2391" t="s">
        <v>444</v>
      </c>
      <c r="C109" s="254">
        <v>683.99800000000005</v>
      </c>
      <c r="D109" s="996"/>
      <c r="E109" s="237">
        <v>694.64400000000001</v>
      </c>
      <c r="F109" s="988"/>
      <c r="G109" s="253">
        <v>145.405</v>
      </c>
      <c r="H109" s="145"/>
      <c r="I109" s="2616"/>
      <c r="J109" s="1843"/>
      <c r="K109" s="1843"/>
      <c r="L109" s="2356"/>
      <c r="M109" s="2358">
        <f>(C109+C110-G109)*1000000/J104</f>
        <v>75.576853285039519</v>
      </c>
      <c r="N109" s="2141"/>
      <c r="O109" s="2141"/>
      <c r="P109" s="2141"/>
      <c r="Q109" s="2382" t="s">
        <v>1221</v>
      </c>
      <c r="R109" s="2141"/>
      <c r="S109" s="2141"/>
      <c r="T109" s="2141"/>
      <c r="U109" s="2141"/>
      <c r="V109" s="2141"/>
      <c r="W109" s="2141"/>
      <c r="X109" s="2141"/>
    </row>
    <row r="110" spans="1:26">
      <c r="A110" s="2388" t="s">
        <v>1201</v>
      </c>
      <c r="B110" s="2391" t="s">
        <v>492</v>
      </c>
      <c r="C110" s="254">
        <v>117.596</v>
      </c>
      <c r="D110" s="2013" t="str">
        <f>IF(OR(C110 &gt; SUM(Drift!N62+Drift!O62+100), C110 &lt; SUM(Drift!N62+Drift!O62-100)),"Fördelad gemensam verksamhet skiljer sig mot Driftfliken.","")</f>
        <v/>
      </c>
      <c r="E110" s="996"/>
      <c r="F110" s="996"/>
      <c r="G110" s="998"/>
      <c r="H110" s="145"/>
      <c r="I110" s="2616"/>
      <c r="J110" s="1843"/>
      <c r="K110" s="1843"/>
      <c r="L110" s="2356"/>
      <c r="M110" s="2359">
        <f>((M104*J104/1000000+D104-F104-(Motpart!D24+Motpart!E24+Motpart!F24)*0.06))/(J104)*1000000</f>
        <v>411.56328193322429</v>
      </c>
      <c r="N110" s="2141"/>
      <c r="O110" s="2141"/>
      <c r="P110" s="2141"/>
      <c r="Q110" s="2382" t="s">
        <v>1222</v>
      </c>
      <c r="R110" s="2141"/>
      <c r="S110" s="2141"/>
      <c r="T110" s="2141"/>
      <c r="U110" s="2141"/>
      <c r="V110" s="2141"/>
      <c r="W110" s="2141"/>
      <c r="X110" s="2141"/>
    </row>
    <row r="111" spans="1:26">
      <c r="A111" s="2389"/>
      <c r="B111" s="2394" t="s">
        <v>126</v>
      </c>
      <c r="C111" s="1696">
        <f>(C104-SUM(C105:C110)-D104)*-1</f>
        <v>-9.999999998626663E-4</v>
      </c>
      <c r="D111" s="984"/>
      <c r="E111" s="1697">
        <f>(E104-SUM(E105:E109)-F104-(Motpart!D24+Motpart!E24+Motpart!F24)*0.06)*-1</f>
        <v>7.9999999904600827E-5</v>
      </c>
      <c r="F111" s="984"/>
      <c r="G111" s="1698">
        <f>(G104-SUM(G105:G109))*-1</f>
        <v>-1.0000000000047748E-3</v>
      </c>
      <c r="H111" s="1229"/>
      <c r="I111" s="2616"/>
      <c r="J111" s="1834"/>
      <c r="K111" s="1834"/>
      <c r="L111" s="2357"/>
      <c r="M111" s="2359"/>
      <c r="N111" s="2141"/>
      <c r="O111" s="2141"/>
      <c r="P111" s="2141"/>
      <c r="Q111" s="2382" t="s">
        <v>1191</v>
      </c>
      <c r="R111" s="2141"/>
      <c r="S111" s="2141"/>
      <c r="T111" s="2141"/>
      <c r="U111" s="2141"/>
      <c r="V111" s="2141"/>
      <c r="W111" s="2141"/>
      <c r="X111" s="2141"/>
    </row>
    <row r="112" spans="1:26" ht="13.5" thickBot="1">
      <c r="A112" s="1699"/>
      <c r="B112" s="1700"/>
      <c r="C112" s="1702" t="str">
        <f>IF(ABS(C111)&lt;100,"",IF(C104=0,"C104",IF(ABS(C111/C104)&gt;0.01,"C111")))</f>
        <v/>
      </c>
      <c r="D112" s="1703"/>
      <c r="E112" s="1704" t="str">
        <f>IF(ABS(E111)&lt;100,"",IF(E104=0,"E104",IF(ABS(E111/E104)&gt;0.01,"E111")))</f>
        <v/>
      </c>
      <c r="F112" s="1703"/>
      <c r="G112" s="1705" t="str">
        <f>IF(ABS(G111)&lt;100,"",IF(G104=0,"G104",IF(ABS(G111/G104)&gt;0.01,"G111")))</f>
        <v/>
      </c>
      <c r="H112" s="1701"/>
      <c r="I112" s="1835"/>
      <c r="J112" s="1835"/>
      <c r="K112" s="1835"/>
      <c r="L112" s="1835"/>
      <c r="M112" s="2360"/>
      <c r="N112" s="2141"/>
      <c r="O112" s="2141"/>
      <c r="P112" s="2141"/>
      <c r="Q112" s="2383"/>
      <c r="X112" s="2141"/>
    </row>
    <row r="113" ht="13.5" thickTop="1"/>
  </sheetData>
  <customSheetViews>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1"/>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3"/>
      <headerFooter alignWithMargins="0"/>
    </customSheetView>
  </customSheetViews>
  <mergeCells count="14">
    <mergeCell ref="IV6:IV7"/>
    <mergeCell ref="Q4:Q7"/>
    <mergeCell ref="M4:M6"/>
    <mergeCell ref="D5:D7"/>
    <mergeCell ref="F5:F7"/>
    <mergeCell ref="G5:G7"/>
    <mergeCell ref="I4:L5"/>
    <mergeCell ref="I38:I42"/>
    <mergeCell ref="I108:I111"/>
    <mergeCell ref="I51:I55"/>
    <mergeCell ref="I65:I69"/>
    <mergeCell ref="I79:I83"/>
    <mergeCell ref="I90:I94"/>
    <mergeCell ref="I99:I102"/>
  </mergeCells>
  <phoneticPr fontId="89" type="noConversion"/>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G105:G109 E105:E109 C105:C110"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2"/>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sheetView>
  </sheetViews>
  <sheetFormatPr defaultColWidth="0" defaultRowHeight="0" customHeight="1" zeroHeight="1"/>
  <cols>
    <col min="1" max="1" width="5.42578125" style="258" customWidth="1"/>
    <col min="2" max="2" width="32.5703125" style="261" customWidth="1"/>
    <col min="3" max="3" width="11.42578125" style="264" customWidth="1"/>
    <col min="4" max="4" width="9.42578125" style="264" customWidth="1"/>
    <col min="5" max="7" width="8.5703125" style="264" customWidth="1"/>
    <col min="8" max="8" width="10" style="264" customWidth="1"/>
    <col min="9" max="9" width="9.5703125" style="264" customWidth="1"/>
    <col min="10" max="10" width="10" style="264" customWidth="1"/>
    <col min="11" max="11" width="9.5703125" style="264" customWidth="1"/>
    <col min="12" max="14" width="10.42578125" style="264" customWidth="1"/>
    <col min="15" max="15" width="8" style="262" customWidth="1"/>
    <col min="16" max="16" width="2.5703125" style="258" customWidth="1"/>
    <col min="17" max="17" width="7" style="263" customWidth="1"/>
    <col min="18" max="18" width="18.5703125" style="258" customWidth="1"/>
    <col min="19" max="19" width="4.42578125" style="258" customWidth="1"/>
    <col min="20" max="20" width="14.5703125" style="258" customWidth="1"/>
    <col min="21" max="21" width="9.42578125" style="258" customWidth="1"/>
    <col min="22" max="22" width="9.42578125" style="257" customWidth="1"/>
    <col min="23" max="16384" width="0" style="257" hidden="1"/>
  </cols>
  <sheetData>
    <row r="1" spans="1:23" ht="21.75">
      <c r="A1" s="126" t="str">
        <f>"Specificering vård och omsorg om äldre och personer med funktionsnedsättning "&amp;År&amp;", miljoner kronor"</f>
        <v>Specificering vård och omsorg om äldre och personer med funktionsnedsättning 2024, miljoner kronor</v>
      </c>
      <c r="B1" s="127"/>
      <c r="C1" s="127"/>
      <c r="D1" s="255"/>
      <c r="E1" s="255"/>
      <c r="F1" s="255"/>
      <c r="G1" s="255"/>
      <c r="H1" s="255"/>
      <c r="I1" s="255"/>
      <c r="J1" s="255"/>
      <c r="K1" s="255"/>
      <c r="L1" s="255"/>
      <c r="M1" s="255"/>
      <c r="N1" s="255"/>
      <c r="O1" s="482" t="s">
        <v>446</v>
      </c>
      <c r="P1" s="483" t="str">
        <f>Information!A2</f>
        <v>RIKSTOTAL</v>
      </c>
      <c r="Q1" s="256"/>
      <c r="R1" s="255"/>
      <c r="S1" s="255"/>
      <c r="T1" s="255"/>
      <c r="U1" s="255"/>
    </row>
    <row r="2" spans="1:23" ht="12.75">
      <c r="A2" s="2141"/>
      <c r="B2" s="2141"/>
      <c r="C2" s="2141"/>
      <c r="D2" s="2141"/>
      <c r="E2" s="2141"/>
      <c r="F2" s="2141"/>
      <c r="G2" s="2141"/>
      <c r="H2" s="2141"/>
      <c r="I2" s="2141"/>
      <c r="J2" s="2141"/>
      <c r="K2" s="2141"/>
      <c r="L2" s="2141"/>
      <c r="M2" s="2141"/>
      <c r="N2" s="2141"/>
      <c r="O2" s="2141"/>
      <c r="P2" s="2141"/>
      <c r="Q2" s="2141"/>
      <c r="R2" s="2141"/>
      <c r="S2" s="2141"/>
      <c r="T2" s="2141"/>
      <c r="U2" s="2141"/>
      <c r="V2" s="2141"/>
    </row>
    <row r="3" spans="1:23" ht="12.6" customHeight="1" thickBot="1">
      <c r="A3" s="2141"/>
      <c r="B3" s="2141"/>
      <c r="C3" s="2141"/>
      <c r="D3" s="2141"/>
      <c r="E3" s="2141"/>
      <c r="F3" s="2141"/>
      <c r="G3" s="2141"/>
      <c r="H3" s="2141"/>
      <c r="I3" s="2141"/>
      <c r="J3" s="2141"/>
      <c r="K3" s="2141"/>
      <c r="L3" s="2141"/>
      <c r="M3" s="2141"/>
      <c r="N3" s="2141"/>
      <c r="O3" s="2141"/>
      <c r="P3" s="2141"/>
      <c r="Q3" s="2141"/>
      <c r="R3" s="2141"/>
      <c r="S3" s="2141"/>
      <c r="T3" s="2141"/>
      <c r="U3" s="2141"/>
      <c r="V3" s="2141"/>
    </row>
    <row r="4" spans="1:23" ht="12.75">
      <c r="A4" s="1045" t="s">
        <v>603</v>
      </c>
      <c r="B4" s="1046" t="s">
        <v>13</v>
      </c>
      <c r="C4" s="1437" t="s">
        <v>897</v>
      </c>
      <c r="D4" s="1437"/>
      <c r="E4" s="1645"/>
      <c r="F4" s="1269" t="s">
        <v>37</v>
      </c>
      <c r="G4" s="1048"/>
      <c r="H4" s="1048"/>
      <c r="I4" s="1047"/>
      <c r="J4" s="1271" t="s">
        <v>38</v>
      </c>
      <c r="K4" s="1270" t="s">
        <v>895</v>
      </c>
      <c r="L4" s="1814" t="s">
        <v>964</v>
      </c>
      <c r="M4" s="1493" t="s">
        <v>904</v>
      </c>
      <c r="N4" s="1490"/>
      <c r="O4" s="2640" t="str">
        <f>"Förändring kostnader för eget åtagande "&amp;År-1&amp;"-"&amp;År&amp;" procent"</f>
        <v>Förändring kostnader för eget åtagande 2023-2024 procent</v>
      </c>
      <c r="P4" s="2141"/>
      <c r="Q4" s="2425"/>
      <c r="R4" s="2443"/>
      <c r="S4" s="2141"/>
      <c r="T4" s="2141"/>
      <c r="U4" s="2141"/>
      <c r="V4" s="2141"/>
      <c r="W4" s="258"/>
    </row>
    <row r="5" spans="1:23" ht="17.100000000000001" customHeight="1">
      <c r="A5" s="1049" t="s">
        <v>605</v>
      </c>
      <c r="B5" s="1050"/>
      <c r="C5" s="1224" t="s">
        <v>41</v>
      </c>
      <c r="D5" s="1224"/>
      <c r="E5" s="1639"/>
      <c r="F5" s="1051"/>
      <c r="G5" s="2464"/>
      <c r="H5" s="1052"/>
      <c r="I5" s="1053"/>
      <c r="J5" s="1272" t="s">
        <v>40</v>
      </c>
      <c r="K5" s="1508" t="s">
        <v>910</v>
      </c>
      <c r="L5" s="1815" t="s">
        <v>42</v>
      </c>
      <c r="M5" s="1492" t="s">
        <v>903</v>
      </c>
      <c r="N5" s="1491"/>
      <c r="O5" s="2641"/>
      <c r="P5" s="2141"/>
      <c r="Q5" s="2426"/>
      <c r="R5" s="2444"/>
      <c r="S5" s="2141"/>
      <c r="T5" s="2141"/>
      <c r="U5" s="2141"/>
      <c r="V5" s="2141"/>
      <c r="W5" s="258"/>
    </row>
    <row r="6" spans="1:23" ht="30.95" customHeight="1">
      <c r="A6" s="1056"/>
      <c r="B6" s="1057"/>
      <c r="C6" s="1467"/>
      <c r="D6" s="2666" t="s">
        <v>963</v>
      </c>
      <c r="E6" s="2666" t="s">
        <v>991</v>
      </c>
      <c r="F6" s="2657" t="s">
        <v>663</v>
      </c>
      <c r="G6" s="2659" t="s">
        <v>788</v>
      </c>
      <c r="H6" s="2661" t="s">
        <v>456</v>
      </c>
      <c r="I6" s="2668" t="s">
        <v>1025</v>
      </c>
      <c r="J6" s="1639"/>
      <c r="K6" s="1507" t="s">
        <v>909</v>
      </c>
      <c r="L6" s="1646"/>
      <c r="M6" s="1769"/>
      <c r="N6" s="1504"/>
      <c r="O6" s="2641"/>
      <c r="P6" s="2141"/>
      <c r="Q6" s="2642" t="str">
        <f>"Nämnare nyckeltal"</f>
        <v>Nämnare nyckeltal</v>
      </c>
      <c r="R6" s="2643"/>
      <c r="S6" s="2141"/>
      <c r="T6" s="2141"/>
      <c r="U6" s="2141"/>
      <c r="V6" s="2141"/>
      <c r="W6" s="258"/>
    </row>
    <row r="7" spans="1:23" ht="21" customHeight="1">
      <c r="A7" s="1059"/>
      <c r="B7" s="1057"/>
      <c r="C7" s="1224"/>
      <c r="D7" s="2670"/>
      <c r="E7" s="2667"/>
      <c r="F7" s="2658"/>
      <c r="G7" s="2660"/>
      <c r="H7" s="2662"/>
      <c r="I7" s="2669"/>
      <c r="J7" s="1639"/>
      <c r="K7" s="1496" t="s">
        <v>905</v>
      </c>
      <c r="L7" s="1651" t="s">
        <v>901</v>
      </c>
      <c r="M7" s="1652" t="s">
        <v>908</v>
      </c>
      <c r="N7" s="1503" t="s">
        <v>908</v>
      </c>
      <c r="O7" s="2414"/>
      <c r="P7" s="2141"/>
      <c r="Q7" s="2644"/>
      <c r="R7" s="2643"/>
      <c r="S7" s="2141"/>
      <c r="T7" s="2141"/>
      <c r="U7" s="2141"/>
      <c r="V7" s="2141"/>
      <c r="W7" s="258"/>
    </row>
    <row r="8" spans="1:23" ht="11.25" customHeight="1">
      <c r="A8" s="1059"/>
      <c r="B8" s="1060"/>
      <c r="C8" s="1054"/>
      <c r="D8" s="1639"/>
      <c r="E8" s="1466"/>
      <c r="F8" s="1058"/>
      <c r="G8" s="1798"/>
      <c r="H8" s="1798"/>
      <c r="I8" s="1275"/>
      <c r="J8" s="1639"/>
      <c r="K8" s="1223" t="s">
        <v>1026</v>
      </c>
      <c r="L8" s="1653"/>
      <c r="M8" s="1654">
        <f>År</f>
        <v>2024</v>
      </c>
      <c r="N8" s="1495">
        <f>År-1</f>
        <v>2023</v>
      </c>
      <c r="O8" s="2415"/>
      <c r="P8" s="2141"/>
      <c r="Q8" s="2427"/>
      <c r="R8" s="2445"/>
      <c r="S8" s="2141"/>
      <c r="T8" s="2141"/>
      <c r="U8" s="2141"/>
      <c r="V8" s="2141"/>
      <c r="W8" s="258"/>
    </row>
    <row r="9" spans="1:23" ht="20.25" customHeight="1">
      <c r="A9" s="1059"/>
      <c r="B9" s="1057"/>
      <c r="C9" s="1054"/>
      <c r="D9" s="2671" t="s">
        <v>1047</v>
      </c>
      <c r="E9" s="1479" t="s">
        <v>767</v>
      </c>
      <c r="F9" s="1478" t="s">
        <v>797</v>
      </c>
      <c r="G9" s="1477" t="s">
        <v>45</v>
      </c>
      <c r="H9" s="2663" t="s">
        <v>787</v>
      </c>
      <c r="I9" s="1985" t="s">
        <v>1028</v>
      </c>
      <c r="J9" s="1055"/>
      <c r="K9" s="1890" t="s">
        <v>1027</v>
      </c>
      <c r="L9" s="1799"/>
      <c r="M9" s="1655"/>
      <c r="N9" s="1494"/>
      <c r="O9" s="2415"/>
      <c r="P9" s="2141"/>
      <c r="Q9" s="2428"/>
      <c r="R9" s="2446"/>
      <c r="S9" s="2141"/>
      <c r="T9" s="2141"/>
      <c r="U9" s="2141"/>
      <c r="V9" s="2141"/>
      <c r="W9" s="258"/>
    </row>
    <row r="10" spans="1:23" ht="12.75" customHeight="1">
      <c r="A10" s="1059"/>
      <c r="B10" s="1063"/>
      <c r="C10" s="1054"/>
      <c r="D10" s="2672"/>
      <c r="E10" s="1466"/>
      <c r="F10" s="1285"/>
      <c r="G10" s="1480"/>
      <c r="H10" s="2664"/>
      <c r="I10" s="1469"/>
      <c r="J10" s="1055"/>
      <c r="K10" s="1223" t="s">
        <v>1023</v>
      </c>
      <c r="L10" s="1647"/>
      <c r="M10" s="1505"/>
      <c r="N10" s="1506"/>
      <c r="O10" s="2416"/>
      <c r="P10" s="2141"/>
      <c r="Q10" s="2429"/>
      <c r="R10" s="2447"/>
      <c r="S10" s="2141"/>
      <c r="T10" s="2141"/>
      <c r="U10" s="2141"/>
      <c r="V10" s="2141"/>
      <c r="W10" s="258"/>
    </row>
    <row r="11" spans="1:23" ht="12.75">
      <c r="A11" s="1064"/>
      <c r="B11" s="1286"/>
      <c r="C11" s="1065"/>
      <c r="D11" s="1640"/>
      <c r="E11" s="1468"/>
      <c r="F11" s="1285"/>
      <c r="G11" s="1481"/>
      <c r="H11" s="2665"/>
      <c r="I11" s="1470"/>
      <c r="J11" s="1066"/>
      <c r="K11" s="1908" t="s">
        <v>1024</v>
      </c>
      <c r="L11" s="1648"/>
      <c r="M11" s="1643"/>
      <c r="N11" s="1644"/>
      <c r="O11" s="2417"/>
      <c r="P11" s="2141"/>
      <c r="Q11" s="2430"/>
      <c r="R11" s="2417"/>
      <c r="S11" s="2141"/>
      <c r="T11" s="2141"/>
      <c r="U11" s="2141"/>
      <c r="V11" s="2141"/>
      <c r="W11" s="258"/>
    </row>
    <row r="12" spans="1:23" ht="12.75">
      <c r="A12" s="1067">
        <v>510</v>
      </c>
      <c r="B12" s="1068" t="s">
        <v>476</v>
      </c>
      <c r="C12" s="311">
        <f>Drift!P73</f>
        <v>182909.65099999998</v>
      </c>
      <c r="D12" s="311">
        <f>SUM(Drift!C73:D73)</f>
        <v>102329.269</v>
      </c>
      <c r="E12" s="311">
        <f>Drift!F73</f>
        <v>25738.143</v>
      </c>
      <c r="F12" s="311">
        <f>Drift!R73</f>
        <v>7278.8159999999998</v>
      </c>
      <c r="G12" s="311">
        <f>Drift!S73</f>
        <v>4985.5209999999997</v>
      </c>
      <c r="H12" s="311">
        <f>Drift!T73</f>
        <v>12571.096</v>
      </c>
      <c r="I12" s="311">
        <f>Motpart!Y29+Motpart!Z29</f>
        <v>571.84500000000003</v>
      </c>
      <c r="J12" s="311">
        <f>Drift!V73</f>
        <v>16258.683000000001</v>
      </c>
      <c r="K12" s="1638">
        <f t="shared" ref="K12:K19" si="0">C12-I12-J12</f>
        <v>166079.12299999999</v>
      </c>
      <c r="L12" s="1641">
        <f t="shared" ref="L12:L19" si="1">C12-SUM(F12:H12,J12)</f>
        <v>141815.53499999997</v>
      </c>
      <c r="M12" s="1085">
        <f>IF(C12&gt;0,K12*1000000/Q12,"")</f>
        <v>75268.536697231073</v>
      </c>
      <c r="N12" s="1650">
        <v>72519.788</v>
      </c>
      <c r="O12" s="2418"/>
      <c r="P12" s="2141"/>
      <c r="Q12" s="2431">
        <v>2206488</v>
      </c>
      <c r="R12" s="2448" t="s">
        <v>985</v>
      </c>
      <c r="S12" s="2141"/>
      <c r="T12" s="2141"/>
      <c r="U12" s="2141"/>
      <c r="V12" s="2141"/>
      <c r="W12" s="259"/>
    </row>
    <row r="13" spans="1:23" ht="13.5" customHeight="1">
      <c r="A13" s="1069">
        <v>5101</v>
      </c>
      <c r="B13" s="1070" t="s">
        <v>433</v>
      </c>
      <c r="C13" s="128">
        <v>63562.110999999997</v>
      </c>
      <c r="D13" s="128">
        <v>39257.497000000003</v>
      </c>
      <c r="E13" s="128">
        <v>8296.5439999999999</v>
      </c>
      <c r="F13" s="128">
        <v>3511.5439999999999</v>
      </c>
      <c r="G13" s="2046"/>
      <c r="H13" s="128">
        <v>3511.1660000000002</v>
      </c>
      <c r="I13" s="128">
        <v>184.10599999999999</v>
      </c>
      <c r="J13" s="128">
        <v>5754.8940000000002</v>
      </c>
      <c r="K13" s="1641">
        <f t="shared" si="0"/>
        <v>57623.110999999997</v>
      </c>
      <c r="L13" s="1641">
        <f t="shared" si="1"/>
        <v>50784.506999999998</v>
      </c>
      <c r="M13" s="1085">
        <f>IF(C13&gt;0,K13*1000000/Q12,"")</f>
        <v>26115.306768040435</v>
      </c>
      <c r="N13" s="1085">
        <v>25675.42</v>
      </c>
      <c r="O13" s="2419">
        <f t="shared" ref="O13:O18" si="2">IF(ISERROR((M13-N13)/N13),"",((M13-N13)/N13))</f>
        <v>1.7132602623070488E-2</v>
      </c>
      <c r="P13" s="2141"/>
      <c r="Q13" s="2432"/>
      <c r="R13" s="2449"/>
      <c r="S13" s="2141"/>
      <c r="T13" s="2141"/>
      <c r="U13" s="2141"/>
      <c r="V13" s="2141"/>
      <c r="W13" s="259"/>
    </row>
    <row r="14" spans="1:23" ht="13.5" customHeight="1">
      <c r="A14" s="1069">
        <v>5103</v>
      </c>
      <c r="B14" s="1070" t="s">
        <v>722</v>
      </c>
      <c r="C14" s="265">
        <v>8850.2049999999999</v>
      </c>
      <c r="D14" s="128">
        <v>5455.9120000000003</v>
      </c>
      <c r="E14" s="265">
        <v>708.94</v>
      </c>
      <c r="F14" s="128">
        <v>244.65899999999999</v>
      </c>
      <c r="G14" s="265">
        <v>86.129000000000005</v>
      </c>
      <c r="H14" s="128">
        <v>534.67100000000005</v>
      </c>
      <c r="I14" s="265">
        <v>46.033000000000001</v>
      </c>
      <c r="J14" s="128">
        <v>802.67499999999995</v>
      </c>
      <c r="K14" s="1641">
        <f>C14-I14-J14</f>
        <v>8001.4970000000003</v>
      </c>
      <c r="L14" s="1641">
        <f t="shared" si="1"/>
        <v>7182.0709999999999</v>
      </c>
      <c r="M14" s="1086">
        <f>IF(C14&gt;0,K14*1000000/Q12,"")</f>
        <v>3626.3496561050865</v>
      </c>
      <c r="N14" s="1086">
        <v>3562.768</v>
      </c>
      <c r="O14" s="2419">
        <f t="shared" si="2"/>
        <v>1.7846139884799262E-2</v>
      </c>
      <c r="P14" s="2141"/>
      <c r="Q14" s="2433"/>
      <c r="R14" s="2450"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2141"/>
      <c r="T14" s="2141"/>
      <c r="U14" s="2141"/>
      <c r="V14" s="2141"/>
      <c r="W14" s="259"/>
    </row>
    <row r="15" spans="1:23" ht="13.5" customHeight="1">
      <c r="A15" s="1069">
        <v>5104</v>
      </c>
      <c r="B15" s="1070" t="s">
        <v>434</v>
      </c>
      <c r="C15" s="265">
        <v>1766.742</v>
      </c>
      <c r="D15" s="265">
        <v>1031.6279999999999</v>
      </c>
      <c r="E15" s="265">
        <v>88.905000000000001</v>
      </c>
      <c r="F15" s="265">
        <v>73.984999999999999</v>
      </c>
      <c r="G15" s="2046"/>
      <c r="H15" s="265">
        <v>112.235</v>
      </c>
      <c r="I15" s="265">
        <v>1.272</v>
      </c>
      <c r="J15" s="265">
        <v>142.42500000000001</v>
      </c>
      <c r="K15" s="1641">
        <f>C15-I15-J15</f>
        <v>1623.0450000000001</v>
      </c>
      <c r="L15" s="1641">
        <f t="shared" si="1"/>
        <v>1438.097</v>
      </c>
      <c r="M15" s="1086">
        <f>IF(C15&gt;0,K15*1000000/Q12,"")</f>
        <v>735.57843958362787</v>
      </c>
      <c r="N15" s="1086">
        <v>696.46699999999998</v>
      </c>
      <c r="O15" s="2419">
        <f t="shared" si="2"/>
        <v>5.6156917102501459E-2</v>
      </c>
      <c r="P15" s="2141"/>
      <c r="Q15" s="2433"/>
      <c r="R15" s="2451"/>
      <c r="S15" s="2141"/>
      <c r="T15" s="2141"/>
      <c r="U15" s="2141"/>
      <c r="V15" s="2141"/>
      <c r="W15" s="259"/>
    </row>
    <row r="16" spans="1:23" ht="13.5" customHeight="1">
      <c r="A16" s="2458">
        <v>5102</v>
      </c>
      <c r="B16" s="2461" t="s">
        <v>1192</v>
      </c>
      <c r="C16" s="128">
        <v>103656.56299999999</v>
      </c>
      <c r="D16" s="128">
        <v>54764.836000000003</v>
      </c>
      <c r="E16" s="128">
        <v>16173.12</v>
      </c>
      <c r="F16" s="128">
        <v>3363.7049999999999</v>
      </c>
      <c r="G16" s="128">
        <v>4733.5290000000005</v>
      </c>
      <c r="H16" s="128">
        <v>7945.4660000000003</v>
      </c>
      <c r="I16" s="128">
        <v>320.60199999999998</v>
      </c>
      <c r="J16" s="128">
        <v>9196.8179999999993</v>
      </c>
      <c r="K16" s="1641">
        <f>C16-I16-J16</f>
        <v>94139.142999999996</v>
      </c>
      <c r="L16" s="1641">
        <f t="shared" si="1"/>
        <v>78417.044999999998</v>
      </c>
      <c r="M16" s="1086">
        <f>IF(C16&gt;0,K16*1000000/Q12,"")</f>
        <v>42664.697473994871</v>
      </c>
      <c r="N16" s="1086"/>
      <c r="O16" s="2419" t="str">
        <f>IF(OR(M16="",M17="",N16=""),"",IF(AND(M16=0,M17=0,N16=0),0,IF(N16=0,1,((M16+M17-N16)/N16))))</f>
        <v/>
      </c>
      <c r="P16" s="2141"/>
      <c r="Q16" s="2434"/>
      <c r="R16" s="2650" t="str">
        <f>IF(OR(P16="Kommentera förändringen", P16="Kontrollera förändringen"), "Förändringskontrollen i cell P16 jämför föregående års nyckeltal för verksamhet 5105 Särskilt/Annat boende mot årets nyckeltal för verksamheterna 5102 + 5107.", "")</f>
        <v/>
      </c>
      <c r="S16" s="2141"/>
      <c r="T16" s="2141"/>
      <c r="U16" s="2141"/>
      <c r="V16" s="2141"/>
      <c r="W16" s="259"/>
    </row>
    <row r="17" spans="1:23" ht="13.5" customHeight="1">
      <c r="A17" s="2458">
        <v>5107</v>
      </c>
      <c r="B17" s="2461" t="s">
        <v>1193</v>
      </c>
      <c r="C17" s="265">
        <v>943.06299999999999</v>
      </c>
      <c r="D17" s="128">
        <v>198.958</v>
      </c>
      <c r="E17" s="128">
        <v>310.67500000000001</v>
      </c>
      <c r="F17" s="128">
        <v>17.965</v>
      </c>
      <c r="G17" s="128">
        <v>55.076999999999998</v>
      </c>
      <c r="H17" s="128">
        <v>82.256</v>
      </c>
      <c r="I17" s="128">
        <v>0.55600000000000005</v>
      </c>
      <c r="J17" s="128">
        <v>127.848</v>
      </c>
      <c r="K17" s="1641">
        <f>C17-I17-J17</f>
        <v>814.65899999999999</v>
      </c>
      <c r="L17" s="1641">
        <f t="shared" si="1"/>
        <v>659.91699999999992</v>
      </c>
      <c r="M17" s="1086">
        <f>IF(C17&gt;0,K17*1000000/Q12,"")</f>
        <v>369.21070950759758</v>
      </c>
      <c r="N17" s="1086"/>
      <c r="O17" s="2419"/>
      <c r="P17" s="2141"/>
      <c r="Q17" s="2434"/>
      <c r="R17" s="2650"/>
      <c r="S17" s="2141"/>
      <c r="T17" s="2141"/>
      <c r="U17" s="2141"/>
      <c r="V17" s="2141"/>
      <c r="W17" s="259"/>
    </row>
    <row r="18" spans="1:23" ht="13.5" customHeight="1">
      <c r="A18" s="1069">
        <v>5106</v>
      </c>
      <c r="B18" s="1071" t="s">
        <v>100</v>
      </c>
      <c r="C18" s="265">
        <v>2014.191</v>
      </c>
      <c r="D18" s="128">
        <v>988.81799999999998</v>
      </c>
      <c r="E18" s="128">
        <v>44.188000000000002</v>
      </c>
      <c r="F18" s="128">
        <v>35.548999999999999</v>
      </c>
      <c r="G18" s="128">
        <v>11.118</v>
      </c>
      <c r="H18" s="128">
        <v>250.50700000000001</v>
      </c>
      <c r="I18" s="128">
        <v>4.234</v>
      </c>
      <c r="J18" s="128">
        <v>151.02600000000001</v>
      </c>
      <c r="K18" s="1641">
        <f t="shared" si="0"/>
        <v>1858.931</v>
      </c>
      <c r="L18" s="1641">
        <f t="shared" si="1"/>
        <v>1565.991</v>
      </c>
      <c r="M18" s="1085">
        <f>IF(C18&gt;0,K18*1000000/Q12,"")</f>
        <v>842.48407423924357</v>
      </c>
      <c r="N18" s="1085">
        <v>698</v>
      </c>
      <c r="O18" s="2419">
        <f t="shared" si="2"/>
        <v>0.2069972410304349</v>
      </c>
      <c r="P18" s="2141"/>
      <c r="Q18" s="2434"/>
      <c r="R18" s="2650"/>
      <c r="S18" s="2141"/>
      <c r="T18" s="2141"/>
      <c r="U18" s="2141"/>
      <c r="V18" s="2141"/>
      <c r="W18" s="259"/>
    </row>
    <row r="19" spans="1:23" ht="13.5" customHeight="1">
      <c r="A19" s="1069">
        <v>5109</v>
      </c>
      <c r="B19" s="1070" t="s">
        <v>357</v>
      </c>
      <c r="C19" s="265">
        <v>2116.77</v>
      </c>
      <c r="D19" s="128">
        <v>631.62099999999998</v>
      </c>
      <c r="E19" s="128">
        <v>115.771</v>
      </c>
      <c r="F19" s="128">
        <v>31.408999999999999</v>
      </c>
      <c r="G19" s="128">
        <v>99.667000000000002</v>
      </c>
      <c r="H19" s="128">
        <v>134.79499999999999</v>
      </c>
      <c r="I19" s="128">
        <v>15.042</v>
      </c>
      <c r="J19" s="265">
        <v>82.997</v>
      </c>
      <c r="K19" s="1084">
        <f t="shared" si="0"/>
        <v>2018.731</v>
      </c>
      <c r="L19" s="1641">
        <f t="shared" si="1"/>
        <v>1767.902</v>
      </c>
      <c r="M19" s="1087"/>
      <c r="N19" s="1087"/>
      <c r="O19" s="2420"/>
      <c r="P19" s="2141"/>
      <c r="Q19" s="2434"/>
      <c r="R19" s="2650"/>
      <c r="S19" s="2141"/>
      <c r="T19" s="2141"/>
      <c r="U19" s="2141"/>
      <c r="V19" s="2141"/>
      <c r="W19" s="259"/>
    </row>
    <row r="20" spans="1:23" ht="12.75">
      <c r="A20" s="1072">
        <v>51099</v>
      </c>
      <c r="B20" s="1073" t="s">
        <v>154</v>
      </c>
      <c r="C20" s="304">
        <f t="shared" ref="C20:J20" si="3">SUM(C13:C19)</f>
        <v>182909.64499999996</v>
      </c>
      <c r="D20" s="304">
        <f t="shared" si="3"/>
        <v>102329.26999999999</v>
      </c>
      <c r="E20" s="304">
        <f t="shared" si="3"/>
        <v>25738.143</v>
      </c>
      <c r="F20" s="304">
        <f t="shared" si="3"/>
        <v>7278.8159999999998</v>
      </c>
      <c r="G20" s="304">
        <f t="shared" si="3"/>
        <v>4985.5200000000013</v>
      </c>
      <c r="H20" s="304">
        <f t="shared" si="3"/>
        <v>12571.096</v>
      </c>
      <c r="I20" s="304">
        <f t="shared" si="3"/>
        <v>571.84500000000003</v>
      </c>
      <c r="J20" s="304">
        <f t="shared" si="3"/>
        <v>16258.682999999999</v>
      </c>
      <c r="K20" s="1088"/>
      <c r="L20" s="1649"/>
      <c r="M20" s="1089"/>
      <c r="N20" s="1089"/>
      <c r="O20" s="2421"/>
      <c r="P20" s="2141"/>
      <c r="Q20" s="2433"/>
      <c r="R20" s="2451"/>
      <c r="S20" s="2141"/>
      <c r="T20" s="2141"/>
      <c r="U20" s="2141"/>
      <c r="V20" s="2141"/>
      <c r="W20" s="259"/>
    </row>
    <row r="21" spans="1:23" ht="13.5" thickBot="1">
      <c r="A21" s="1074"/>
      <c r="B21" s="1575"/>
      <c r="C21" s="305"/>
      <c r="D21" s="305"/>
      <c r="E21" s="305"/>
      <c r="F21" s="305"/>
      <c r="G21" s="305"/>
      <c r="H21" s="305"/>
      <c r="I21" s="305"/>
      <c r="J21" s="305"/>
      <c r="K21" s="1090"/>
      <c r="L21" s="1657"/>
      <c r="M21" s="1091"/>
      <c r="N21" s="1091"/>
      <c r="O21" s="2422"/>
      <c r="P21" s="2141"/>
      <c r="Q21" s="2435"/>
      <c r="R21" s="2452"/>
      <c r="S21" s="2141"/>
      <c r="T21" s="2141"/>
      <c r="U21" s="2141"/>
      <c r="V21" s="2141"/>
      <c r="W21" s="259"/>
    </row>
    <row r="22" spans="1:23" ht="22.5" customHeight="1">
      <c r="A22" s="1075">
        <v>520</v>
      </c>
      <c r="B22" s="1076" t="s">
        <v>109</v>
      </c>
      <c r="C22" s="312">
        <f>Drift!P74</f>
        <v>18886.879000000001</v>
      </c>
      <c r="D22" s="311">
        <f>SUM(Drift!C74:D74)</f>
        <v>9757.9969999999994</v>
      </c>
      <c r="E22" s="312">
        <f>Drift!F74</f>
        <v>3927.0239999999999</v>
      </c>
      <c r="F22" s="312">
        <f>Drift!R74</f>
        <v>387.64699999999999</v>
      </c>
      <c r="G22" s="312"/>
      <c r="H22" s="312">
        <f>Drift!T74</f>
        <v>1021.981</v>
      </c>
      <c r="I22" s="312">
        <f>Motpart!Y30+Motpart!Z30</f>
        <v>46.639000000000003</v>
      </c>
      <c r="J22" s="312">
        <f>Drift!V74</f>
        <v>1270.674</v>
      </c>
      <c r="K22" s="1092">
        <f t="shared" ref="K22:K29" si="4">C22-I22-J22</f>
        <v>17569.566000000003</v>
      </c>
      <c r="L22" s="1092">
        <f t="shared" ref="L22:L29" si="5">C22-SUM(F22:H22,J22)</f>
        <v>16206.577000000001</v>
      </c>
      <c r="M22" s="1093">
        <f>IF(C22&gt;0,K22*1000000/Q22,"")</f>
        <v>2096.3012314910648</v>
      </c>
      <c r="N22" s="1093">
        <v>2064.8119999999999</v>
      </c>
      <c r="O22" s="2423"/>
      <c r="P22" s="2141"/>
      <c r="Q22" s="2436">
        <v>8381222</v>
      </c>
      <c r="R22" s="2453" t="s">
        <v>986</v>
      </c>
      <c r="S22" s="2141"/>
      <c r="T22" s="2141"/>
      <c r="U22" s="2141"/>
      <c r="V22" s="2141"/>
      <c r="W22" s="259"/>
    </row>
    <row r="23" spans="1:23" ht="12.75">
      <c r="A23" s="1069">
        <v>5201</v>
      </c>
      <c r="B23" s="1070" t="s">
        <v>435</v>
      </c>
      <c r="C23" s="128">
        <v>4360.1580000000004</v>
      </c>
      <c r="D23" s="128">
        <v>2461.451</v>
      </c>
      <c r="E23" s="128">
        <v>685.13699999999994</v>
      </c>
      <c r="F23" s="128">
        <v>199.197</v>
      </c>
      <c r="G23" s="2046"/>
      <c r="H23" s="128">
        <v>206.221</v>
      </c>
      <c r="I23" s="128">
        <v>7.1959999999999997</v>
      </c>
      <c r="J23" s="128">
        <v>348.07400000000001</v>
      </c>
      <c r="K23" s="1094">
        <f t="shared" si="4"/>
        <v>4004.8880000000004</v>
      </c>
      <c r="L23" s="1641">
        <f t="shared" si="5"/>
        <v>3606.6660000000002</v>
      </c>
      <c r="M23" s="1086">
        <f>IF(C23&gt;0,K23*1000000/Q22,"")</f>
        <v>477.84058219672505</v>
      </c>
      <c r="N23" s="1086">
        <v>541.46699999999998</v>
      </c>
      <c r="O23" s="2419">
        <f t="shared" ref="O23:O28" si="6">IF(ISERROR((M23-N23)/N23),"",((M23-N23)/N23))</f>
        <v>-0.11750747100612767</v>
      </c>
      <c r="P23" s="2141"/>
      <c r="Q23" s="2432"/>
      <c r="R23" s="2454"/>
      <c r="S23" s="2141"/>
      <c r="T23" s="2141"/>
      <c r="U23" s="2141"/>
      <c r="V23" s="2141"/>
      <c r="W23" s="259"/>
    </row>
    <row r="24" spans="1:23" ht="12.75">
      <c r="A24" s="1069">
        <v>5202</v>
      </c>
      <c r="B24" s="1070" t="s">
        <v>436</v>
      </c>
      <c r="C24" s="265">
        <v>3422.413</v>
      </c>
      <c r="D24" s="128">
        <v>2370.3879999999999</v>
      </c>
      <c r="E24" s="128">
        <v>281.517</v>
      </c>
      <c r="F24" s="128">
        <v>26.576000000000001</v>
      </c>
      <c r="G24" s="2046"/>
      <c r="H24" s="128">
        <v>97.68</v>
      </c>
      <c r="I24" s="128">
        <v>1.905</v>
      </c>
      <c r="J24" s="128">
        <v>258.75</v>
      </c>
      <c r="K24" s="1094">
        <f t="shared" si="4"/>
        <v>3161.7579999999998</v>
      </c>
      <c r="L24" s="1641">
        <f t="shared" si="5"/>
        <v>3039.4070000000002</v>
      </c>
      <c r="M24" s="1086">
        <f>IF(C24&gt;0,K24*1000000/Q22,"")</f>
        <v>377.24307982773871</v>
      </c>
      <c r="N24" s="1086">
        <v>339.358</v>
      </c>
      <c r="O24" s="2419">
        <f t="shared" si="6"/>
        <v>0.11163750324948493</v>
      </c>
      <c r="P24" s="2141"/>
      <c r="Q24" s="2437"/>
      <c r="R24" s="2645"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4" s="2141"/>
      <c r="T24" s="2141"/>
      <c r="U24" s="2141"/>
      <c r="V24" s="2141"/>
      <c r="W24" s="259"/>
    </row>
    <row r="25" spans="1:23" ht="12.75">
      <c r="A25" s="1069">
        <v>5203</v>
      </c>
      <c r="B25" s="1070" t="s">
        <v>722</v>
      </c>
      <c r="C25" s="265">
        <v>940.09199999999998</v>
      </c>
      <c r="D25" s="128">
        <v>355.31599999999997</v>
      </c>
      <c r="E25" s="128">
        <v>340.49299999999999</v>
      </c>
      <c r="F25" s="128">
        <v>15.13</v>
      </c>
      <c r="G25" s="128"/>
      <c r="H25" s="128">
        <v>46.545999999999999</v>
      </c>
      <c r="I25" s="128">
        <v>1.444</v>
      </c>
      <c r="J25" s="265">
        <v>36.341999999999999</v>
      </c>
      <c r="K25" s="1094">
        <f>C25-I25-J25</f>
        <v>902.30600000000004</v>
      </c>
      <c r="L25" s="1641">
        <f t="shared" si="5"/>
        <v>842.07399999999996</v>
      </c>
      <c r="M25" s="1086">
        <f>IF(C25&gt;0,K25*1000000/Q22,"")</f>
        <v>107.65804795529816</v>
      </c>
      <c r="N25" s="1086">
        <v>100.94199999999999</v>
      </c>
      <c r="O25" s="2419">
        <f t="shared" si="6"/>
        <v>6.653373179943102E-2</v>
      </c>
      <c r="P25" s="2141"/>
      <c r="Q25" s="2438"/>
      <c r="R25" s="2646"/>
      <c r="S25" s="2141"/>
      <c r="T25" s="2141"/>
      <c r="U25" s="2141"/>
      <c r="V25" s="2141"/>
      <c r="W25" s="259"/>
    </row>
    <row r="26" spans="1:23" ht="12.75">
      <c r="A26" s="1819">
        <v>5204</v>
      </c>
      <c r="B26" s="1070" t="s">
        <v>965</v>
      </c>
      <c r="C26" s="265">
        <v>617.76300000000003</v>
      </c>
      <c r="D26" s="128">
        <v>374.09500000000003</v>
      </c>
      <c r="E26" s="128">
        <v>44.027000000000001</v>
      </c>
      <c r="F26" s="128">
        <v>1.5529999999999999</v>
      </c>
      <c r="G26" s="2046"/>
      <c r="H26" s="128">
        <v>43.968000000000004</v>
      </c>
      <c r="I26" s="128">
        <v>4.2469999999999999</v>
      </c>
      <c r="J26" s="128">
        <v>51.790999999999997</v>
      </c>
      <c r="K26" s="1094">
        <f t="shared" si="4"/>
        <v>561.72500000000014</v>
      </c>
      <c r="L26" s="1641">
        <f t="shared" si="5"/>
        <v>520.45100000000002</v>
      </c>
      <c r="M26" s="1086">
        <f>IF(C26&gt;0,K26*1000000/Q22,"")</f>
        <v>67.021849558453425</v>
      </c>
      <c r="N26" s="1086">
        <v>65.239999999999995</v>
      </c>
      <c r="O26" s="2419">
        <f t="shared" si="6"/>
        <v>2.7312224991622173E-2</v>
      </c>
      <c r="P26" s="2141"/>
      <c r="Q26" s="2438"/>
      <c r="R26" s="2646"/>
      <c r="S26" s="2141"/>
      <c r="T26" s="2141"/>
      <c r="U26" s="2141"/>
      <c r="V26" s="2141"/>
      <c r="W26" s="259"/>
    </row>
    <row r="27" spans="1:23" ht="12.75">
      <c r="A27" s="1069">
        <v>5205</v>
      </c>
      <c r="B27" s="1070" t="s">
        <v>467</v>
      </c>
      <c r="C27" s="265">
        <v>7466.1149999999998</v>
      </c>
      <c r="D27" s="128">
        <v>3329.962</v>
      </c>
      <c r="E27" s="128">
        <v>2352.904</v>
      </c>
      <c r="F27" s="128">
        <v>139.44200000000001</v>
      </c>
      <c r="G27" s="128">
        <v>309.67899999999997</v>
      </c>
      <c r="H27" s="128">
        <v>387.88499999999999</v>
      </c>
      <c r="I27" s="128">
        <v>10.127000000000001</v>
      </c>
      <c r="J27" s="128">
        <v>459.37400000000002</v>
      </c>
      <c r="K27" s="1094">
        <f t="shared" si="4"/>
        <v>6996.6139999999996</v>
      </c>
      <c r="L27" s="1641">
        <f t="shared" si="5"/>
        <v>6169.7349999999997</v>
      </c>
      <c r="M27" s="1086">
        <f>IF(C27&gt;0,K27*1000000/Q22,"")</f>
        <v>834.79640558381584</v>
      </c>
      <c r="N27" s="1086">
        <v>795.57799999999997</v>
      </c>
      <c r="O27" s="2419">
        <f t="shared" si="6"/>
        <v>4.9295487788520879E-2</v>
      </c>
      <c r="P27" s="2141"/>
      <c r="Q27" s="2438"/>
      <c r="R27" s="2646"/>
      <c r="S27" s="2141"/>
      <c r="T27" s="2141"/>
      <c r="U27" s="2141"/>
      <c r="V27" s="2141"/>
      <c r="W27" s="259"/>
    </row>
    <row r="28" spans="1:23" ht="12.75">
      <c r="A28" s="1069">
        <v>5206</v>
      </c>
      <c r="B28" s="1070" t="s">
        <v>100</v>
      </c>
      <c r="C28" s="265">
        <v>868.34100000000001</v>
      </c>
      <c r="D28" s="128">
        <v>453.83199999999999</v>
      </c>
      <c r="E28" s="128">
        <v>40.381999999999998</v>
      </c>
      <c r="F28" s="128">
        <v>2.6549999999999998</v>
      </c>
      <c r="G28" s="128">
        <v>4.5629999999999997</v>
      </c>
      <c r="H28" s="128">
        <v>126.518</v>
      </c>
      <c r="I28" s="128">
        <v>4.5460000000000003</v>
      </c>
      <c r="J28" s="128">
        <v>71.522000000000006</v>
      </c>
      <c r="K28" s="1095">
        <f t="shared" si="4"/>
        <v>792.27299999999991</v>
      </c>
      <c r="L28" s="1641">
        <f t="shared" si="5"/>
        <v>663.08300000000008</v>
      </c>
      <c r="M28" s="1085">
        <f>IF(C28&gt;0,K28*1000000/Q22,"")</f>
        <v>94.529532805598024</v>
      </c>
      <c r="N28" s="1085">
        <v>92.465999999999994</v>
      </c>
      <c r="O28" s="2419">
        <f t="shared" si="6"/>
        <v>2.2316665645729563E-2</v>
      </c>
      <c r="P28" s="2141"/>
      <c r="Q28" s="2438"/>
      <c r="R28" s="2646"/>
      <c r="S28" s="2141"/>
      <c r="T28" s="2141"/>
      <c r="U28" s="2141"/>
      <c r="V28" s="2141"/>
      <c r="W28" s="259"/>
    </row>
    <row r="29" spans="1:23" ht="12.75">
      <c r="A29" s="1069">
        <v>5209</v>
      </c>
      <c r="B29" s="1070" t="s">
        <v>357</v>
      </c>
      <c r="C29" s="265">
        <v>1211.9960000000001</v>
      </c>
      <c r="D29" s="128">
        <v>412.95600000000002</v>
      </c>
      <c r="E29" s="128">
        <v>182.565</v>
      </c>
      <c r="F29" s="128">
        <v>3.0950000000000002</v>
      </c>
      <c r="G29" s="128">
        <v>42.421999999999997</v>
      </c>
      <c r="H29" s="128">
        <v>113.163</v>
      </c>
      <c r="I29" s="128">
        <v>17.172999999999998</v>
      </c>
      <c r="J29" s="128">
        <v>44.822000000000003</v>
      </c>
      <c r="K29" s="1094">
        <f t="shared" si="4"/>
        <v>1150.0010000000002</v>
      </c>
      <c r="L29" s="1641">
        <f t="shared" si="5"/>
        <v>1008.4940000000001</v>
      </c>
      <c r="M29" s="1088"/>
      <c r="N29" s="1087"/>
      <c r="O29" s="2420"/>
      <c r="P29" s="2141"/>
      <c r="Q29" s="2438"/>
      <c r="R29" s="2646"/>
      <c r="S29" s="2141"/>
      <c r="T29" s="2141"/>
      <c r="U29" s="2141"/>
      <c r="V29" s="2141"/>
      <c r="W29" s="259"/>
    </row>
    <row r="30" spans="1:23" ht="21.75" customHeight="1">
      <c r="A30" s="1072">
        <v>52099</v>
      </c>
      <c r="B30" s="1077" t="s">
        <v>596</v>
      </c>
      <c r="C30" s="2045">
        <f>SUM(C23:C29)</f>
        <v>18886.878000000001</v>
      </c>
      <c r="D30" s="2045">
        <f t="shared" ref="D30:J30" si="7">SUM(D23:D29)</f>
        <v>9758</v>
      </c>
      <c r="E30" s="2045">
        <f t="shared" si="7"/>
        <v>3927.0250000000001</v>
      </c>
      <c r="F30" s="2045">
        <f t="shared" si="7"/>
        <v>387.64800000000002</v>
      </c>
      <c r="G30" s="2045">
        <f t="shared" si="7"/>
        <v>356.66399999999999</v>
      </c>
      <c r="H30" s="2045">
        <f t="shared" si="7"/>
        <v>1021.981</v>
      </c>
      <c r="I30" s="2045">
        <f t="shared" si="7"/>
        <v>46.637999999999991</v>
      </c>
      <c r="J30" s="2045">
        <f t="shared" si="7"/>
        <v>1270.6750000000002</v>
      </c>
      <c r="K30" s="1088"/>
      <c r="L30" s="1649"/>
      <c r="M30" s="1089"/>
      <c r="N30" s="1089"/>
      <c r="O30" s="2421"/>
      <c r="P30" s="2141"/>
      <c r="Q30" s="2432"/>
      <c r="R30" s="2646"/>
      <c r="S30" s="2141"/>
      <c r="T30" s="2141"/>
      <c r="U30" s="2141"/>
      <c r="V30" s="2141"/>
      <c r="W30" s="259"/>
    </row>
    <row r="31" spans="1:23" ht="13.5" thickBot="1">
      <c r="A31" s="1078"/>
      <c r="B31" s="1575"/>
      <c r="C31" s="303"/>
      <c r="D31" s="303"/>
      <c r="E31" s="303"/>
      <c r="F31" s="303"/>
      <c r="G31" s="303"/>
      <c r="H31" s="303"/>
      <c r="I31" s="303"/>
      <c r="J31" s="303"/>
      <c r="K31" s="1090"/>
      <c r="L31" s="1657"/>
      <c r="M31" s="1091"/>
      <c r="N31" s="1091"/>
      <c r="O31" s="2422"/>
      <c r="P31" s="2141"/>
      <c r="Q31" s="2435"/>
      <c r="R31" s="2452"/>
      <c r="S31" s="2141"/>
      <c r="T31" s="2141"/>
      <c r="U31" s="2141"/>
      <c r="V31" s="2141"/>
      <c r="W31" s="259"/>
    </row>
    <row r="32" spans="1:23" ht="12.75">
      <c r="A32" s="1079">
        <v>513</v>
      </c>
      <c r="B32" s="1080" t="s">
        <v>597</v>
      </c>
      <c r="C32" s="311">
        <f>Drift!P75</f>
        <v>86047.443999999989</v>
      </c>
      <c r="D32" s="311">
        <f>SUM(Drift!C75:D75)</f>
        <v>46798.597000000002</v>
      </c>
      <c r="E32" s="311">
        <f>Drift!F75</f>
        <v>16201.638999999999</v>
      </c>
      <c r="F32" s="311">
        <f>Drift!R75</f>
        <v>159.29499999999999</v>
      </c>
      <c r="G32" s="311">
        <f>Drift!S75</f>
        <v>1607.9739999999999</v>
      </c>
      <c r="H32" s="312">
        <f>Drift!T75</f>
        <v>7841.19</v>
      </c>
      <c r="I32" s="2457">
        <f>Motpart!Y31+Motpart!Z31</f>
        <v>260.25700000000001</v>
      </c>
      <c r="J32" s="311">
        <f>Drift!V75</f>
        <v>5179.4390000000003</v>
      </c>
      <c r="K32" s="1096">
        <f>C32-I32-J32-G42-G44</f>
        <v>75599.231999999989</v>
      </c>
      <c r="L32" s="1656">
        <f t="shared" ref="L32:L37" si="8">C32-SUM(F32:H32,J32)</f>
        <v>71259.545999999988</v>
      </c>
      <c r="M32" s="1770">
        <f>IF(C32&gt;0,K32*1000000/Q32,"")</f>
        <v>7140.2817039756455</v>
      </c>
      <c r="N32" s="1770">
        <v>6770.6090000000004</v>
      </c>
      <c r="O32" s="2419">
        <f>IF(ISERROR((M32-N32)/N32),"",((M32-N32)/N32))</f>
        <v>5.4599623752552416E-2</v>
      </c>
      <c r="P32" s="2141"/>
      <c r="Q32" s="2439">
        <v>10587710</v>
      </c>
      <c r="R32" s="2453" t="s">
        <v>503</v>
      </c>
      <c r="S32" s="2141"/>
      <c r="T32" s="2141"/>
      <c r="U32" s="2141"/>
      <c r="V32" s="2141"/>
      <c r="W32" s="259"/>
    </row>
    <row r="33" spans="1:23" ht="12.75">
      <c r="A33" s="1081">
        <v>5131</v>
      </c>
      <c r="B33" s="1082" t="s">
        <v>189</v>
      </c>
      <c r="C33" s="265">
        <v>44526.161</v>
      </c>
      <c r="D33" s="128">
        <v>26480.629000000001</v>
      </c>
      <c r="E33" s="128">
        <v>7574.2439999999997</v>
      </c>
      <c r="F33" s="128">
        <v>83.603999999999999</v>
      </c>
      <c r="G33" s="128">
        <v>1566.9590000000001</v>
      </c>
      <c r="H33" s="128">
        <v>1324.748</v>
      </c>
      <c r="I33" s="128">
        <v>52.015000000000001</v>
      </c>
      <c r="J33" s="128">
        <v>3018.1909999999998</v>
      </c>
      <c r="K33" s="1094">
        <f>C33-I33-J33</f>
        <v>41455.955000000002</v>
      </c>
      <c r="L33" s="1649">
        <f t="shared" si="8"/>
        <v>38532.659</v>
      </c>
      <c r="M33" s="1086">
        <f>IF(C33&gt;0,K33*1000000/Q33,"")</f>
        <v>5296.8025707203642</v>
      </c>
      <c r="N33" s="1086">
        <v>4985.4920000000002</v>
      </c>
      <c r="O33" s="2419">
        <f>IF(ISERROR((M33-N33)/N33),"",((M33-N33)/N33))</f>
        <v>6.244329962225674E-2</v>
      </c>
      <c r="P33" s="2141"/>
      <c r="Q33" s="2440">
        <v>7826600</v>
      </c>
      <c r="R33" s="2455" t="s">
        <v>987</v>
      </c>
      <c r="S33" s="2141"/>
      <c r="T33" s="2141"/>
      <c r="U33" s="2141"/>
      <c r="V33" s="2141"/>
      <c r="W33" s="259"/>
    </row>
    <row r="34" spans="1:23" ht="12.75">
      <c r="A34" s="1081">
        <v>5132</v>
      </c>
      <c r="B34" s="1083" t="s">
        <v>520</v>
      </c>
      <c r="C34" s="265">
        <v>2769.453</v>
      </c>
      <c r="D34" s="128">
        <v>861.13300000000004</v>
      </c>
      <c r="E34" s="128">
        <v>1422.729</v>
      </c>
      <c r="F34" s="128">
        <v>11.612</v>
      </c>
      <c r="G34" s="128">
        <v>8.6880000000000006</v>
      </c>
      <c r="H34" s="128">
        <v>177.684</v>
      </c>
      <c r="I34" s="128">
        <v>73.430000000000007</v>
      </c>
      <c r="J34" s="265">
        <v>141.29599999999999</v>
      </c>
      <c r="K34" s="1094">
        <f>C34-I34-J34</f>
        <v>2554.7270000000003</v>
      </c>
      <c r="L34" s="1649">
        <f t="shared" si="8"/>
        <v>2430.1729999999998</v>
      </c>
      <c r="M34" s="1086">
        <f>IF(C34&gt;0,K34*1000000/Q34,"")</f>
        <v>925.25361177207731</v>
      </c>
      <c r="N34" s="1086">
        <v>879.56799999999998</v>
      </c>
      <c r="O34" s="2419">
        <f>IF(ISERROR((M34-N34)/N34),"",((M34-N34)/N34))</f>
        <v>5.1940966215320843E-2</v>
      </c>
      <c r="P34" s="2141"/>
      <c r="Q34" s="2440">
        <v>2761110</v>
      </c>
      <c r="R34" s="2456" t="s">
        <v>988</v>
      </c>
      <c r="S34" s="2141"/>
      <c r="T34" s="2141"/>
      <c r="U34" s="2141"/>
      <c r="V34" s="2141"/>
      <c r="W34" s="259"/>
    </row>
    <row r="35" spans="1:23" ht="12.75">
      <c r="A35" s="1081">
        <v>5133</v>
      </c>
      <c r="B35" s="1082" t="s">
        <v>598</v>
      </c>
      <c r="C35" s="265">
        <v>19152.793000000001</v>
      </c>
      <c r="D35" s="128">
        <v>8721.6370000000006</v>
      </c>
      <c r="E35" s="128">
        <v>4311.7659999999996</v>
      </c>
      <c r="F35" s="128">
        <v>9.8610000000000007</v>
      </c>
      <c r="G35" s="128">
        <v>17.655000000000001</v>
      </c>
      <c r="H35" s="128">
        <v>5324.8069999999998</v>
      </c>
      <c r="I35" s="128">
        <v>21.501999999999999</v>
      </c>
      <c r="J35" s="128">
        <v>304.44799999999998</v>
      </c>
      <c r="K35" s="1094">
        <f>C35-I35-J35</f>
        <v>18826.843000000001</v>
      </c>
      <c r="L35" s="1649">
        <f t="shared" si="8"/>
        <v>13496.022000000001</v>
      </c>
      <c r="M35" s="1086">
        <f>IF(C35&gt;0,K35*1000000/Q35,"")</f>
        <v>1778.178945211004</v>
      </c>
      <c r="N35" s="1086">
        <v>1744.0509999999999</v>
      </c>
      <c r="O35" s="2419">
        <f>IF(ISERROR((M35-N35)/N35),"",((M35-N35)/N35))</f>
        <v>1.9568203688426596E-2</v>
      </c>
      <c r="P35" s="2141"/>
      <c r="Q35" s="2440">
        <v>10587710</v>
      </c>
      <c r="R35" s="2456" t="s">
        <v>503</v>
      </c>
      <c r="S35" s="2141"/>
      <c r="T35" s="2141"/>
      <c r="U35" s="2141"/>
      <c r="V35" s="2141"/>
      <c r="W35" s="259"/>
    </row>
    <row r="36" spans="1:23" ht="12.75">
      <c r="A36" s="1081">
        <v>5135</v>
      </c>
      <c r="B36" s="1070" t="s">
        <v>155</v>
      </c>
      <c r="C36" s="265">
        <v>12913.455</v>
      </c>
      <c r="D36" s="128">
        <v>6514.4229999999998</v>
      </c>
      <c r="E36" s="128">
        <v>2233.98</v>
      </c>
      <c r="F36" s="128">
        <v>30.736999999999998</v>
      </c>
      <c r="G36" s="128">
        <v>7.4729999999999999</v>
      </c>
      <c r="H36" s="128">
        <v>776.20100000000002</v>
      </c>
      <c r="I36" s="128">
        <v>33.213000000000001</v>
      </c>
      <c r="J36" s="128">
        <v>1212.0550000000001</v>
      </c>
      <c r="K36" s="1094">
        <f>C36-I36-J36</f>
        <v>11668.187</v>
      </c>
      <c r="L36" s="1649">
        <f t="shared" si="8"/>
        <v>10886.989</v>
      </c>
      <c r="M36" s="1086">
        <f>IF(C36&gt;0,K36*1000000/Q36,"")</f>
        <v>2076.1484824501717</v>
      </c>
      <c r="N36" s="1086">
        <v>1965.473</v>
      </c>
      <c r="O36" s="2419">
        <f>IF(ISERROR((M36-N36)/N36),"",((M36-N36)/N36))</f>
        <v>5.6309846255925056E-2</v>
      </c>
      <c r="P36" s="2141"/>
      <c r="Q36" s="2440">
        <v>5620112</v>
      </c>
      <c r="R36" s="2456" t="s">
        <v>989</v>
      </c>
      <c r="S36" s="2141"/>
      <c r="T36" s="2141"/>
      <c r="U36" s="2141"/>
      <c r="V36" s="2141"/>
      <c r="W36" s="259"/>
    </row>
    <row r="37" spans="1:23" ht="12.75">
      <c r="A37" s="1081">
        <v>5139</v>
      </c>
      <c r="B37" s="1070" t="s">
        <v>156</v>
      </c>
      <c r="C37" s="265">
        <v>6685.5820000000003</v>
      </c>
      <c r="D37" s="128">
        <v>4220.7749999999996</v>
      </c>
      <c r="E37" s="128">
        <v>658.92100000000005</v>
      </c>
      <c r="F37" s="128">
        <v>23.481000000000002</v>
      </c>
      <c r="G37" s="128">
        <v>7.1970000000000001</v>
      </c>
      <c r="H37" s="128">
        <v>237.74799999999999</v>
      </c>
      <c r="I37" s="128">
        <v>80.096999999999994</v>
      </c>
      <c r="J37" s="128">
        <v>503.45</v>
      </c>
      <c r="K37" s="1094">
        <f>C37-I37-J37</f>
        <v>6102.0350000000008</v>
      </c>
      <c r="L37" s="1649">
        <f t="shared" si="8"/>
        <v>5913.7060000000001</v>
      </c>
      <c r="M37" s="1088"/>
      <c r="N37" s="1087"/>
      <c r="O37" s="2420"/>
      <c r="P37" s="2141"/>
      <c r="Q37" s="2437"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7" s="2647"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7" s="2141"/>
      <c r="T37" s="2141"/>
      <c r="U37" s="2141"/>
      <c r="V37" s="2141"/>
      <c r="W37" s="259"/>
    </row>
    <row r="38" spans="1:23" ht="17.25" customHeight="1">
      <c r="A38" s="1072">
        <v>51399</v>
      </c>
      <c r="B38" s="1073" t="s">
        <v>599</v>
      </c>
      <c r="C38" s="2045">
        <f>SUM(C33:C37)</f>
        <v>86047.444000000003</v>
      </c>
      <c r="D38" s="2045">
        <f t="shared" ref="D38:J38" si="9">SUM(D33:D37)</f>
        <v>46798.597000000009</v>
      </c>
      <c r="E38" s="2045">
        <f t="shared" si="9"/>
        <v>16201.64</v>
      </c>
      <c r="F38" s="2045">
        <f t="shared" si="9"/>
        <v>159.29499999999999</v>
      </c>
      <c r="G38" s="2045">
        <f t="shared" si="9"/>
        <v>1607.972</v>
      </c>
      <c r="H38" s="2045">
        <f t="shared" si="9"/>
        <v>7841.1879999999992</v>
      </c>
      <c r="I38" s="2045">
        <f t="shared" si="9"/>
        <v>260.25700000000001</v>
      </c>
      <c r="J38" s="2045">
        <f t="shared" si="9"/>
        <v>5179.4399999999996</v>
      </c>
      <c r="K38" s="1088"/>
      <c r="L38" s="1089"/>
      <c r="M38" s="1089"/>
      <c r="N38" s="1089"/>
      <c r="O38" s="2421"/>
      <c r="P38" s="2141"/>
      <c r="Q38" s="2441"/>
      <c r="R38" s="2648"/>
      <c r="S38" s="2141"/>
      <c r="T38" s="2141"/>
      <c r="U38" s="2141"/>
      <c r="V38" s="2141"/>
      <c r="W38" s="259"/>
    </row>
    <row r="39" spans="1:23" ht="13.5" thickBot="1">
      <c r="A39" s="1074"/>
      <c r="B39" s="1575"/>
      <c r="C39" s="303"/>
      <c r="D39" s="303"/>
      <c r="E39" s="303"/>
      <c r="F39" s="303"/>
      <c r="G39" s="303"/>
      <c r="H39" s="303"/>
      <c r="I39" s="306"/>
      <c r="J39" s="303"/>
      <c r="K39" s="1090"/>
      <c r="L39" s="1642"/>
      <c r="M39" s="1091"/>
      <c r="N39" s="1091"/>
      <c r="O39" s="2422"/>
      <c r="P39" s="2424"/>
      <c r="Q39" s="2442"/>
      <c r="R39" s="2649"/>
      <c r="S39" s="260"/>
      <c r="T39" s="259"/>
      <c r="U39" s="259"/>
      <c r="V39" s="259"/>
      <c r="W39" s="259"/>
    </row>
    <row r="40" spans="1:23" ht="12.75">
      <c r="A40" s="261"/>
      <c r="B40" s="288" t="s">
        <v>601</v>
      </c>
      <c r="C40" s="288"/>
      <c r="D40" s="288"/>
      <c r="E40" s="288"/>
      <c r="F40" s="288"/>
      <c r="G40" s="288"/>
      <c r="H40" s="288"/>
      <c r="I40" s="288"/>
      <c r="J40" s="1693"/>
      <c r="K40" s="1693"/>
      <c r="L40" s="1693"/>
      <c r="M40" s="1693"/>
      <c r="N40" s="1693"/>
      <c r="O40" s="310"/>
      <c r="P40" s="1731"/>
      <c r="Q40" s="1688"/>
      <c r="R40" s="260"/>
      <c r="S40" s="259"/>
      <c r="T40" s="259"/>
      <c r="U40" s="259"/>
      <c r="V40" s="259"/>
    </row>
    <row r="41" spans="1:23" ht="12.75">
      <c r="B41" s="288" t="s">
        <v>600</v>
      </c>
      <c r="C41" s="289"/>
      <c r="D41" s="289"/>
      <c r="E41" s="289"/>
      <c r="F41" s="289"/>
      <c r="G41" s="290"/>
      <c r="H41" s="290"/>
      <c r="I41" s="290"/>
      <c r="J41" s="290"/>
      <c r="K41" s="261"/>
      <c r="L41" s="261"/>
      <c r="M41" s="261"/>
      <c r="N41" s="261"/>
    </row>
    <row r="42" spans="1:23" ht="12.75">
      <c r="B42" s="1097" t="s">
        <v>160</v>
      </c>
      <c r="C42" s="1098"/>
      <c r="D42" s="1098"/>
      <c r="E42" s="1099"/>
      <c r="F42" s="1100"/>
      <c r="G42" s="129">
        <f>'Verks int o kostn'!D21</f>
        <v>5005.4880000000003</v>
      </c>
      <c r="H42" s="1850"/>
      <c r="I42" s="261"/>
      <c r="J42" s="261"/>
      <c r="K42" s="261"/>
      <c r="L42" s="261"/>
      <c r="M42" s="261"/>
      <c r="N42" s="261"/>
    </row>
    <row r="43" spans="1:23" ht="12.75">
      <c r="B43" s="1097" t="s">
        <v>161</v>
      </c>
      <c r="C43" s="1098"/>
      <c r="D43" s="1098"/>
      <c r="E43" s="1099"/>
      <c r="F43" s="1100"/>
      <c r="G43" s="129">
        <f>'Verks int o kostn'!I41</f>
        <v>4596.5010000000002</v>
      </c>
      <c r="H43" s="1850" t="str">
        <f>IF(C32=0,"",IF(AND(G43&lt;&gt;0,G43&lt;100),"Lågt belopp",IF(G43&gt;C35,"Ersättningen till FK ska ovan ingå på rad 5133, kol C","")))</f>
        <v/>
      </c>
      <c r="I43" s="261"/>
      <c r="J43" s="261"/>
      <c r="K43" s="261"/>
      <c r="L43" s="261"/>
      <c r="M43" s="261"/>
      <c r="N43" s="261"/>
    </row>
    <row r="44" spans="1:23" ht="12.75">
      <c r="A44" s="401">
        <v>51398</v>
      </c>
      <c r="B44" s="1101" t="s">
        <v>186</v>
      </c>
      <c r="C44" s="1098"/>
      <c r="D44" s="1098"/>
      <c r="E44" s="1099"/>
      <c r="F44" s="1100"/>
      <c r="G44" s="128">
        <v>3.028</v>
      </c>
      <c r="H44" s="302"/>
      <c r="I44" s="261"/>
      <c r="J44" s="261"/>
      <c r="K44" s="261"/>
      <c r="L44" s="261"/>
      <c r="M44" s="261"/>
      <c r="N44" s="261"/>
    </row>
    <row r="45" spans="1:23" ht="13.5" thickBot="1">
      <c r="E45" s="396" t="s">
        <v>696</v>
      </c>
      <c r="F45" s="396" t="s">
        <v>697</v>
      </c>
      <c r="G45" s="396" t="s">
        <v>698</v>
      </c>
      <c r="H45" s="396" t="s">
        <v>699</v>
      </c>
      <c r="I45" s="396" t="s">
        <v>700</v>
      </c>
      <c r="J45" s="396" t="s">
        <v>701</v>
      </c>
      <c r="K45" s="396" t="s">
        <v>702</v>
      </c>
      <c r="L45" s="396" t="s">
        <v>703</v>
      </c>
      <c r="M45" s="396" t="s">
        <v>704</v>
      </c>
      <c r="R45" s="2141"/>
      <c r="S45" s="2141"/>
      <c r="T45" s="2141"/>
      <c r="U45" s="2141"/>
      <c r="V45" s="2141"/>
    </row>
    <row r="46" spans="1:23" ht="14.25" customHeight="1">
      <c r="A46" s="2651" t="s">
        <v>775</v>
      </c>
      <c r="B46" s="2652"/>
      <c r="C46" s="1217" t="s">
        <v>758</v>
      </c>
      <c r="D46" s="1102" t="s">
        <v>126</v>
      </c>
      <c r="E46" s="1047" t="s">
        <v>191</v>
      </c>
      <c r="F46" s="1047" t="s">
        <v>480</v>
      </c>
      <c r="G46" s="1047" t="s">
        <v>192</v>
      </c>
      <c r="H46" s="1047" t="s">
        <v>123</v>
      </c>
      <c r="I46" s="1102" t="s">
        <v>1011</v>
      </c>
      <c r="J46" s="1047" t="s">
        <v>125</v>
      </c>
      <c r="K46" s="2655" t="s">
        <v>785</v>
      </c>
      <c r="L46" s="1048" t="s">
        <v>124</v>
      </c>
      <c r="M46" s="2404" t="s">
        <v>148</v>
      </c>
      <c r="N46" s="2141"/>
      <c r="O46" s="2141"/>
      <c r="P46" s="2141"/>
      <c r="R46" s="2141"/>
      <c r="S46" s="2141"/>
      <c r="T46" s="2141"/>
      <c r="U46" s="2141"/>
      <c r="V46" s="2141"/>
    </row>
    <row r="47" spans="1:23" ht="12.75">
      <c r="A47" s="2653"/>
      <c r="B47" s="2654"/>
      <c r="C47" s="1273" t="s">
        <v>769</v>
      </c>
      <c r="D47" s="1050"/>
      <c r="E47" s="1103" t="s">
        <v>127</v>
      </c>
      <c r="F47" s="1103" t="s">
        <v>190</v>
      </c>
      <c r="G47" s="1103" t="s">
        <v>128</v>
      </c>
      <c r="H47" s="1103"/>
      <c r="I47" s="1627"/>
      <c r="J47" s="1103" t="s">
        <v>130</v>
      </c>
      <c r="K47" s="2656"/>
      <c r="L47" s="1062" t="s">
        <v>129</v>
      </c>
      <c r="M47" s="2405"/>
      <c r="N47" s="2141"/>
      <c r="O47" s="2141"/>
      <c r="P47" s="2141"/>
      <c r="R47" s="2141"/>
      <c r="S47" s="2141"/>
      <c r="T47" s="2141"/>
      <c r="U47" s="2141"/>
      <c r="V47" s="2141"/>
    </row>
    <row r="48" spans="1:23" ht="30" customHeight="1">
      <c r="A48" s="2653"/>
      <c r="B48" s="2654"/>
      <c r="C48" s="1471"/>
      <c r="D48" s="1218"/>
      <c r="E48" s="1472" t="s">
        <v>747</v>
      </c>
      <c r="F48" s="1458" t="s">
        <v>748</v>
      </c>
      <c r="G48" s="1458" t="s">
        <v>749</v>
      </c>
      <c r="H48" s="1458" t="s">
        <v>750</v>
      </c>
      <c r="I48" s="1458" t="s">
        <v>751</v>
      </c>
      <c r="J48" s="1458" t="s">
        <v>752</v>
      </c>
      <c r="K48" s="1458" t="s">
        <v>753</v>
      </c>
      <c r="L48" s="2397" t="s">
        <v>754</v>
      </c>
      <c r="M48" s="2406" t="s">
        <v>755</v>
      </c>
      <c r="N48" s="2141"/>
      <c r="O48" s="2141"/>
      <c r="P48" s="2141"/>
      <c r="R48" s="2141"/>
      <c r="S48" s="2141"/>
      <c r="T48" s="2141"/>
      <c r="U48" s="2141"/>
      <c r="V48" s="2141"/>
    </row>
    <row r="49" spans="1:22" ht="6.75" customHeight="1">
      <c r="A49" s="1406"/>
      <c r="B49" s="1407"/>
      <c r="C49" s="1473"/>
      <c r="D49" s="1474"/>
      <c r="E49" s="1475"/>
      <c r="F49" s="1475"/>
      <c r="G49" s="1475"/>
      <c r="H49" s="1475"/>
      <c r="I49" s="1476"/>
      <c r="J49" s="1475"/>
      <c r="K49" s="1476"/>
      <c r="L49" s="2398"/>
      <c r="M49" s="2405"/>
      <c r="N49" s="2141"/>
      <c r="O49" s="2141"/>
      <c r="P49" s="2141"/>
      <c r="R49" s="2141"/>
      <c r="S49" s="2141"/>
      <c r="T49" s="2141"/>
      <c r="U49" s="2141"/>
      <c r="V49" s="2141"/>
    </row>
    <row r="50" spans="1:22" ht="12" customHeight="1">
      <c r="A50" s="1104">
        <v>510</v>
      </c>
      <c r="B50" s="1105" t="s">
        <v>499</v>
      </c>
      <c r="C50" s="397">
        <f>E12</f>
        <v>25738.143</v>
      </c>
      <c r="D50" s="282"/>
      <c r="E50" s="397">
        <f>Motpart!D29</f>
        <v>2637.0239999999999</v>
      </c>
      <c r="F50" s="397">
        <f>Motpart!E29</f>
        <v>635.68899999999996</v>
      </c>
      <c r="G50" s="397">
        <f>Motpart!F29</f>
        <v>20893.920999999998</v>
      </c>
      <c r="H50" s="397">
        <f>Motpart!G29</f>
        <v>344.39</v>
      </c>
      <c r="I50" s="397">
        <f>Motpart!H29</f>
        <v>231.273</v>
      </c>
      <c r="J50" s="397">
        <f>Motpart!I29</f>
        <v>2.411</v>
      </c>
      <c r="K50" s="1788"/>
      <c r="L50" s="2399">
        <f>Motpart!K29</f>
        <v>993.38499999999999</v>
      </c>
      <c r="M50" s="2407">
        <f>Motpart!L29</f>
        <v>4.9000000000000002E-2</v>
      </c>
      <c r="N50" s="2141"/>
      <c r="O50" s="2141"/>
      <c r="P50" s="2141"/>
      <c r="R50" s="2141"/>
      <c r="S50" s="2141"/>
      <c r="T50" s="2141"/>
      <c r="U50" s="2141"/>
      <c r="V50" s="2141"/>
    </row>
    <row r="51" spans="1:22" ht="12.75">
      <c r="A51" s="1081">
        <v>5101</v>
      </c>
      <c r="B51" s="1106" t="s">
        <v>433</v>
      </c>
      <c r="C51" s="398">
        <f>E13</f>
        <v>8296.5439999999999</v>
      </c>
      <c r="D51" s="131"/>
      <c r="E51" s="128">
        <v>360.62599999999998</v>
      </c>
      <c r="F51" s="128">
        <v>258.42899999999997</v>
      </c>
      <c r="G51" s="128">
        <v>7333.0720000000001</v>
      </c>
      <c r="H51" s="128">
        <v>70.007999999999996</v>
      </c>
      <c r="I51" s="128">
        <v>30.103000000000002</v>
      </c>
      <c r="J51" s="128">
        <v>0.27700000000000002</v>
      </c>
      <c r="K51" s="1789"/>
      <c r="L51" s="2400">
        <v>243.93700000000001</v>
      </c>
      <c r="M51" s="2408">
        <v>7.0000000000000007E-2</v>
      </c>
      <c r="N51" s="2141"/>
      <c r="O51" s="2141"/>
      <c r="P51" s="2141"/>
      <c r="R51" s="2141"/>
      <c r="S51" s="2141"/>
      <c r="T51" s="2141"/>
      <c r="U51" s="2141"/>
      <c r="V51" s="2141"/>
    </row>
    <row r="52" spans="1:22" ht="12.75">
      <c r="A52" s="1081">
        <v>5103</v>
      </c>
      <c r="B52" s="1107" t="s">
        <v>432</v>
      </c>
      <c r="C52" s="398">
        <f>E14</f>
        <v>708.94</v>
      </c>
      <c r="D52" s="131"/>
      <c r="E52" s="128">
        <v>37.103999999999999</v>
      </c>
      <c r="F52" s="128">
        <v>37.061999999999998</v>
      </c>
      <c r="G52" s="128">
        <v>418.54</v>
      </c>
      <c r="H52" s="128">
        <v>44.933999999999997</v>
      </c>
      <c r="I52" s="128">
        <v>150.63399999999999</v>
      </c>
      <c r="J52" s="128">
        <v>1.6E-2</v>
      </c>
      <c r="K52" s="1789"/>
      <c r="L52" s="2400">
        <v>20.635999999999999</v>
      </c>
      <c r="M52" s="2409">
        <v>2E-3</v>
      </c>
      <c r="N52" s="2141"/>
      <c r="O52" s="2141"/>
      <c r="P52" s="2141"/>
      <c r="R52" s="2141"/>
      <c r="S52" s="2141"/>
      <c r="T52" s="2141"/>
      <c r="U52" s="2141"/>
      <c r="V52" s="2141"/>
    </row>
    <row r="53" spans="1:22" ht="12.75">
      <c r="A53" s="2459">
        <v>5102</v>
      </c>
      <c r="B53" s="2462" t="s">
        <v>1205</v>
      </c>
      <c r="C53" s="2082">
        <f>E16</f>
        <v>16173.12</v>
      </c>
      <c r="D53" s="131"/>
      <c r="E53" s="2083">
        <v>2195.98</v>
      </c>
      <c r="F53" s="2083">
        <v>330.572</v>
      </c>
      <c r="G53" s="2083">
        <v>12681.528</v>
      </c>
      <c r="H53" s="2083">
        <v>214.90199999999999</v>
      </c>
      <c r="I53" s="2083">
        <v>43.496000000000002</v>
      </c>
      <c r="J53" s="2083">
        <v>0.88</v>
      </c>
      <c r="K53" s="2084">
        <v>0</v>
      </c>
      <c r="L53" s="2401">
        <v>705.78800000000001</v>
      </c>
      <c r="M53" s="2410">
        <v>-2.5000000000000001E-2</v>
      </c>
      <c r="N53" s="2141"/>
      <c r="O53" s="2141"/>
      <c r="P53" s="2141"/>
      <c r="R53" s="2141"/>
      <c r="S53" s="2141"/>
      <c r="T53" s="2141"/>
      <c r="U53" s="2141"/>
      <c r="V53" s="2141"/>
    </row>
    <row r="54" spans="1:22" ht="12.75">
      <c r="A54" s="2460">
        <v>5107</v>
      </c>
      <c r="B54" s="2463" t="s">
        <v>1193</v>
      </c>
      <c r="C54" s="399">
        <f>E17</f>
        <v>310.67500000000001</v>
      </c>
      <c r="D54" s="132"/>
      <c r="E54" s="298">
        <v>23.1</v>
      </c>
      <c r="F54" s="298">
        <v>0</v>
      </c>
      <c r="G54" s="298">
        <v>277.91399999999999</v>
      </c>
      <c r="H54" s="298">
        <v>1.9059999999999999</v>
      </c>
      <c r="I54" s="298">
        <v>0.51200000000000001</v>
      </c>
      <c r="J54" s="298">
        <v>0.57199999999999995</v>
      </c>
      <c r="K54" s="1790"/>
      <c r="L54" s="2402">
        <v>6.6710000000000003</v>
      </c>
      <c r="M54" s="2411">
        <v>0</v>
      </c>
      <c r="N54" s="2141"/>
      <c r="O54" s="2141"/>
      <c r="P54" s="2141"/>
      <c r="R54" s="2141"/>
      <c r="S54" s="2141"/>
      <c r="T54" s="2141"/>
      <c r="U54" s="2141"/>
      <c r="V54" s="2141"/>
    </row>
    <row r="55" spans="1:22" ht="12.75">
      <c r="A55" s="1108">
        <v>520</v>
      </c>
      <c r="B55" s="1063" t="s">
        <v>441</v>
      </c>
      <c r="C55" s="397">
        <f>E22</f>
        <v>3927.0239999999999</v>
      </c>
      <c r="D55" s="131"/>
      <c r="E55" s="397">
        <f>Motpart!D30</f>
        <v>277.71600000000001</v>
      </c>
      <c r="F55" s="397">
        <f>Motpart!E30</f>
        <v>16.344000000000001</v>
      </c>
      <c r="G55" s="397">
        <f>Motpart!F30</f>
        <v>3439.1819999999998</v>
      </c>
      <c r="H55" s="397">
        <f>Motpart!G30</f>
        <v>43.923000000000002</v>
      </c>
      <c r="I55" s="397">
        <f>Motpart!H30</f>
        <v>17.555</v>
      </c>
      <c r="J55" s="397">
        <f>Motpart!I30</f>
        <v>6.6260000000000003</v>
      </c>
      <c r="K55" s="1788"/>
      <c r="L55" s="2399">
        <f>Motpart!K30</f>
        <v>125.675</v>
      </c>
      <c r="M55" s="2412">
        <f>Motpart!L30</f>
        <v>3.0000000000000001E-3</v>
      </c>
      <c r="N55" s="2141"/>
      <c r="O55" s="2141"/>
      <c r="P55" s="2141"/>
      <c r="R55" s="2141"/>
      <c r="S55" s="2141"/>
      <c r="T55" s="2141"/>
      <c r="U55" s="2141"/>
      <c r="V55" s="2141"/>
    </row>
    <row r="56" spans="1:22" ht="12.75">
      <c r="A56" s="1081">
        <v>5201</v>
      </c>
      <c r="B56" s="1106" t="s">
        <v>435</v>
      </c>
      <c r="C56" s="398">
        <f>E23</f>
        <v>685.13699999999994</v>
      </c>
      <c r="D56" s="130"/>
      <c r="E56" s="128">
        <v>18.474</v>
      </c>
      <c r="F56" s="128">
        <v>11.815</v>
      </c>
      <c r="G56" s="128">
        <v>632.68700000000001</v>
      </c>
      <c r="H56" s="128">
        <v>5.3769999999999998</v>
      </c>
      <c r="I56" s="128">
        <v>2.0190000000000001</v>
      </c>
      <c r="J56" s="128">
        <v>0.24</v>
      </c>
      <c r="K56" s="1789"/>
      <c r="L56" s="2400">
        <v>14.505000000000001</v>
      </c>
      <c r="M56" s="2409">
        <v>1E-3</v>
      </c>
      <c r="N56" s="2141"/>
      <c r="O56" s="2141"/>
      <c r="P56" s="2141"/>
      <c r="R56" s="2141"/>
      <c r="S56" s="2141"/>
      <c r="T56" s="2141"/>
      <c r="U56" s="2141"/>
      <c r="V56" s="2141"/>
    </row>
    <row r="57" spans="1:22" ht="12.75">
      <c r="A57" s="1081">
        <v>5203</v>
      </c>
      <c r="B57" s="1106" t="s">
        <v>432</v>
      </c>
      <c r="C57" s="398">
        <f>E25</f>
        <v>340.49299999999999</v>
      </c>
      <c r="D57" s="130"/>
      <c r="E57" s="128">
        <v>39.569000000000003</v>
      </c>
      <c r="F57" s="128">
        <v>0.47</v>
      </c>
      <c r="G57" s="128">
        <v>296.298</v>
      </c>
      <c r="H57" s="128">
        <v>1.216</v>
      </c>
      <c r="I57" s="128">
        <v>2.891</v>
      </c>
      <c r="J57" s="128">
        <v>0</v>
      </c>
      <c r="K57" s="1789">
        <v>0</v>
      </c>
      <c r="L57" s="2400">
        <v>0.04</v>
      </c>
      <c r="M57" s="2409">
        <v>0</v>
      </c>
      <c r="N57" s="2141"/>
      <c r="O57" s="2141"/>
      <c r="P57" s="2141"/>
      <c r="R57" s="2141"/>
      <c r="S57" s="2141"/>
      <c r="T57" s="2141"/>
      <c r="U57" s="2141"/>
      <c r="V57" s="2141"/>
    </row>
    <row r="58" spans="1:22" ht="12.75">
      <c r="A58" s="1109">
        <v>5205</v>
      </c>
      <c r="B58" s="1060" t="s">
        <v>467</v>
      </c>
      <c r="C58" s="399">
        <f>E27</f>
        <v>2352.904</v>
      </c>
      <c r="D58" s="281"/>
      <c r="E58" s="128">
        <v>159.249</v>
      </c>
      <c r="F58" s="128">
        <v>2.4689999999999999</v>
      </c>
      <c r="G58" s="128">
        <v>2104.6959999999999</v>
      </c>
      <c r="H58" s="128">
        <v>21.373999999999999</v>
      </c>
      <c r="I58" s="128">
        <v>6.4260000000000002</v>
      </c>
      <c r="J58" s="128">
        <v>2.3769999999999998</v>
      </c>
      <c r="K58" s="1789"/>
      <c r="L58" s="2400">
        <v>56.305999999999997</v>
      </c>
      <c r="M58" s="2411">
        <v>0</v>
      </c>
      <c r="N58" s="2141"/>
      <c r="O58" s="2141"/>
      <c r="P58" s="2141"/>
      <c r="R58" s="2141"/>
      <c r="S58" s="2141"/>
      <c r="T58" s="2141"/>
      <c r="U58" s="2141"/>
      <c r="V58" s="2141"/>
    </row>
    <row r="59" spans="1:22" ht="12.75">
      <c r="A59" s="1110">
        <v>513</v>
      </c>
      <c r="B59" s="1111" t="s">
        <v>440</v>
      </c>
      <c r="C59" s="397">
        <f>E32</f>
        <v>16201.638999999999</v>
      </c>
      <c r="D59" s="282"/>
      <c r="E59" s="397">
        <f>Motpart!D31</f>
        <v>1656.2170000000001</v>
      </c>
      <c r="F59" s="397">
        <f>Motpart!E31</f>
        <v>304.84800000000001</v>
      </c>
      <c r="G59" s="397">
        <f>Motpart!F31</f>
        <v>13328.54</v>
      </c>
      <c r="H59" s="397">
        <f>Motpart!G31</f>
        <v>314.92399999999998</v>
      </c>
      <c r="I59" s="397">
        <f>Motpart!H31</f>
        <v>91.116</v>
      </c>
      <c r="J59" s="397">
        <f>Motpart!I31</f>
        <v>34.116</v>
      </c>
      <c r="K59" s="1788"/>
      <c r="L59" s="2399">
        <f>Motpart!K31</f>
        <v>471.50200000000001</v>
      </c>
      <c r="M59" s="2412">
        <f>Motpart!L31</f>
        <v>0.377</v>
      </c>
      <c r="N59" s="2141"/>
      <c r="O59" s="2141"/>
      <c r="P59" s="2141"/>
      <c r="R59" s="2141"/>
      <c r="S59" s="2141"/>
      <c r="T59" s="2141"/>
      <c r="U59" s="2141"/>
      <c r="V59" s="2141"/>
    </row>
    <row r="60" spans="1:22" ht="13.5" thickBot="1">
      <c r="A60" s="1074">
        <v>5131</v>
      </c>
      <c r="B60" s="1112" t="s">
        <v>189</v>
      </c>
      <c r="C60" s="400">
        <f>E33</f>
        <v>7574.2439999999997</v>
      </c>
      <c r="D60" s="283"/>
      <c r="E60" s="299">
        <v>980.06600000000003</v>
      </c>
      <c r="F60" s="299">
        <v>193.279</v>
      </c>
      <c r="G60" s="299">
        <v>6103.0479999999998</v>
      </c>
      <c r="H60" s="299">
        <v>44.75</v>
      </c>
      <c r="I60" s="299">
        <v>13.884</v>
      </c>
      <c r="J60" s="299">
        <v>5.5579999999999998</v>
      </c>
      <c r="K60" s="1791">
        <v>0</v>
      </c>
      <c r="L60" s="2403">
        <v>233.64400000000001</v>
      </c>
      <c r="M60" s="2413">
        <v>1.2E-2</v>
      </c>
      <c r="N60" s="2141"/>
      <c r="O60" s="2141"/>
      <c r="P60" s="2141"/>
      <c r="R60" s="2141"/>
      <c r="S60" s="2141"/>
      <c r="T60" s="2141"/>
      <c r="U60" s="2141"/>
      <c r="V60" s="2141"/>
    </row>
    <row r="61" spans="1:22" ht="12.75">
      <c r="D61" s="309" t="str">
        <f>IF(OR(COUNTIF(D50:D60,"&lt;-5")&gt;0,(COUNTIF(D50:D60,"&gt;5")&gt;0)),"Rätta differenserna i kolumn D","")</f>
        <v/>
      </c>
      <c r="N61" s="300"/>
      <c r="O61" s="301"/>
    </row>
    <row r="62" spans="1:22" ht="12.75"/>
  </sheetData>
  <customSheetViews>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1"/>
      <headerFooter>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3"/>
      <headerFooter alignWithMargins="0">
        <oddHeader>&amp;L&amp;8Statistiska Centralbyrån
Offentlig ekonomi&amp;R&amp;P</oddHeader>
      </headerFooter>
    </customSheetView>
  </customSheetViews>
  <mergeCells count="15">
    <mergeCell ref="A46:B48"/>
    <mergeCell ref="K46:K47"/>
    <mergeCell ref="F6:F7"/>
    <mergeCell ref="G6:G7"/>
    <mergeCell ref="H6:H7"/>
    <mergeCell ref="H9:H11"/>
    <mergeCell ref="E6:E7"/>
    <mergeCell ref="I6:I7"/>
    <mergeCell ref="D6:D7"/>
    <mergeCell ref="D9:D10"/>
    <mergeCell ref="O4:O6"/>
    <mergeCell ref="Q6:R7"/>
    <mergeCell ref="R24:R30"/>
    <mergeCell ref="R37:R39"/>
    <mergeCell ref="R16:R19"/>
  </mergeCells>
  <phoneticPr fontId="89" type="noConversion"/>
  <dataValidations count="2">
    <dataValidation type="decimal" operator="lessThan" allowBlank="1" showInputMessage="1" showErrorMessage="1" error="Beloppen ska vara i 1000 tal kronor" sqref="E60:M60 J30:J32 C31:H32 I22 G44 E51:M58 D30:H30 C33:J38 I30:I31 C23:C30 D23:J29 C13:J21" xr:uid="{00000000-0002-0000-0900-000000000000}">
      <formula1>99999999</formula1>
    </dataValidation>
    <dataValidation type="decimal" operator="lessThan" allowBlank="1" showInputMessage="1" showErrorMessage="1" error="Beloppet ska vara i 1000 tal kr" sqref="I32"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sheetView>
  </sheetViews>
  <sheetFormatPr defaultColWidth="0" defaultRowHeight="12.75" zeroHeight="1"/>
  <cols>
    <col min="1" max="1" width="5.5703125" style="267" customWidth="1"/>
    <col min="2" max="2" width="34.42578125" style="1685" customWidth="1"/>
    <col min="3" max="7" width="9.42578125" style="1685" customWidth="1"/>
    <col min="8" max="10" width="12.42578125" style="1685" customWidth="1"/>
    <col min="11" max="11" width="9.5703125" style="270" customWidth="1"/>
    <col min="12" max="12" width="1" style="270" customWidth="1"/>
    <col min="13" max="13" width="7" style="270" customWidth="1"/>
    <col min="14" max="19" width="9.42578125" style="270" customWidth="1"/>
    <col min="20" max="16384" width="0" style="270" hidden="1"/>
  </cols>
  <sheetData>
    <row r="1" spans="1:19" s="1661" customFormat="1" ht="21.75">
      <c r="A1" s="73" t="str">
        <f>"Specificering individ- och familjeomsorg "&amp;År&amp;", miljoner kronor"</f>
        <v>Specificering individ- och familjeomsorg 2024, miljoner kronor</v>
      </c>
      <c r="B1" s="74"/>
      <c r="C1" s="74"/>
      <c r="D1" s="74"/>
      <c r="E1" s="268"/>
      <c r="F1" s="268"/>
      <c r="G1" s="268"/>
      <c r="H1" s="268"/>
      <c r="I1" s="484" t="s">
        <v>446</v>
      </c>
      <c r="J1" s="485" t="str">
        <f>Information!A2</f>
        <v>RIKSTOTAL</v>
      </c>
      <c r="K1" s="268"/>
      <c r="L1" s="268"/>
      <c r="M1" s="268"/>
      <c r="N1" s="268"/>
      <c r="O1" s="268"/>
      <c r="P1" s="268"/>
      <c r="Q1" s="268"/>
      <c r="R1" s="268"/>
      <c r="S1" s="268"/>
    </row>
    <row r="2" spans="1:19" s="269" customFormat="1" ht="12.75" customHeight="1">
      <c r="A2" s="2141"/>
      <c r="B2" s="2141"/>
      <c r="C2" s="2141"/>
      <c r="D2" s="2141"/>
      <c r="E2" s="2141"/>
      <c r="F2" s="2141"/>
      <c r="G2" s="2141"/>
      <c r="H2" s="2141"/>
      <c r="I2" s="2141"/>
      <c r="J2" s="2141"/>
      <c r="K2" s="2141"/>
      <c r="L2" s="2141"/>
      <c r="M2" s="2141"/>
      <c r="N2" s="2141"/>
      <c r="O2" s="2141"/>
      <c r="P2" s="2141"/>
      <c r="Q2" s="2141"/>
      <c r="R2" s="2141"/>
      <c r="S2" s="2141"/>
    </row>
    <row r="3" spans="1:19" s="1661" customFormat="1" ht="12.75" customHeight="1" thickBot="1">
      <c r="A3" s="2141"/>
      <c r="B3" s="2141"/>
      <c r="C3" s="2141"/>
      <c r="D3" s="2141"/>
      <c r="E3" s="2141"/>
      <c r="F3" s="2141"/>
      <c r="G3" s="2141"/>
      <c r="H3" s="2141"/>
      <c r="I3" s="2141"/>
      <c r="J3" s="2141"/>
      <c r="K3" s="2141"/>
      <c r="L3" s="2141"/>
      <c r="M3" s="2141"/>
      <c r="N3" s="2141"/>
      <c r="O3" s="2141"/>
      <c r="P3" s="2141"/>
      <c r="Q3" s="2141"/>
      <c r="R3" s="2141"/>
      <c r="S3" s="2141"/>
    </row>
    <row r="4" spans="1:19" s="271" customFormat="1" ht="18" customHeight="1">
      <c r="A4" s="609" t="s">
        <v>603</v>
      </c>
      <c r="B4" s="1662" t="s">
        <v>13</v>
      </c>
      <c r="C4" s="1659"/>
      <c r="D4" s="1816"/>
      <c r="E4" s="1816"/>
      <c r="F4" s="1658"/>
      <c r="G4" s="1659"/>
      <c r="H4" s="1663" t="s">
        <v>896</v>
      </c>
      <c r="I4" s="1498" t="s">
        <v>906</v>
      </c>
      <c r="J4" s="1499"/>
      <c r="K4" s="2673" t="str">
        <f>"Förändring kostnader för eget åtagande "&amp;År-1&amp;"-"&amp;År&amp;" procent"</f>
        <v>Förändring kostnader för eget åtagande 2023-2024 procent</v>
      </c>
      <c r="L4" s="2141"/>
      <c r="M4" s="2494"/>
      <c r="N4" s="2506"/>
      <c r="O4" s="2141"/>
      <c r="P4" s="2141"/>
      <c r="Q4" s="2141"/>
      <c r="R4" s="2141"/>
      <c r="S4" s="2141"/>
    </row>
    <row r="5" spans="1:19" s="271" customFormat="1" ht="15" customHeight="1">
      <c r="A5" s="611" t="s">
        <v>605</v>
      </c>
      <c r="B5" s="1461"/>
      <c r="C5" s="1274" t="s">
        <v>39</v>
      </c>
      <c r="D5" s="1274"/>
      <c r="E5" s="1274"/>
      <c r="F5" s="1660"/>
      <c r="G5" s="1660"/>
      <c r="H5" s="1509" t="s">
        <v>910</v>
      </c>
      <c r="I5" s="1500" t="s">
        <v>903</v>
      </c>
      <c r="J5" s="1501"/>
      <c r="K5" s="2674"/>
      <c r="L5" s="2141"/>
      <c r="M5" s="2495"/>
      <c r="N5" s="2507"/>
      <c r="O5" s="2141"/>
      <c r="P5" s="2141"/>
      <c r="Q5" s="2141"/>
      <c r="R5" s="2141"/>
      <c r="S5" s="2141"/>
    </row>
    <row r="6" spans="1:19" s="271" customFormat="1" ht="24" customHeight="1">
      <c r="A6" s="1114"/>
      <c r="B6" s="1665"/>
      <c r="C6" s="1274" t="s">
        <v>41</v>
      </c>
      <c r="D6" s="2677" t="s">
        <v>963</v>
      </c>
      <c r="E6" s="2677" t="s">
        <v>969</v>
      </c>
      <c r="F6" s="2679" t="s">
        <v>143</v>
      </c>
      <c r="G6" s="2675" t="s">
        <v>1030</v>
      </c>
      <c r="H6" s="1510" t="s">
        <v>909</v>
      </c>
      <c r="I6" s="1666"/>
      <c r="J6" s="1667"/>
      <c r="K6" s="2674"/>
      <c r="L6" s="2141"/>
      <c r="M6" s="2496" t="str">
        <f>"Nämnare nyckeltal"</f>
        <v>Nämnare nyckeltal</v>
      </c>
      <c r="N6" s="2508"/>
      <c r="O6" s="2141"/>
      <c r="P6" s="2141"/>
      <c r="Q6" s="2141"/>
      <c r="R6" s="2141"/>
      <c r="S6" s="2141"/>
    </row>
    <row r="7" spans="1:19" s="271" customFormat="1" ht="27.6" customHeight="1">
      <c r="A7" s="981"/>
      <c r="B7" s="1668"/>
      <c r="C7" s="1274"/>
      <c r="D7" s="2678"/>
      <c r="E7" s="2678"/>
      <c r="F7" s="2680"/>
      <c r="G7" s="2675"/>
      <c r="H7" s="1496" t="s">
        <v>1031</v>
      </c>
      <c r="I7" s="1512" t="s">
        <v>908</v>
      </c>
      <c r="J7" s="1511" t="s">
        <v>908</v>
      </c>
      <c r="K7" s="2481"/>
      <c r="L7" s="2141"/>
      <c r="M7" s="2496"/>
      <c r="N7" s="2508"/>
      <c r="O7" s="2141"/>
      <c r="P7" s="2141"/>
      <c r="Q7" s="2141"/>
      <c r="R7" s="2141"/>
      <c r="S7" s="2141"/>
    </row>
    <row r="8" spans="1:19" s="271" customFormat="1" ht="12" customHeight="1">
      <c r="A8" s="1114"/>
      <c r="B8" s="1669"/>
      <c r="C8" s="1660"/>
      <c r="D8" s="2678"/>
      <c r="E8" s="2678"/>
      <c r="F8" s="2680"/>
      <c r="G8" s="2681"/>
      <c r="H8" s="1889" t="s">
        <v>1032</v>
      </c>
      <c r="I8" s="1061">
        <f>År</f>
        <v>2024</v>
      </c>
      <c r="J8" s="1061">
        <f>År-1</f>
        <v>2023</v>
      </c>
      <c r="K8" s="2482"/>
      <c r="L8" s="2141"/>
      <c r="M8" s="2497"/>
      <c r="N8" s="2509"/>
      <c r="O8" s="2141"/>
      <c r="P8" s="2141"/>
      <c r="Q8" s="2141"/>
      <c r="R8" s="2141"/>
      <c r="S8" s="2141"/>
    </row>
    <row r="9" spans="1:19" s="271" customFormat="1" ht="21" customHeight="1">
      <c r="A9" s="1114"/>
      <c r="B9" s="1669"/>
      <c r="C9" s="1660"/>
      <c r="D9" s="2675" t="s">
        <v>1048</v>
      </c>
      <c r="E9" s="1687" t="s">
        <v>767</v>
      </c>
      <c r="F9" s="1660"/>
      <c r="G9" s="1986" t="s">
        <v>1029</v>
      </c>
      <c r="H9" s="1497" t="s">
        <v>1027</v>
      </c>
      <c r="I9" s="1670"/>
      <c r="J9" s="1670"/>
      <c r="K9" s="2483"/>
      <c r="L9" s="2141"/>
      <c r="M9" s="2497"/>
      <c r="N9" s="2509"/>
      <c r="O9" s="2141"/>
      <c r="P9" s="2141"/>
      <c r="Q9" s="2141"/>
      <c r="R9" s="2141"/>
      <c r="S9" s="2141"/>
    </row>
    <row r="10" spans="1:19" s="271" customFormat="1" ht="14.25" customHeight="1">
      <c r="A10" s="1114"/>
      <c r="B10" s="1669"/>
      <c r="C10" s="1660"/>
      <c r="D10" s="2672"/>
      <c r="E10" s="1660"/>
      <c r="F10" s="1660"/>
      <c r="G10" s="1660"/>
      <c r="H10" s="1223" t="s">
        <v>1034</v>
      </c>
      <c r="I10" s="1502"/>
      <c r="J10" s="1502"/>
      <c r="K10" s="2483"/>
      <c r="L10" s="2141"/>
      <c r="M10" s="2497"/>
      <c r="N10" s="2509"/>
      <c r="O10" s="2141"/>
      <c r="P10" s="2141"/>
      <c r="Q10" s="2141"/>
      <c r="R10" s="2141"/>
      <c r="S10" s="2141"/>
    </row>
    <row r="11" spans="1:19" s="271" customFormat="1" ht="19.5" customHeight="1">
      <c r="A11" s="1115"/>
      <c r="B11" s="1671"/>
      <c r="C11" s="1123"/>
      <c r="D11" s="2676"/>
      <c r="E11" s="1123"/>
      <c r="F11" s="1123"/>
      <c r="G11" s="1482"/>
      <c r="H11" s="1909" t="s">
        <v>1033</v>
      </c>
      <c r="I11" s="1124"/>
      <c r="J11" s="1124"/>
      <c r="K11" s="2484"/>
      <c r="L11" s="2141"/>
      <c r="M11" s="2498"/>
      <c r="N11" s="2510"/>
      <c r="O11" s="2141"/>
      <c r="P11" s="2141"/>
      <c r="Q11" s="2141"/>
      <c r="R11" s="2141"/>
      <c r="S11" s="2141"/>
    </row>
    <row r="12" spans="1:19" s="271" customFormat="1">
      <c r="A12" s="1116">
        <v>559</v>
      </c>
      <c r="B12" s="1672" t="s">
        <v>477</v>
      </c>
      <c r="C12" s="1673">
        <f>Drift!P79</f>
        <v>9776.711000000003</v>
      </c>
      <c r="D12" s="1891">
        <f>SUM(Drift!C79:D79)</f>
        <v>4197.7469999999994</v>
      </c>
      <c r="E12" s="1673">
        <f>Drift!F79</f>
        <v>3191.6990000000001</v>
      </c>
      <c r="F12" s="1673">
        <f>Drift!V79</f>
        <v>278.85700000000003</v>
      </c>
      <c r="G12" s="1674">
        <f>Motpart!Y33+Motpart!Z33</f>
        <v>30.466999999999999</v>
      </c>
      <c r="H12" s="1125">
        <f t="shared" ref="H12:H18" si="0">C12-F12-G12</f>
        <v>9467.3870000000024</v>
      </c>
      <c r="I12" s="1126">
        <f>IF(C12&gt;0,H12*1000000/M12,"")</f>
        <v>1615.9350593734146</v>
      </c>
      <c r="J12" s="1126">
        <v>1573.155</v>
      </c>
      <c r="K12" s="2485">
        <f>IF(ISERROR((I12-J12)/J12),"",((I12-J12)/J12))</f>
        <v>2.7193798051313816E-2</v>
      </c>
      <c r="L12" s="2141"/>
      <c r="M12" s="2499">
        <v>5858767</v>
      </c>
      <c r="N12" s="2511" t="s">
        <v>500</v>
      </c>
      <c r="O12" s="2141"/>
      <c r="P12" s="2141"/>
      <c r="Q12" s="2141"/>
      <c r="R12" s="2141"/>
      <c r="S12" s="2141"/>
    </row>
    <row r="13" spans="1:19" s="271" customFormat="1">
      <c r="A13" s="1117">
        <v>552</v>
      </c>
      <c r="B13" s="1461" t="s">
        <v>427</v>
      </c>
      <c r="C13" s="50">
        <v>3949.1970000000001</v>
      </c>
      <c r="D13" s="50">
        <v>1146.2170000000001</v>
      </c>
      <c r="E13" s="1664">
        <f>Motpart!C34</f>
        <v>2123.4009999999998</v>
      </c>
      <c r="F13" s="50">
        <v>140.58799999999999</v>
      </c>
      <c r="G13" s="1664">
        <f>Motpart!Y34+Motpart!Z34</f>
        <v>10.836</v>
      </c>
      <c r="H13" s="1127">
        <f t="shared" si="0"/>
        <v>3797.7730000000001</v>
      </c>
      <c r="I13" s="1128">
        <f>IF(C13&gt;0,H13*1000000/M12,"")</f>
        <v>648.22052148515206</v>
      </c>
      <c r="J13" s="1128">
        <v>623.92999999999995</v>
      </c>
      <c r="K13" s="2486">
        <f t="shared" ref="K13:K18" si="1">IF(ISERROR((I13-J13)/J13),"",((I13-J13)/J13))</f>
        <v>3.8931485078698112E-2</v>
      </c>
      <c r="L13" s="2141"/>
      <c r="M13" s="2468"/>
      <c r="N13" s="2512"/>
      <c r="O13" s="2141"/>
      <c r="P13" s="2141"/>
      <c r="Q13" s="2141"/>
      <c r="R13" s="2141"/>
      <c r="S13" s="2141"/>
    </row>
    <row r="14" spans="1:19" s="271" customFormat="1">
      <c r="A14" s="1117">
        <v>556</v>
      </c>
      <c r="B14" s="1675" t="s">
        <v>483</v>
      </c>
      <c r="C14" s="50">
        <v>155.31299999999999</v>
      </c>
      <c r="D14" s="50">
        <v>54.451999999999998</v>
      </c>
      <c r="E14" s="50">
        <v>68.319000000000003</v>
      </c>
      <c r="F14" s="50">
        <v>5.1820000000000004</v>
      </c>
      <c r="G14" s="50">
        <v>0.122</v>
      </c>
      <c r="H14" s="1127">
        <f t="shared" si="0"/>
        <v>150.00899999999999</v>
      </c>
      <c r="I14" s="1128">
        <f>IF(C14&gt;0,H14*1000000/M12,"")</f>
        <v>25.604192827603487</v>
      </c>
      <c r="J14" s="1128">
        <v>25.866</v>
      </c>
      <c r="K14" s="2486">
        <f t="shared" si="1"/>
        <v>-1.0121672171828357E-2</v>
      </c>
      <c r="L14" s="2141"/>
      <c r="M14" s="2468"/>
      <c r="N14" s="2512"/>
      <c r="O14" s="2141"/>
      <c r="P14" s="2141"/>
      <c r="Q14" s="2141"/>
      <c r="R14" s="2141"/>
      <c r="S14" s="2141"/>
    </row>
    <row r="15" spans="1:19" s="271" customFormat="1">
      <c r="A15" s="1117">
        <v>5581</v>
      </c>
      <c r="B15" s="1675" t="s">
        <v>158</v>
      </c>
      <c r="C15" s="50">
        <v>3397.8620000000001</v>
      </c>
      <c r="D15" s="50">
        <v>1494.3789999999999</v>
      </c>
      <c r="E15" s="50">
        <v>819.41</v>
      </c>
      <c r="F15" s="50">
        <v>61.655000000000001</v>
      </c>
      <c r="G15" s="50">
        <v>7.3760000000000003</v>
      </c>
      <c r="H15" s="1127">
        <f t="shared" si="0"/>
        <v>3328.8309999999997</v>
      </c>
      <c r="I15" s="1129">
        <f>IF(C15&gt;0,H15*1000000/M12,"")</f>
        <v>568.17944799648114</v>
      </c>
      <c r="J15" s="1129">
        <v>521.57000000000005</v>
      </c>
      <c r="K15" s="2486">
        <f t="shared" si="1"/>
        <v>8.9363744073625961E-2</v>
      </c>
      <c r="L15" s="2141"/>
      <c r="M15" s="2468"/>
      <c r="N15" s="2512"/>
      <c r="O15" s="2141"/>
      <c r="P15" s="2141"/>
      <c r="Q15" s="2141"/>
      <c r="R15" s="2141"/>
      <c r="S15" s="2141"/>
    </row>
    <row r="16" spans="1:19" s="271" customFormat="1">
      <c r="A16" s="1117">
        <v>5582</v>
      </c>
      <c r="B16" s="1675" t="s">
        <v>157</v>
      </c>
      <c r="C16" s="50">
        <v>1591.47</v>
      </c>
      <c r="D16" s="50">
        <v>1081.694</v>
      </c>
      <c r="E16" s="50">
        <v>112.339</v>
      </c>
      <c r="F16" s="50">
        <v>54.491999999999997</v>
      </c>
      <c r="G16" s="50">
        <v>6.306</v>
      </c>
      <c r="H16" s="1127">
        <f t="shared" si="0"/>
        <v>1530.672</v>
      </c>
      <c r="I16" s="1128">
        <f>IF(C16&gt;0,H16*1000000/M12,"")</f>
        <v>261.26179791754817</v>
      </c>
      <c r="J16" s="1128">
        <v>246.97200000000001</v>
      </c>
      <c r="K16" s="2486">
        <f t="shared" si="1"/>
        <v>5.7859991891988385E-2</v>
      </c>
      <c r="L16" s="2141"/>
      <c r="M16" s="2468"/>
      <c r="N16" s="2512"/>
      <c r="O16" s="2141"/>
      <c r="P16" s="2141"/>
      <c r="Q16" s="2141"/>
      <c r="R16" s="2141"/>
      <c r="S16" s="2141"/>
    </row>
    <row r="17" spans="1:19" s="271" customFormat="1">
      <c r="A17" s="1117">
        <v>5583</v>
      </c>
      <c r="B17" s="1675" t="s">
        <v>159</v>
      </c>
      <c r="C17" s="50">
        <v>682.87</v>
      </c>
      <c r="D17" s="50">
        <v>421.00400000000002</v>
      </c>
      <c r="E17" s="50">
        <v>68.221000000000004</v>
      </c>
      <c r="F17" s="50">
        <v>16.940999999999999</v>
      </c>
      <c r="G17" s="50">
        <v>5.8280000000000003</v>
      </c>
      <c r="H17" s="1127">
        <f t="shared" si="0"/>
        <v>660.101</v>
      </c>
      <c r="I17" s="1128">
        <f>IF(C17&gt;0,H17*1000000/M12,"")</f>
        <v>112.66892846225153</v>
      </c>
      <c r="J17" s="1129">
        <v>154.81800000000001</v>
      </c>
      <c r="K17" s="2486">
        <f t="shared" si="1"/>
        <v>-0.2722491670073795</v>
      </c>
      <c r="L17" s="2141"/>
      <c r="M17" s="2468"/>
      <c r="N17" s="2512"/>
      <c r="O17" s="2141"/>
      <c r="P17" s="2141"/>
      <c r="Q17" s="2141"/>
      <c r="R17" s="2141"/>
      <c r="S17" s="2141"/>
    </row>
    <row r="18" spans="1:19" s="271" customFormat="1">
      <c r="A18" s="1118">
        <v>558</v>
      </c>
      <c r="B18" s="1676" t="s">
        <v>193</v>
      </c>
      <c r="C18" s="307">
        <f>SUM(C15:C17)</f>
        <v>5672.2020000000002</v>
      </c>
      <c r="D18" s="307">
        <f>SUM(D15:D17)</f>
        <v>2997.0769999999998</v>
      </c>
      <c r="E18" s="307">
        <f>SUM(E15:E17)</f>
        <v>999.97</v>
      </c>
      <c r="F18" s="307">
        <f>SUM(F15:F17)</f>
        <v>133.08799999999999</v>
      </c>
      <c r="G18" s="307">
        <f>SUM(G15:G17)</f>
        <v>19.510000000000002</v>
      </c>
      <c r="H18" s="1127">
        <f t="shared" si="0"/>
        <v>5519.6040000000003</v>
      </c>
      <c r="I18" s="1128">
        <f>IF(C18&gt;0,H18*1000000/M12,"")</f>
        <v>942.11017437628084</v>
      </c>
      <c r="J18" s="1128">
        <v>923.35900000000004</v>
      </c>
      <c r="K18" s="2486">
        <f t="shared" si="1"/>
        <v>2.0307566587081299E-2</v>
      </c>
      <c r="L18" s="2141"/>
      <c r="M18" s="2468"/>
      <c r="N18" s="2512"/>
      <c r="O18" s="2141"/>
      <c r="P18" s="2141"/>
      <c r="Q18" s="2141"/>
      <c r="R18" s="2141"/>
      <c r="S18" s="2141"/>
    </row>
    <row r="19" spans="1:19" s="167" customFormat="1">
      <c r="A19" s="1119">
        <v>55999</v>
      </c>
      <c r="B19" s="1676" t="s">
        <v>198</v>
      </c>
      <c r="C19" s="307">
        <f>C13+C14+C15+C16+C17</f>
        <v>9776.7120000000014</v>
      </c>
      <c r="D19" s="307">
        <f>D13+D14+D15+D16+D17</f>
        <v>4197.7460000000001</v>
      </c>
      <c r="E19" s="307">
        <f>E13+E14+E15+E16+E17</f>
        <v>3191.6899999999996</v>
      </c>
      <c r="F19" s="307">
        <f>F13+F14+F15+F16+F17</f>
        <v>278.85799999999995</v>
      </c>
      <c r="G19" s="307">
        <f>G13+G14+G15+G16+G17</f>
        <v>30.468</v>
      </c>
      <c r="H19" s="1130"/>
      <c r="I19" s="1131"/>
      <c r="J19" s="1131"/>
      <c r="K19" s="2487"/>
      <c r="L19" s="2141"/>
      <c r="M19" s="2468"/>
      <c r="N19" s="2512"/>
      <c r="O19" s="2141"/>
      <c r="P19" s="2141"/>
      <c r="Q19" s="2141"/>
      <c r="R19" s="2141"/>
      <c r="S19" s="2141"/>
    </row>
    <row r="20" spans="1:19" s="167" customFormat="1" ht="13.5" thickBot="1">
      <c r="A20" s="2471"/>
      <c r="B20" s="2472"/>
      <c r="C20" s="2472"/>
      <c r="D20" s="2472"/>
      <c r="E20" s="2472"/>
      <c r="F20" s="2472"/>
      <c r="G20" s="2472"/>
      <c r="H20" s="2472"/>
      <c r="I20" s="2472"/>
      <c r="J20" s="2472"/>
      <c r="K20" s="2488"/>
      <c r="L20" s="2141"/>
      <c r="M20" s="2500"/>
      <c r="N20" s="2513"/>
      <c r="O20" s="2141"/>
      <c r="P20" s="2141"/>
      <c r="Q20" s="2141"/>
      <c r="R20" s="2141"/>
      <c r="S20" s="2141"/>
    </row>
    <row r="21" spans="1:19" s="271" customFormat="1">
      <c r="A21" s="2465">
        <v>569</v>
      </c>
      <c r="B21" s="1677" t="s">
        <v>478</v>
      </c>
      <c r="C21" s="1678">
        <f>Drift!P80</f>
        <v>33874.428</v>
      </c>
      <c r="D21" s="1892">
        <f>SUM(Drift!C80:D80)</f>
        <v>17338.716</v>
      </c>
      <c r="E21" s="1678">
        <f>Drift!F80</f>
        <v>10489.955</v>
      </c>
      <c r="F21" s="1678">
        <f>Drift!V80</f>
        <v>647.49800000000005</v>
      </c>
      <c r="G21" s="1679">
        <f>Motpart!Y35+Motpart!Z35</f>
        <v>209.57399999999998</v>
      </c>
      <c r="H21" s="1133">
        <f t="shared" ref="H21:H26" si="2">C21-F21-G21</f>
        <v>33017.356</v>
      </c>
      <c r="I21" s="1128">
        <f>IF(C21&gt;0,H21*1000000/M21,"")</f>
        <v>13089.373645912414</v>
      </c>
      <c r="J21" s="1128">
        <v>12017.433999999999</v>
      </c>
      <c r="K21" s="2489">
        <f t="shared" ref="K21:K26" si="3">IF(ISERROR((I21-J21)/J21),"",((I21-J21)/J21))</f>
        <v>8.9198712962552121E-2</v>
      </c>
      <c r="L21" s="2141"/>
      <c r="M21" s="2501">
        <v>2522455</v>
      </c>
      <c r="N21" s="2514" t="s">
        <v>502</v>
      </c>
      <c r="O21" s="2141"/>
      <c r="P21" s="2141"/>
      <c r="Q21" s="2141"/>
      <c r="R21" s="2141"/>
      <c r="S21" s="2141"/>
    </row>
    <row r="22" spans="1:19" s="271" customFormat="1" ht="12.6" customHeight="1">
      <c r="A22" s="2466">
        <v>554</v>
      </c>
      <c r="B22" s="1680" t="s">
        <v>194</v>
      </c>
      <c r="C22" s="50">
        <v>11054.843000000001</v>
      </c>
      <c r="D22" s="50">
        <v>3079.665</v>
      </c>
      <c r="E22" s="1664">
        <f>Motpart!C36</f>
        <v>6472.1010000000006</v>
      </c>
      <c r="F22" s="50">
        <v>249.87700000000001</v>
      </c>
      <c r="G22" s="1664">
        <f>Motpart!Y36+Motpart!Z36</f>
        <v>62.817999999999998</v>
      </c>
      <c r="H22" s="1133">
        <f t="shared" si="2"/>
        <v>10742.148000000001</v>
      </c>
      <c r="I22" s="1128">
        <f>IF(C22&gt;0,H22*1000000/M21,"")</f>
        <v>4258.6083795350169</v>
      </c>
      <c r="J22" s="1128">
        <v>3936.1170000000002</v>
      </c>
      <c r="K22" s="2486">
        <f t="shared" si="3"/>
        <v>8.193134999163304E-2</v>
      </c>
      <c r="L22" s="2141"/>
      <c r="M22" s="2468"/>
      <c r="N22" s="2512"/>
      <c r="O22" s="2141"/>
      <c r="P22" s="2141"/>
      <c r="Q22" s="2141"/>
      <c r="R22" s="2141"/>
      <c r="S22" s="2141"/>
    </row>
    <row r="23" spans="1:19" s="271" customFormat="1">
      <c r="A23" s="2466">
        <v>557</v>
      </c>
      <c r="B23" s="1680" t="s">
        <v>162</v>
      </c>
      <c r="C23" s="50">
        <v>13230.428</v>
      </c>
      <c r="D23" s="50">
        <v>7699.2749999999996</v>
      </c>
      <c r="E23" s="50">
        <v>3206.393</v>
      </c>
      <c r="F23" s="50">
        <v>72.497</v>
      </c>
      <c r="G23" s="50">
        <v>47.543999999999997</v>
      </c>
      <c r="H23" s="1133">
        <f t="shared" si="2"/>
        <v>13110.387000000001</v>
      </c>
      <c r="I23" s="1128">
        <f>IF(C23&gt;0,H23*1000000/M21,"")</f>
        <v>5197.4711144500097</v>
      </c>
      <c r="J23" s="1128">
        <v>4590.37</v>
      </c>
      <c r="K23" s="2486">
        <f t="shared" si="3"/>
        <v>0.13225537689772499</v>
      </c>
      <c r="L23" s="2141"/>
      <c r="M23" s="2468"/>
      <c r="N23" s="2512"/>
      <c r="O23" s="2141"/>
      <c r="P23" s="2141"/>
      <c r="Q23" s="2141"/>
      <c r="R23" s="2141"/>
      <c r="S23" s="2141"/>
    </row>
    <row r="24" spans="1:19" s="271" customFormat="1">
      <c r="A24" s="2466">
        <v>5681</v>
      </c>
      <c r="B24" s="1680" t="s">
        <v>157</v>
      </c>
      <c r="C24" s="50">
        <v>6386.9279999999999</v>
      </c>
      <c r="D24" s="50">
        <v>4317.21</v>
      </c>
      <c r="E24" s="50">
        <v>687.61900000000003</v>
      </c>
      <c r="F24" s="50">
        <v>149.964</v>
      </c>
      <c r="G24" s="50">
        <v>38.201999999999998</v>
      </c>
      <c r="H24" s="1133">
        <f t="shared" si="2"/>
        <v>6198.7619999999997</v>
      </c>
      <c r="I24" s="1128">
        <f>IF(C24&gt;0,H24*1000000/M21,"")</f>
        <v>2457.4321444782959</v>
      </c>
      <c r="J24" s="1128">
        <v>2131.1770000000001</v>
      </c>
      <c r="K24" s="2486">
        <f t="shared" si="3"/>
        <v>0.15308683627793268</v>
      </c>
      <c r="L24" s="2141"/>
      <c r="M24" s="2468"/>
      <c r="N24" s="2512"/>
      <c r="O24" s="2141"/>
      <c r="P24" s="2141"/>
      <c r="Q24" s="2141"/>
      <c r="R24" s="2141"/>
      <c r="S24" s="2141"/>
    </row>
    <row r="25" spans="1:19" s="271" customFormat="1">
      <c r="A25" s="2466">
        <v>5682</v>
      </c>
      <c r="B25" s="1680" t="s">
        <v>159</v>
      </c>
      <c r="C25" s="50">
        <v>3202.2260000000001</v>
      </c>
      <c r="D25" s="50">
        <v>2242.5680000000002</v>
      </c>
      <c r="E25" s="50">
        <v>123.846</v>
      </c>
      <c r="F25" s="50">
        <v>175.16</v>
      </c>
      <c r="G25" s="51">
        <v>61.011000000000003</v>
      </c>
      <c r="H25" s="1133">
        <f t="shared" si="2"/>
        <v>2966.0550000000003</v>
      </c>
      <c r="I25" s="1128">
        <f>IF(C25&gt;0,H25*1000000/M21,"")</f>
        <v>1175.8604216923595</v>
      </c>
      <c r="J25" s="1128">
        <v>1359.77</v>
      </c>
      <c r="K25" s="2486">
        <f t="shared" si="3"/>
        <v>-0.13525050435561931</v>
      </c>
      <c r="L25" s="2141"/>
      <c r="M25" s="2468"/>
      <c r="N25" s="2512"/>
      <c r="O25" s="2141"/>
      <c r="P25" s="2141"/>
      <c r="Q25" s="2141"/>
      <c r="R25" s="2141"/>
      <c r="S25" s="2141"/>
    </row>
    <row r="26" spans="1:19" s="271" customFormat="1">
      <c r="A26" s="2467">
        <v>568</v>
      </c>
      <c r="B26" s="1681" t="s">
        <v>200</v>
      </c>
      <c r="C26" s="307">
        <f>SUM(C24:C25)</f>
        <v>9589.1540000000005</v>
      </c>
      <c r="D26" s="307">
        <f>SUM(D24:D25)</f>
        <v>6559.7780000000002</v>
      </c>
      <c r="E26" s="307">
        <f>SUM(E24:E25)</f>
        <v>811.46500000000003</v>
      </c>
      <c r="F26" s="307">
        <f>SUM(F24:F25)</f>
        <v>325.12400000000002</v>
      </c>
      <c r="G26" s="307">
        <f>SUM(G24:G25)</f>
        <v>99.212999999999994</v>
      </c>
      <c r="H26" s="1133">
        <f t="shared" si="2"/>
        <v>9164.8170000000009</v>
      </c>
      <c r="I26" s="1128">
        <f>IF(C26&gt;0,H26*1000000/M21,"")</f>
        <v>3633.2925661706554</v>
      </c>
      <c r="J26" s="1128">
        <v>3490.9470000000001</v>
      </c>
      <c r="K26" s="2486">
        <f t="shared" si="3"/>
        <v>4.0775630844769421E-2</v>
      </c>
      <c r="L26" s="2141"/>
      <c r="M26" s="2468"/>
      <c r="N26" s="2512"/>
      <c r="O26" s="2141"/>
      <c r="P26" s="2141"/>
      <c r="Q26" s="2141"/>
      <c r="R26" s="2141"/>
      <c r="S26" s="2141"/>
    </row>
    <row r="27" spans="1:19" s="271" customFormat="1">
      <c r="A27" s="2467">
        <v>56999</v>
      </c>
      <c r="B27" s="1676" t="s">
        <v>163</v>
      </c>
      <c r="C27" s="307">
        <f>SUM(C22+C23+C24+C25)</f>
        <v>33874.425000000003</v>
      </c>
      <c r="D27" s="307">
        <f>SUM(D22+D23+D24+D25)</f>
        <v>17338.717999999997</v>
      </c>
      <c r="E27" s="307">
        <f>SUM(E22+E23+E24+E25)</f>
        <v>10489.959000000001</v>
      </c>
      <c r="F27" s="307">
        <f>SUM(F22+F23+F24+F25)</f>
        <v>647.49800000000005</v>
      </c>
      <c r="G27" s="307">
        <f>SUM(G22+G23+G24+G25)</f>
        <v>209.57499999999999</v>
      </c>
      <c r="H27" s="1130"/>
      <c r="I27" s="1131"/>
      <c r="J27" s="1131"/>
      <c r="K27" s="2487"/>
      <c r="L27" s="2141"/>
      <c r="M27" s="2468"/>
      <c r="N27" s="2512"/>
      <c r="O27" s="2141"/>
      <c r="P27" s="2141"/>
      <c r="Q27" s="2141"/>
      <c r="R27" s="2141"/>
      <c r="S27" s="2141"/>
    </row>
    <row r="28" spans="1:19" s="271" customFormat="1" ht="13.5" thickBot="1">
      <c r="A28" s="2474"/>
      <c r="B28" s="2472"/>
      <c r="C28" s="2472"/>
      <c r="D28" s="2472"/>
      <c r="E28" s="2472"/>
      <c r="F28" s="2472"/>
      <c r="G28" s="2472"/>
      <c r="H28" s="2472"/>
      <c r="I28" s="2472"/>
      <c r="J28" s="2472"/>
      <c r="K28" s="2488"/>
      <c r="L28" s="2141"/>
      <c r="M28" s="2468"/>
      <c r="N28" s="2512"/>
      <c r="O28" s="2141"/>
      <c r="P28" s="2141"/>
      <c r="Q28" s="2141"/>
      <c r="R28" s="2141"/>
      <c r="S28" s="2141"/>
    </row>
    <row r="29" spans="1:19" s="271" customFormat="1">
      <c r="A29" s="2473">
        <v>571</v>
      </c>
      <c r="B29" s="1680" t="s">
        <v>164</v>
      </c>
      <c r="C29" s="1678">
        <f>Drift!P81</f>
        <v>4021.4589999999994</v>
      </c>
      <c r="D29" s="1892">
        <f>SUM(Drift!C81:D81)</f>
        <v>1560.0070000000001</v>
      </c>
      <c r="E29" s="1678">
        <f>Drift!F81</f>
        <v>1073.2159999999999</v>
      </c>
      <c r="F29" s="1678">
        <f>Drift!V81</f>
        <v>125.31</v>
      </c>
      <c r="G29" s="62">
        <v>53.225000000000001</v>
      </c>
      <c r="H29" s="1133">
        <f t="shared" ref="H29:H34" si="4">C29-F29-G29</f>
        <v>3842.9239999999995</v>
      </c>
      <c r="I29" s="1128">
        <f>IF(C29&gt;0,H29*1000000/M12,"")</f>
        <v>655.92709182665897</v>
      </c>
      <c r="J29" s="1128">
        <v>630.33699999999999</v>
      </c>
      <c r="K29" s="2489">
        <f t="shared" ref="K29:K34" si="5">IF(ISERROR((I29-J29)/J29),"",((I29-J29)/J29))</f>
        <v>4.0597476947504235E-2</v>
      </c>
      <c r="L29" s="2141"/>
      <c r="M29" s="2502"/>
      <c r="N29" s="2515"/>
      <c r="O29" s="2141"/>
      <c r="P29" s="2141"/>
      <c r="Q29" s="2141"/>
      <c r="R29" s="2141"/>
      <c r="S29" s="2141"/>
    </row>
    <row r="30" spans="1:19" s="271" customFormat="1">
      <c r="A30" s="2466">
        <v>575</v>
      </c>
      <c r="B30" s="1680" t="s">
        <v>104</v>
      </c>
      <c r="C30" s="1664">
        <f>Drift!P82</f>
        <v>15572.271000000001</v>
      </c>
      <c r="D30" s="1893">
        <f>SUM(Drift!C82:D82)</f>
        <v>3587.701</v>
      </c>
      <c r="E30" s="1664">
        <f>Drift!F82</f>
        <v>50.137</v>
      </c>
      <c r="F30" s="1664">
        <f>Drift!V82</f>
        <v>140.27199999999999</v>
      </c>
      <c r="G30" s="50">
        <v>25.664000000000001</v>
      </c>
      <c r="H30" s="1133">
        <f t="shared" si="4"/>
        <v>15406.334999999999</v>
      </c>
      <c r="I30" s="1128">
        <f>IF(C30&gt;0,H30*1000000/M30,"")</f>
        <v>1455.1149398689613</v>
      </c>
      <c r="J30" s="1128">
        <v>1378.1</v>
      </c>
      <c r="K30" s="2486">
        <f t="shared" si="5"/>
        <v>5.5884870378754371E-2</v>
      </c>
      <c r="L30" s="2141"/>
      <c r="M30" s="2503">
        <v>10587710</v>
      </c>
      <c r="N30" s="2516" t="s">
        <v>503</v>
      </c>
      <c r="O30" s="2141"/>
      <c r="P30" s="2141"/>
      <c r="Q30" s="2141"/>
      <c r="R30" s="2141"/>
      <c r="S30" s="2141"/>
    </row>
    <row r="31" spans="1:19" s="271" customFormat="1" ht="13.5" thickBot="1">
      <c r="A31" s="2469">
        <v>580</v>
      </c>
      <c r="B31" s="1682" t="s">
        <v>167</v>
      </c>
      <c r="C31" s="76">
        <f>C12+C21+C29+C30</f>
        <v>63244.869000000006</v>
      </c>
      <c r="D31" s="76">
        <f>D12+D21+D29+D30</f>
        <v>26684.171000000002</v>
      </c>
      <c r="E31" s="76">
        <f>E12+E21+E29+E30</f>
        <v>14805.007000000001</v>
      </c>
      <c r="F31" s="76">
        <f>F12+F21+F29+F30</f>
        <v>1191.9369999999999</v>
      </c>
      <c r="G31" s="76">
        <f>G12+G21+G29+G30</f>
        <v>318.93</v>
      </c>
      <c r="H31" s="1134">
        <f t="shared" si="4"/>
        <v>61734.002000000008</v>
      </c>
      <c r="I31" s="1135">
        <f>IF(C31&gt;0,H31*1000000/M30,"")</f>
        <v>5830.7227908584582</v>
      </c>
      <c r="J31" s="1135">
        <v>5485.2380000000003</v>
      </c>
      <c r="K31" s="2490">
        <f t="shared" si="5"/>
        <v>6.2984466828687816E-2</v>
      </c>
      <c r="L31" s="2141"/>
      <c r="M31" s="2504"/>
      <c r="N31" s="2517"/>
      <c r="O31" s="2141"/>
      <c r="P31" s="2141"/>
      <c r="Q31" s="2141"/>
      <c r="R31" s="2141"/>
      <c r="S31" s="2141"/>
    </row>
    <row r="32" spans="1:19" s="271" customFormat="1">
      <c r="A32" s="2467">
        <v>585</v>
      </c>
      <c r="B32" s="1681" t="s">
        <v>479</v>
      </c>
      <c r="C32" s="1664">
        <f>Drift!P84</f>
        <v>1430.1230000000003</v>
      </c>
      <c r="D32" s="1893">
        <f>SUM(Drift!C84:D84)</f>
        <v>926.99700000000007</v>
      </c>
      <c r="E32" s="1664">
        <f>Drift!F84</f>
        <v>209.822</v>
      </c>
      <c r="F32" s="1664">
        <f>Drift!V84</f>
        <v>44.018999999999998</v>
      </c>
      <c r="G32" s="307">
        <f>SUM(G33:G34)</f>
        <v>113.092</v>
      </c>
      <c r="H32" s="1133">
        <f t="shared" si="4"/>
        <v>1273.0120000000002</v>
      </c>
      <c r="I32" s="1128">
        <f>IF(C32&gt;0,H32*1000000/M32,"")</f>
        <v>590.48780883775203</v>
      </c>
      <c r="J32" s="1128">
        <v>530.18499999999995</v>
      </c>
      <c r="K32" s="2491">
        <f t="shared" si="5"/>
        <v>0.11373918318653317</v>
      </c>
      <c r="L32" s="2141"/>
      <c r="M32" s="2501">
        <v>2155865</v>
      </c>
      <c r="N32" s="2514" t="s">
        <v>504</v>
      </c>
      <c r="O32" s="2141"/>
      <c r="P32" s="2141"/>
      <c r="Q32" s="2141"/>
      <c r="R32" s="2141"/>
      <c r="S32" s="2141"/>
    </row>
    <row r="33" spans="1:19" s="271" customFormat="1">
      <c r="A33" s="2466">
        <v>5851</v>
      </c>
      <c r="B33" s="1680" t="s">
        <v>165</v>
      </c>
      <c r="C33" s="50">
        <v>1010.6</v>
      </c>
      <c r="D33" s="50">
        <v>710.923</v>
      </c>
      <c r="E33" s="50">
        <v>94.578999999999994</v>
      </c>
      <c r="F33" s="50">
        <v>34.932000000000002</v>
      </c>
      <c r="G33" s="50">
        <v>74.501999999999995</v>
      </c>
      <c r="H33" s="1133">
        <f t="shared" si="4"/>
        <v>901.16600000000005</v>
      </c>
      <c r="I33" s="1128">
        <f>IF(C33&gt;0,H33*1000000/M33,"")</f>
        <v>418.00669336901893</v>
      </c>
      <c r="J33" s="1128">
        <v>374.84399999999999</v>
      </c>
      <c r="K33" s="2486">
        <f t="shared" si="5"/>
        <v>0.11514841739235239</v>
      </c>
      <c r="L33" s="2141"/>
      <c r="M33" s="2501">
        <v>2155865</v>
      </c>
      <c r="N33" s="2514" t="s">
        <v>504</v>
      </c>
      <c r="O33" s="2141"/>
      <c r="P33" s="2141"/>
      <c r="Q33" s="2141"/>
      <c r="R33" s="2141"/>
      <c r="S33" s="2141"/>
    </row>
    <row r="34" spans="1:19" s="271" customFormat="1">
      <c r="A34" s="2466">
        <v>5855</v>
      </c>
      <c r="B34" s="1680" t="s">
        <v>166</v>
      </c>
      <c r="C34" s="50">
        <v>419.524</v>
      </c>
      <c r="D34" s="50">
        <v>216.07599999999999</v>
      </c>
      <c r="E34" s="50">
        <v>115.242</v>
      </c>
      <c r="F34" s="50">
        <v>9.0869999999999997</v>
      </c>
      <c r="G34" s="50">
        <v>38.590000000000003</v>
      </c>
      <c r="H34" s="1133">
        <f t="shared" si="4"/>
        <v>371.84699999999998</v>
      </c>
      <c r="I34" s="1128">
        <f>IF(C34&gt;0,H34*1000000/M34,"")</f>
        <v>54.895188981368257</v>
      </c>
      <c r="J34" s="1128">
        <v>50.124000000000002</v>
      </c>
      <c r="K34" s="2486">
        <f t="shared" si="5"/>
        <v>9.5187714096406001E-2</v>
      </c>
      <c r="L34" s="2141"/>
      <c r="M34" s="2501">
        <v>6773763</v>
      </c>
      <c r="N34" s="2514" t="s">
        <v>505</v>
      </c>
      <c r="O34" s="2141"/>
      <c r="P34" s="2141"/>
      <c r="Q34" s="2141"/>
      <c r="R34" s="2141"/>
      <c r="S34" s="2141"/>
    </row>
    <row r="35" spans="1:19" s="271" customFormat="1" ht="15" customHeight="1" thickBot="1">
      <c r="A35" s="2475">
        <v>58599</v>
      </c>
      <c r="B35" s="2476" t="s">
        <v>501</v>
      </c>
      <c r="C35" s="2477">
        <f>SUM(C33:C34)</f>
        <v>1430.124</v>
      </c>
      <c r="D35" s="2477">
        <f>SUM(D33:D34)</f>
        <v>926.99900000000002</v>
      </c>
      <c r="E35" s="2477">
        <f>SUM(E33:E34)</f>
        <v>209.821</v>
      </c>
      <c r="F35" s="2477">
        <f>SUM(F33:F34)</f>
        <v>44.019000000000005</v>
      </c>
      <c r="G35" s="2477">
        <f>SUM(G33:G34)</f>
        <v>113.092</v>
      </c>
      <c r="H35" s="2478"/>
      <c r="I35" s="2479"/>
      <c r="J35" s="2479"/>
      <c r="K35" s="2492"/>
      <c r="L35" s="2480"/>
      <c r="M35" s="2505"/>
      <c r="N35" s="2518"/>
      <c r="O35" s="2141"/>
      <c r="P35" s="2141"/>
      <c r="Q35" s="2141"/>
      <c r="R35" s="2141"/>
      <c r="S35" s="2141"/>
    </row>
    <row r="36" spans="1:19" s="271" customFormat="1" ht="15" customHeight="1">
      <c r="A36" s="2470"/>
      <c r="B36" s="2141"/>
      <c r="C36" s="2141"/>
      <c r="D36" s="2141"/>
      <c r="E36" s="2141"/>
      <c r="F36" s="2141"/>
      <c r="G36" s="2141"/>
      <c r="H36" s="2141"/>
      <c r="I36" s="2141"/>
      <c r="J36" s="2141"/>
      <c r="K36" s="2141"/>
      <c r="L36" s="2141"/>
      <c r="M36" s="2493"/>
      <c r="N36" s="2141"/>
      <c r="O36" s="2141"/>
      <c r="P36" s="2141"/>
      <c r="Q36" s="2141"/>
      <c r="R36" s="2141"/>
      <c r="S36" s="2141"/>
    </row>
    <row r="37" spans="1:19" s="271" customFormat="1" ht="16.5" customHeight="1">
      <c r="A37" s="1683"/>
      <c r="B37" s="1683"/>
      <c r="C37" s="68"/>
      <c r="D37" s="68"/>
      <c r="E37" s="68"/>
      <c r="F37" s="1175"/>
      <c r="G37" s="1851"/>
      <c r="H37" s="269"/>
      <c r="I37" s="1684"/>
      <c r="J37" s="1684"/>
      <c r="K37" s="1684"/>
      <c r="L37" s="269"/>
      <c r="M37" s="269"/>
      <c r="N37" s="269"/>
      <c r="O37" s="2141"/>
      <c r="P37" s="2141"/>
      <c r="Q37" s="2141"/>
      <c r="R37" s="2141"/>
      <c r="S37" s="2141"/>
    </row>
    <row r="38" spans="1:19" ht="20.25" customHeight="1">
      <c r="A38" s="1151"/>
      <c r="D38" s="68"/>
      <c r="E38" s="68"/>
      <c r="O38" s="2141"/>
      <c r="P38" s="2141"/>
      <c r="Q38" s="2141"/>
      <c r="R38" s="2141"/>
      <c r="S38" s="2141"/>
    </row>
  </sheetData>
  <customSheetViews>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1"/>
      <headerFooter>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3"/>
      <headerFooter alignWithMargins="0">
        <oddHeader>&amp;L&amp;8Statistiska Centralbyrån
Offentlig ekonomi&amp;R&amp;P</oddHeader>
      </headerFooter>
    </customSheetView>
  </customSheetViews>
  <mergeCells count="6">
    <mergeCell ref="K4:K6"/>
    <mergeCell ref="D9:D11"/>
    <mergeCell ref="D6:D8"/>
    <mergeCell ref="E6:E8"/>
    <mergeCell ref="F6:F8"/>
    <mergeCell ref="G6:G8"/>
  </mergeCells>
  <phoneticPr fontId="89" type="noConversion"/>
  <conditionalFormatting sqref="C13:D13 F13 C14:G17 C22:D22 F22 C23:G25 G29:G30 C33:G34">
    <cfRule type="cellIs" dxfId="1" priority="34" stopIfTrue="1" operator="lessThan">
      <formula>-500</formula>
    </cfRule>
    <cfRule type="cellIs" dxfId="0" priority="35" stopIfTrue="1" operator="lessThan">
      <formula>0</formula>
    </cfRule>
  </conditionalFormatting>
  <dataValidations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95</vt:i4>
      </vt:variant>
    </vt:vector>
  </HeadingPairs>
  <TitlesOfParts>
    <vt:vector size="106"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Köp_huvudvht</vt:lpstr>
      <vt:lpstr>LSS</vt:lpstr>
      <vt:lpstr>Pvchef</vt:lpstr>
      <vt:lpstr>SFI</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Manager/>
  <Company>SCB - Statistikmyndigheten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 Kommun 2024</dc:title>
  <dc:subject>Räkenskapssammandrag för kommuner</dc:subject>
  <dc:creator>SCB</dc:creator>
  <dc:description>RIKSTOTAL</dc:description>
  <cp:lastModifiedBy>Glanzelius Marie ESA/BFN/OE-Ö</cp:lastModifiedBy>
  <cp:lastPrinted>2025-08-27T12:31:52Z</cp:lastPrinted>
  <dcterms:created xsi:type="dcterms:W3CDTF">2025-08-27T12:31:52Z</dcterms:created>
  <dcterms:modified xsi:type="dcterms:W3CDTF">2025-08-27T13:19:09Z</dcterms:modified>
</cp:coreProperties>
</file>