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updateLinks="never" codeName="ThisWorkbook"/>
  <mc:AlternateContent xmlns:mc="http://schemas.openxmlformats.org/markup-compatibility/2006">
    <mc:Choice Requires="x15">
      <x15ac:absPath xmlns:x15ac="http://schemas.microsoft.com/office/spreadsheetml/2010/11/ac" url="P:\Prod\INS\RS Kommun\Aktuell\2 Designa och planera\Blankettexempel\"/>
    </mc:Choice>
  </mc:AlternateContent>
  <xr:revisionPtr revIDLastSave="0" documentId="13_ncr:1_{74FD3A75-80F5-498B-BA50-313AD53F4544}" xr6:coauthVersionLast="47" xr6:coauthVersionMax="47" xr10:uidLastSave="{00000000-0000-0000-0000-000000000000}"/>
  <bookViews>
    <workbookView xWindow="28680" yWindow="-120" windowWidth="29040" windowHeight="15720" tabRatio="806" xr2:uid="{00000000-000D-0000-FFFF-FFFF00000000}"/>
  </bookViews>
  <sheets>
    <sheet name="Information" sheetId="2" r:id="rId1"/>
    <sheet name="RR" sheetId="17" r:id="rId2"/>
    <sheet name="BR" sheetId="4" r:id="rId3"/>
    <sheet name="Verks int o kostn" sheetId="19" r:id="rId4"/>
    <sheet name="Investeringar" sheetId="7" r:id="rId5"/>
    <sheet name="Skatter, bidrag o fin poster" sheetId="20" r:id="rId6"/>
    <sheet name="Drift" sheetId="8" r:id="rId7"/>
    <sheet name="Motpart" sheetId="9" r:id="rId8"/>
    <sheet name="Pedagogisk verksamhet" sheetId="10" r:id="rId9"/>
    <sheet name="Äldre o personer funktionsn" sheetId="11" r:id="rId10"/>
    <sheet name="IFO" sheetId="12" r:id="rId11"/>
    <sheet name="Kontrollblad" sheetId="14" r:id="rId12"/>
    <sheet name="Nyckeltal" sheetId="15" state="hidden" r:id="rId13"/>
    <sheet name="Felkontroll" sheetId="16" state="hidden" r:id="rId14"/>
  </sheets>
  <definedNames>
    <definedName name="_GoBack" localSheetId="5">'Skatter,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Motpart!$N$49</definedName>
    <definedName name="Block_1">Drift!$Z$11</definedName>
    <definedName name="Block_2">Drift!$Z$18</definedName>
    <definedName name="Block_3">Drift!$Z$31</definedName>
    <definedName name="Block_6">Drift!$Z$86</definedName>
    <definedName name="BR">BR!$A$94</definedName>
    <definedName name="Datum">"2015-10-16"</definedName>
    <definedName name="Datumföre">"2016-10-17"</definedName>
    <definedName name="Drift">Drift!$A$117</definedName>
    <definedName name="EKchef">Information!$B$16</definedName>
    <definedName name="Ekcheftel">Information!$C$16</definedName>
    <definedName name="Epost1RS">Information!$D$14</definedName>
    <definedName name="Epost2RS">Information!$D$15</definedName>
    <definedName name="Epostaldre">Information!$D$31</definedName>
    <definedName name="EpostAO">Information!$D$32</definedName>
    <definedName name="EpostEkchef">Information!$D$16</definedName>
    <definedName name="Epostforskola">Information!$D$22</definedName>
    <definedName name="Epostgrund">Information!$D$23</definedName>
    <definedName name="Epostgymn">Information!$D$24</definedName>
    <definedName name="Eposthandik">Information!$D$33</definedName>
    <definedName name="Epostifo">Information!$D$34</definedName>
    <definedName name="EpostPV">Information!$D$21</definedName>
    <definedName name="epostpvchef">Information!$D$26</definedName>
    <definedName name="epostvochef">Information!$D$35</definedName>
    <definedName name="Epostvux">Information!$D$25</definedName>
    <definedName name="Extraordinära_RR">RR!$G$17</definedName>
    <definedName name="Familjerätt">IFO!$P$33</definedName>
    <definedName name="Fritidshem">'Pedagogisk verksamhet'!$R$17</definedName>
    <definedName name="Funktionsnedsättning">'Äldre o personer funktionsn'!$T$23</definedName>
    <definedName name="Förskola">'Pedagogisk verksamhet'!$R$9</definedName>
    <definedName name="Förskoleklass">'Pedagogisk verksamhet'!$R$25</definedName>
    <definedName name="Förändring_anläggningstillgångar">Investeringar!$I$16</definedName>
    <definedName name="Grundskola">'Pedagogisk verksamhet'!$R$32</definedName>
    <definedName name="Grundsärskola">'Pedagogisk verksamhet'!$R$45</definedName>
    <definedName name="Grundvux">'Pedagogisk verksamhet'!$R$87</definedName>
    <definedName name="Gymnasieskola">'Pedagogisk verksamhet'!$R$59</definedName>
    <definedName name="Gymnasiesärskola">'Pedagogisk verksamhet'!$R$73</definedName>
    <definedName name="Gymnvux">'Pedagogisk verksamhet'!$R$96</definedName>
    <definedName name="inv19_64">1</definedName>
    <definedName name="inv7_15">Information!$B$5</definedName>
    <definedName name="invanare">Information!$B$4</definedName>
    <definedName name="Investeringar">Investeringar!$G$68</definedName>
    <definedName name="Invånare">Information!$B$4</definedName>
    <definedName name="Jämförelsestörande_RR">RR!$G$23</definedName>
    <definedName name="Kontaktpers1RS">Information!$B$14</definedName>
    <definedName name="Kontaktpers2RS">Information!$B$15</definedName>
    <definedName name="Kontaktpersaldre">Information!$B$32</definedName>
    <definedName name="KontaktpersAO">Information!$B$31</definedName>
    <definedName name="Kontaktpersforskola">Information!$B$22</definedName>
    <definedName name="Kontaktpersgrund">Information!$B$23</definedName>
    <definedName name="Kontaktpersgymn">Information!$B$24</definedName>
    <definedName name="Kontaktpershandik">Information!$B$33</definedName>
    <definedName name="Kontaktpersifo">Information!$B$34</definedName>
    <definedName name="KontaktpersPV">Information!$B$21</definedName>
    <definedName name="Kontaktpersvux">Information!$B$25</definedName>
    <definedName name="Kontakttel1RS">Information!$C$14</definedName>
    <definedName name="Kontakttel2RS">Information!$C$15</definedName>
    <definedName name="Kontakttelaldre">Information!$C$32</definedName>
    <definedName name="KontakttelAO">Information!$C$31</definedName>
    <definedName name="Kontakttelforskola">Information!$C$22</definedName>
    <definedName name="Kontakttelgrund">Information!$C$23</definedName>
    <definedName name="Kontakttelgymn">Information!$C$24</definedName>
    <definedName name="Kontakttelhandik">Information!$C$33</definedName>
    <definedName name="Kontakttelifo">Information!$C$34</definedName>
    <definedName name="Kontakttelpv">Information!$C$21</definedName>
    <definedName name="Kontakttelpvchef">Information!$C$26</definedName>
    <definedName name="Kontakttelvux">Information!$C$25</definedName>
    <definedName name="Kontakttevochef">Information!$C$35</definedName>
    <definedName name="Kontrollblad_1">Kontrollblad!$A$16</definedName>
    <definedName name="Kontrollblad_10">Kontrollblad!$A$104</definedName>
    <definedName name="Kontrollblad_11">Kontrollblad!$A$113</definedName>
    <definedName name="Kontrollblad_12">Kontrollblad!$A$121</definedName>
    <definedName name="Kontrollblad_13">Kontrollblad!$A$129</definedName>
    <definedName name="Kontrollblad_14">Kontrollblad!$A$137</definedName>
    <definedName name="Kontrollblad_15">Kontrollblad!$A$146</definedName>
    <definedName name="Kontrollblad_16">Kontrollblad!$A$154</definedName>
    <definedName name="Kontrollblad_17">Kontrollblad!$A$163</definedName>
    <definedName name="Kontrollblad_18">Kontrollblad!$A$171</definedName>
    <definedName name="Kontrollblad_19">Kontrollblad!$A$184</definedName>
    <definedName name="Kontrollblad_2">Kontrollblad!$A$26</definedName>
    <definedName name="Kontrollblad_3">Kontrollblad!$A$34</definedName>
    <definedName name="Kontrollblad_4">Kontrollblad!$A$51</definedName>
    <definedName name="Kontrollblad_5">Kontrollblad!$A$59</definedName>
    <definedName name="Kontrollblad_6">Kontrollblad!$A$67</definedName>
    <definedName name="Kontrollblad_7">Kontrollblad!$A$75</definedName>
    <definedName name="Kontrollblad_8">Kontrollblad!$A$83</definedName>
    <definedName name="Kontrollblad_9">Kontrollblad!$A$96</definedName>
    <definedName name="Köp_huvudvht">Motpart!$C$49</definedName>
    <definedName name="LSS">'Äldre o personer funktionsn'!$T$33</definedName>
    <definedName name="Pvchef">Information!$B$26</definedName>
    <definedName name="SFI">'Pedagogisk verksamhet'!$R$105</definedName>
    <definedName name="Skatter_bidrag_finpost">'Skatter, bidrag o fin poster'!$H$35</definedName>
    <definedName name="solver_cvg" localSheetId="4" hidden="1">0.0001</definedName>
    <definedName name="solver_drv" localSheetId="4" hidden="1">1</definedName>
    <definedName name="solver_est" localSheetId="4" hidden="1">1</definedName>
    <definedName name="solver_itr" localSheetId="4" hidden="1">100</definedName>
    <definedName name="solver_lin" localSheetId="4" hidden="1">2</definedName>
    <definedName name="solver_neg" localSheetId="4" hidden="1">2</definedName>
    <definedName name="solver_num" localSheetId="4" hidden="1">0</definedName>
    <definedName name="solver_nwt" localSheetId="4" hidden="1">1</definedName>
    <definedName name="solver_opt" localSheetId="4" hidden="1">Investeringar!$D$22</definedName>
    <definedName name="solver_pre" localSheetId="4" hidden="1">0.000001</definedName>
    <definedName name="solver_scl" localSheetId="4" hidden="1">2</definedName>
    <definedName name="solver_sho" localSheetId="4" hidden="1">2</definedName>
    <definedName name="solver_tim" localSheetId="4" hidden="1">100</definedName>
    <definedName name="solver_tol" localSheetId="4" hidden="1">0.05</definedName>
    <definedName name="solver_typ" localSheetId="4" hidden="1">1</definedName>
    <definedName name="solver_val" localSheetId="4" hidden="1">0</definedName>
    <definedName name="Spec_intäkter">Motpart!$Y$49</definedName>
    <definedName name="Spec_VoO">'Äldre o personer funktionsn'!$R$47</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0">Information!$A$1:$E$50</definedName>
    <definedName name="_xlnm.Print_Area" localSheetId="4">Investeringar!$A$1:$M$104</definedName>
    <definedName name="_xlnm.Print_Area" localSheetId="7">Motpart!$A$1:$AD$53</definedName>
    <definedName name="_xlnm.Print_Area" localSheetId="1">RR!$A$1:$K$57</definedName>
    <definedName name="_xlnm.Print_Area" localSheetId="9">'Äldre o personer funktionsn'!$A$1:$U$61</definedName>
    <definedName name="_xlnm.Print_Titles" localSheetId="6">Drift!$A:$B,Drift!$1:$10</definedName>
    <definedName name="_xlnm.Print_Titles" localSheetId="7">Motpart!$A:$B,Motpart!$1:$8</definedName>
    <definedName name="Vht_int">'Verks int o kostn'!$F$35</definedName>
    <definedName name="Vht_kostn">'Verks int o kostn'!$F$77</definedName>
    <definedName name="VOchef">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0" hidden="1">Information!$F:$IV</definedName>
    <definedName name="Z_27C9E95B_0E2B_454F_B637_1CECC9579A10_.wvu.Cols" localSheetId="4" hidden="1">Investeringar!$M:$IV</definedName>
    <definedName name="Z_27C9E95B_0E2B_454F_B637_1CECC9579A10_.wvu.Cols" localSheetId="7" hidden="1">Motpart!$AE:$IV</definedName>
    <definedName name="Z_27C9E95B_0E2B_454F_B637_1CECC9579A10_.wvu.Cols" localSheetId="8" hidden="1">'Pedagogisk verksamhet'!$H:$H,'Pedagogisk verksamhet'!$Y:$IV</definedName>
    <definedName name="Z_27C9E95B_0E2B_454F_B637_1CECC9579A10_.wvu.Cols" localSheetId="1" hidden="1">RR!$L:$IV</definedName>
    <definedName name="Z_27C9E95B_0E2B_454F_B637_1CECC9579A10_.wvu.Cols" localSheetId="5" hidden="1">'Skatter, bidrag o fin poster'!$U:$IV</definedName>
    <definedName name="Z_27C9E95B_0E2B_454F_B637_1CECC9579A10_.wvu.Cols" localSheetId="9" hidden="1">'Äldre o personer funktionsn'!$V:$IV</definedName>
    <definedName name="Z_27C9E95B_0E2B_454F_B637_1CECC9579A10_.wvu.Rows" localSheetId="2" hidden="1">BR!$100:$65542,BR!#REF!,BR!$95:$95</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0" hidden="1">Information!$51:$65536</definedName>
    <definedName name="Z_27C9E95B_0E2B_454F_B637_1CECC9579A10_.wvu.Rows" localSheetId="4" hidden="1">Investeringar!$118:$65536,Investeringar!$105:$114</definedName>
    <definedName name="Z_27C9E95B_0E2B_454F_B637_1CECC9579A10_.wvu.Rows" localSheetId="7" hidden="1">Motpart!$55:$65538</definedName>
    <definedName name="Z_27C9E95B_0E2B_454F_B637_1CECC9579A10_.wvu.Rows" localSheetId="8" hidden="1">'Pedagogisk verksamhet'!$105:$65536</definedName>
    <definedName name="Z_27C9E95B_0E2B_454F_B637_1CECC9579A10_.wvu.Rows" localSheetId="1" hidden="1">RR!$67:$65545,RR!$59:$59</definedName>
    <definedName name="Z_27C9E95B_0E2B_454F_B637_1CECC9579A10_.wvu.Rows" localSheetId="5"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funktionsn'!$63:$65538</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0" hidden="1">Information!#REF!</definedName>
    <definedName name="Z_97D6DB71_3F4C_4C5F_8C5B_51E3EBF78932_.wvu.Cols" localSheetId="4" hidden="1">Investeringar!#REF!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5"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BR!#REF!,BR!#REF!,BR!$95:$95</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0" hidden="1">Information!#REF!</definedName>
    <definedName name="Z_97D6DB71_3F4C_4C5F_8C5B_51E3EBF78932_.wvu.Rows" localSheetId="4" hidden="1">Investeringar!#REF!,Investeringar!$105:$114</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RR!#REF!,RR!$59:$59</definedName>
    <definedName name="Z_97D6DB71_3F4C_4C5F_8C5B_51E3EBF78932_.wvu.Rows" localSheetId="5"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0" hidden="1">Information!#REF!</definedName>
    <definedName name="Z_99FBDEB7_DD08_4F57_81F4_3C180403E153_.wvu.Cols" localSheetId="4" hidden="1">Investeringar!#REF!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5"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BR!#REF!,BR!#REF!,BR!$95:$95</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0" hidden="1">Information!#REF!</definedName>
    <definedName name="Z_99FBDEB7_DD08_4F57_81F4_3C180403E153_.wvu.Rows" localSheetId="4" hidden="1">Investeringar!#REF!,Investeringar!$105:$114</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RR!#REF!,RR!$59:$59</definedName>
    <definedName name="Z_99FBDEB7_DD08_4F57_81F4_3C180403E153_.wvu.Rows" localSheetId="5"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0" hidden="1">Information!$F:$IV</definedName>
    <definedName name="Z_FA98FB86_76DB_4A0E_BD94_632DC6B7BC81_.wvu.Cols" localSheetId="4" hidden="1">Investeringar!$M:$IV</definedName>
    <definedName name="Z_FA98FB86_76DB_4A0E_BD94_632DC6B7BC81_.wvu.Cols" localSheetId="7" hidden="1">Motpart!$AE:$IV</definedName>
    <definedName name="Z_FA98FB86_76DB_4A0E_BD94_632DC6B7BC81_.wvu.Cols" localSheetId="8" hidden="1">'Pedagogisk verksamhet'!$H:$H,'Pedagogisk verksamhet'!$Y:$IV</definedName>
    <definedName name="Z_FA98FB86_76DB_4A0E_BD94_632DC6B7BC81_.wvu.Cols" localSheetId="1" hidden="1">RR!$L:$IV</definedName>
    <definedName name="Z_FA98FB86_76DB_4A0E_BD94_632DC6B7BC81_.wvu.Cols" localSheetId="5" hidden="1">'Skatter, bidrag o fin poster'!$U:$IV</definedName>
    <definedName name="Z_FA98FB86_76DB_4A0E_BD94_632DC6B7BC81_.wvu.Cols" localSheetId="9" hidden="1">'Äldre o personer funktionsn'!$V:$IV</definedName>
    <definedName name="Z_FA98FB86_76DB_4A0E_BD94_632DC6B7BC81_.wvu.Rows" localSheetId="2" hidden="1">BR!$100:$65542,BR!#REF!,BR!$95:$95</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0" hidden="1">Information!$51:$65536</definedName>
    <definedName name="Z_FA98FB86_76DB_4A0E_BD94_632DC6B7BC81_.wvu.Rows" localSheetId="4" hidden="1">Investeringar!$118:$65536,Investeringar!$105:$114</definedName>
    <definedName name="Z_FA98FB86_76DB_4A0E_BD94_632DC6B7BC81_.wvu.Rows" localSheetId="7" hidden="1">Motpart!$55:$65538</definedName>
    <definedName name="Z_FA98FB86_76DB_4A0E_BD94_632DC6B7BC81_.wvu.Rows" localSheetId="8" hidden="1">'Pedagogisk verksamhet'!$105:$65536</definedName>
    <definedName name="Z_FA98FB86_76DB_4A0E_BD94_632DC6B7BC81_.wvu.Rows" localSheetId="1" hidden="1">RR!$67:$65545,RR!$59:$59</definedName>
    <definedName name="Z_FA98FB86_76DB_4A0E_BD94_632DC6B7BC81_.wvu.Rows" localSheetId="5"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funktionsn'!$63:$65538</definedName>
    <definedName name="År">2025</definedName>
    <definedName name="ÄF_inkl_IFO">Drift!$Z$72</definedName>
    <definedName name="Äldre">'Äldre o personer funktionsn'!$T$12</definedName>
    <definedName name="Övr._o_ek.bistånd">IFO!$P$30</definedName>
  </definedNames>
  <calcPr calcId="191029"/>
  <customWorkbookViews>
    <customWorkbookView name="SCB - Personlig vy" guid="{27C9E95B-0E2B-454F-B637-1CECC9579A10}" mergeInterval="0" personalView="1" maximized="1" windowWidth="1916" windowHeight="881" tabRatio="806" activeSheetId="4"/>
    <customWorkbookView name="scbingj - Personlig vy" guid="{99FBDEB7-DD08-4F57-81F4-3C180403E153}" mergeInterval="0" personalView="1" maximized="1" xWindow="1" yWindow="1" windowWidth="1916" windowHeight="839" tabRatio="806" activeSheetId="10"/>
    <customWorkbookView name="scbelie - Personlig vy" guid="{97D6DB71-3F4C-4C5F-8C5B-51E3EBF78932}" mergeInterval="0" personalView="1" maximized="1" xWindow="1" yWindow="1" windowWidth="1676" windowHeight="829" tabRatio="806" activeSheetId="11"/>
    <customWorkbookView name="Håkan Wilén - Personlig vy" guid="{FA98FB86-76DB-4A0E-BD94-632DC6B7BC81}" mergeInterval="0" personalView="1" maximized="1" xWindow="1" yWindow="1" windowWidth="1680" windowHeight="829" tabRatio="80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 i="11" l="1"/>
  <c r="E53" i="19"/>
  <c r="C53" i="19"/>
  <c r="P109" i="10"/>
  <c r="P100" i="10"/>
  <c r="P110" i="10"/>
  <c r="P105" i="10"/>
  <c r="P106" i="10"/>
  <c r="P107" i="10"/>
  <c r="P108" i="10"/>
  <c r="P104" i="10"/>
  <c r="P95" i="10"/>
  <c r="K32" i="12"/>
  <c r="K34" i="12"/>
  <c r="K33" i="12"/>
  <c r="K31" i="12"/>
  <c r="K30" i="12"/>
  <c r="K29" i="12"/>
  <c r="K25" i="12"/>
  <c r="L34" i="12"/>
  <c r="L33" i="12"/>
  <c r="L32" i="12"/>
  <c r="L30" i="12"/>
  <c r="L26" i="12"/>
  <c r="L25" i="12"/>
  <c r="L23" i="12"/>
  <c r="L24" i="12"/>
  <c r="L22" i="12"/>
  <c r="K21" i="12"/>
  <c r="K23" i="12"/>
  <c r="K24" i="12"/>
  <c r="K26" i="12"/>
  <c r="K22" i="12"/>
  <c r="I34" i="12"/>
  <c r="I33" i="12"/>
  <c r="I32" i="12"/>
  <c r="I31" i="12"/>
  <c r="I30" i="12"/>
  <c r="I29" i="12"/>
  <c r="I26" i="12"/>
  <c r="I25" i="12"/>
  <c r="I24" i="12"/>
  <c r="I23" i="12"/>
  <c r="I22" i="12"/>
  <c r="I21" i="12"/>
  <c r="I18" i="12"/>
  <c r="K18" i="12" s="1"/>
  <c r="I17" i="12"/>
  <c r="I16" i="12"/>
  <c r="I15" i="12"/>
  <c r="I14" i="12"/>
  <c r="I13" i="12"/>
  <c r="K14" i="12"/>
  <c r="K15" i="12"/>
  <c r="K16" i="12"/>
  <c r="K17" i="12"/>
  <c r="K13" i="12"/>
  <c r="AD112" i="8"/>
  <c r="A5" i="2"/>
  <c r="A4" i="2"/>
  <c r="F43" i="4" l="1"/>
  <c r="F44" i="4"/>
  <c r="J53" i="19"/>
  <c r="O17" i="11"/>
  <c r="O16" i="11"/>
  <c r="O15" i="11"/>
  <c r="D42" i="17" l="1"/>
  <c r="D50" i="4" l="1"/>
  <c r="D49" i="4"/>
  <c r="AC48" i="9" l="1"/>
  <c r="D106" i="16"/>
  <c r="D105" i="16"/>
  <c r="C105" i="16"/>
  <c r="C102" i="16"/>
  <c r="C101" i="16"/>
  <c r="C100" i="16"/>
  <c r="A105" i="16"/>
  <c r="A102" i="16"/>
  <c r="A101" i="16"/>
  <c r="A100" i="16"/>
  <c r="D37" i="17"/>
  <c r="D39" i="17"/>
  <c r="D38" i="17"/>
  <c r="X30" i="10"/>
  <c r="X22" i="10"/>
  <c r="E111" i="10" l="1"/>
  <c r="E102" i="10"/>
  <c r="E93" i="10"/>
  <c r="E81" i="10"/>
  <c r="E67" i="10"/>
  <c r="E53" i="10"/>
  <c r="E40" i="10"/>
  <c r="X84" i="10"/>
  <c r="X80" i="10"/>
  <c r="X70" i="10"/>
  <c r="X66" i="10"/>
  <c r="X56" i="10"/>
  <c r="X52" i="10"/>
  <c r="X42" i="10"/>
  <c r="X39" i="10"/>
  <c r="X14" i="10"/>
  <c r="F19" i="4"/>
  <c r="F50" i="4"/>
  <c r="F49" i="4"/>
  <c r="B93" i="15"/>
  <c r="B80" i="15"/>
  <c r="B84" i="15"/>
  <c r="B79" i="15"/>
  <c r="B78" i="15"/>
  <c r="AD111" i="8"/>
  <c r="O81" i="10" l="1"/>
  <c r="P76" i="10" l="1"/>
  <c r="P20" i="10"/>
  <c r="P13" i="10"/>
  <c r="AH68" i="8" l="1"/>
  <c r="AH66" i="8"/>
  <c r="AH65" i="8"/>
  <c r="AH62" i="8"/>
  <c r="AH64" i="8"/>
  <c r="F45" i="4"/>
  <c r="D46" i="17" l="1"/>
  <c r="M110" i="10"/>
  <c r="M80" i="10" l="1"/>
  <c r="M66" i="10"/>
  <c r="M52" i="10"/>
  <c r="M39" i="10"/>
  <c r="M84" i="10" l="1"/>
  <c r="M70" i="10"/>
  <c r="M56" i="10"/>
  <c r="M42" i="10"/>
  <c r="M30" i="10" l="1"/>
  <c r="M22" i="10"/>
  <c r="M14" i="10"/>
  <c r="B39" i="17"/>
  <c r="F58" i="4"/>
  <c r="F31" i="4" l="1"/>
  <c r="D31" i="4"/>
  <c r="D45" i="14" l="1"/>
  <c r="D101" i="14" l="1"/>
  <c r="D46" i="14"/>
  <c r="D49" i="14" s="1"/>
  <c r="D100" i="14"/>
  <c r="U44" i="9"/>
  <c r="D14" i="14" l="1"/>
  <c r="D13" i="14"/>
  <c r="D12" i="14"/>
  <c r="D11" i="14"/>
  <c r="D10" i="14"/>
  <c r="D9" i="14"/>
  <c r="D8" i="14"/>
  <c r="D7" i="14"/>
  <c r="A38" i="16" l="1"/>
  <c r="A18" i="16"/>
  <c r="A17" i="16"/>
  <c r="A16" i="16"/>
  <c r="A15" i="16"/>
  <c r="A14" i="16"/>
  <c r="A13" i="16"/>
  <c r="A12" i="16"/>
  <c r="A11" i="16"/>
  <c r="A20" i="16"/>
  <c r="A19" i="16"/>
  <c r="F108" i="15" l="1"/>
  <c r="G108" i="15"/>
  <c r="F47" i="4" l="1"/>
  <c r="B38" i="17"/>
  <c r="B37" i="17"/>
  <c r="B41" i="4" l="1"/>
  <c r="Y43" i="9"/>
  <c r="J75" i="19" l="1"/>
  <c r="I76" i="19"/>
  <c r="M77" i="4" l="1"/>
  <c r="J59" i="19"/>
  <c r="J52" i="19"/>
  <c r="E48" i="19"/>
  <c r="E47" i="19"/>
  <c r="E22" i="19"/>
  <c r="E21" i="19"/>
  <c r="D52" i="11"/>
  <c r="C53" i="11"/>
  <c r="D53" i="11" s="1"/>
  <c r="C54" i="11"/>
  <c r="I108" i="10"/>
  <c r="F104" i="10"/>
  <c r="D104" i="10"/>
  <c r="AD27" i="9"/>
  <c r="AD26" i="9"/>
  <c r="AD24" i="9"/>
  <c r="N24" i="9" l="1"/>
  <c r="X24" i="9" s="1"/>
  <c r="C24" i="9"/>
  <c r="J19" i="19" l="1"/>
  <c r="G104" i="10"/>
  <c r="W62" i="8"/>
  <c r="E104" i="10" s="1"/>
  <c r="E112" i="10" s="1"/>
  <c r="X109" i="10" l="1"/>
  <c r="X108" i="10"/>
  <c r="X107" i="10"/>
  <c r="X106" i="10"/>
  <c r="X105" i="10"/>
  <c r="X99" i="10"/>
  <c r="L17" i="11"/>
  <c r="K17" i="11"/>
  <c r="M17" i="11" s="1"/>
  <c r="K16" i="11"/>
  <c r="M16" i="11" s="1"/>
  <c r="B13" i="15" l="1"/>
  <c r="B44" i="15" s="1"/>
  <c r="X104" i="10"/>
  <c r="X110" i="10" s="1"/>
  <c r="N27" i="9"/>
  <c r="X27" i="9" s="1"/>
  <c r="N26" i="9"/>
  <c r="X26" i="9" s="1"/>
  <c r="N25" i="9"/>
  <c r="C26" i="9"/>
  <c r="M26" i="9" s="1"/>
  <c r="N23" i="9"/>
  <c r="X23" i="9" s="1"/>
  <c r="C27" i="9"/>
  <c r="M27" i="9" s="1"/>
  <c r="M24" i="9"/>
  <c r="C23" i="9"/>
  <c r="M108" i="10"/>
  <c r="M107" i="10"/>
  <c r="M106" i="10"/>
  <c r="M105" i="10"/>
  <c r="M109" i="10" l="1"/>
  <c r="O109" i="10" s="1"/>
  <c r="O107" i="10"/>
  <c r="G111" i="10"/>
  <c r="G112" i="10" s="1"/>
  <c r="I13" i="7"/>
  <c r="O106" i="10" l="1"/>
  <c r="O108" i="10"/>
  <c r="M104" i="10"/>
  <c r="O105" i="10"/>
  <c r="X65" i="10"/>
  <c r="W48" i="8"/>
  <c r="AH48" i="8" s="1"/>
  <c r="AD48" i="8"/>
  <c r="D78" i="7"/>
  <c r="E19" i="19"/>
  <c r="O104" i="10" l="1"/>
  <c r="J57" i="4"/>
  <c r="AD107" i="8"/>
  <c r="AD106" i="8"/>
  <c r="AD105" i="8"/>
  <c r="AD104" i="8"/>
  <c r="AD100" i="8"/>
  <c r="D82" i="7"/>
  <c r="E94" i="7"/>
  <c r="I14" i="7"/>
  <c r="J43" i="19"/>
  <c r="J42" i="19"/>
  <c r="F62" i="4"/>
  <c r="I11" i="10"/>
  <c r="I19" i="10"/>
  <c r="I27" i="10"/>
  <c r="B6" i="9"/>
  <c r="B6" i="8"/>
  <c r="I19" i="20"/>
  <c r="I5" i="20"/>
  <c r="B32" i="20"/>
  <c r="B18" i="20"/>
  <c r="B5" i="20"/>
  <c r="B38" i="19"/>
  <c r="B5" i="19"/>
  <c r="H12" i="4"/>
  <c r="B4" i="4"/>
  <c r="A1" i="4"/>
  <c r="D81" i="4"/>
  <c r="M81" i="4"/>
  <c r="B35" i="17"/>
  <c r="B34" i="17"/>
  <c r="X119" i="8" l="1"/>
  <c r="Q123" i="8"/>
  <c r="E27" i="20" l="1"/>
  <c r="L74" i="4"/>
  <c r="M38" i="19"/>
  <c r="N38" i="19"/>
  <c r="M39" i="19"/>
  <c r="N39" i="19"/>
  <c r="E97" i="7"/>
  <c r="E96" i="7"/>
  <c r="E95" i="7"/>
  <c r="D81" i="7"/>
  <c r="D80" i="7"/>
  <c r="D79" i="7"/>
  <c r="D75" i="7"/>
  <c r="D74" i="7"/>
  <c r="C46" i="19"/>
  <c r="X76" i="10"/>
  <c r="M65" i="10" l="1"/>
  <c r="P65" i="10" s="1"/>
  <c r="M76" i="10"/>
  <c r="M33" i="11" l="1"/>
  <c r="M34" i="11"/>
  <c r="M35" i="11"/>
  <c r="M36" i="11"/>
  <c r="M14" i="11"/>
  <c r="M15" i="11"/>
  <c r="L14" i="11" l="1"/>
  <c r="L15" i="11"/>
  <c r="K15" i="11"/>
  <c r="K14" i="11"/>
  <c r="K25" i="11"/>
  <c r="M61" i="10" l="1"/>
  <c r="P61" i="10" s="1"/>
  <c r="M60" i="10"/>
  <c r="M33" i="10"/>
  <c r="M58" i="10"/>
  <c r="B106" i="15" s="1"/>
  <c r="M59" i="10"/>
  <c r="P59" i="10" s="1"/>
  <c r="M19" i="10"/>
  <c r="M27" i="10"/>
  <c r="M11" i="10"/>
  <c r="M62" i="10"/>
  <c r="F86" i="4" l="1"/>
  <c r="F83" i="4"/>
  <c r="F84" i="4"/>
  <c r="F85" i="4"/>
  <c r="F82" i="4"/>
  <c r="D38" i="11"/>
  <c r="E38" i="11"/>
  <c r="F38" i="11"/>
  <c r="G38" i="11"/>
  <c r="H38" i="11"/>
  <c r="I38" i="11"/>
  <c r="J38" i="11"/>
  <c r="C38" i="11"/>
  <c r="D30" i="11"/>
  <c r="E30" i="11"/>
  <c r="F30" i="11"/>
  <c r="G30" i="11"/>
  <c r="H30" i="11"/>
  <c r="I30" i="11"/>
  <c r="J30" i="11"/>
  <c r="C30" i="11"/>
  <c r="O14" i="11" l="1"/>
  <c r="AC43" i="9" l="1"/>
  <c r="D178" i="14"/>
  <c r="F74" i="4"/>
  <c r="F71" i="4"/>
  <c r="F70" i="4"/>
  <c r="F69" i="4"/>
  <c r="A3" i="16" s="1"/>
  <c r="J71" i="4" l="1"/>
  <c r="F67" i="4" l="1"/>
  <c r="L37" i="19" l="1"/>
  <c r="D31" i="19" l="1"/>
  <c r="L67" i="4"/>
  <c r="N36" i="9"/>
  <c r="N34" i="9"/>
  <c r="C36" i="9"/>
  <c r="C34" i="9"/>
  <c r="M22" i="12"/>
  <c r="M13" i="12"/>
  <c r="E12" i="20"/>
  <c r="E11" i="20"/>
  <c r="I11" i="7"/>
  <c r="R37" i="11" l="1"/>
  <c r="R24" i="11"/>
  <c r="R14" i="11"/>
  <c r="E41" i="20" l="1"/>
  <c r="J11" i="7" l="1"/>
  <c r="I6" i="7" l="1"/>
  <c r="J7" i="7" s="1"/>
  <c r="L66" i="4"/>
  <c r="L65" i="4"/>
  <c r="E22" i="12" l="1"/>
  <c r="E13" i="12"/>
  <c r="A7" i="2"/>
  <c r="J17" i="17" l="1"/>
  <c r="J32" i="19" l="1"/>
  <c r="J30" i="19"/>
  <c r="J25" i="19"/>
  <c r="E32" i="19" l="1"/>
  <c r="N55" i="4"/>
  <c r="M54" i="4"/>
  <c r="M53" i="4"/>
  <c r="F56" i="4"/>
  <c r="F53" i="4"/>
  <c r="F51" i="4"/>
  <c r="E63" i="4" l="1"/>
  <c r="D63" i="4"/>
  <c r="M78" i="4" s="1"/>
  <c r="D55" i="4"/>
  <c r="F55" i="4" s="1"/>
  <c r="M55" i="4" l="1"/>
  <c r="B148" i="15"/>
  <c r="D98" i="16" l="1"/>
  <c r="D97" i="16"/>
  <c r="D96" i="16"/>
  <c r="D95" i="16"/>
  <c r="D94" i="16"/>
  <c r="E95" i="16"/>
  <c r="E96" i="16"/>
  <c r="E97" i="16"/>
  <c r="E98" i="16"/>
  <c r="E94" i="16"/>
  <c r="A25" i="16"/>
  <c r="I9" i="7" l="1"/>
  <c r="D142" i="14" l="1"/>
  <c r="D143" i="14"/>
  <c r="B134" i="14"/>
  <c r="J40" i="19" l="1"/>
  <c r="E74" i="19"/>
  <c r="E34" i="19"/>
  <c r="F21" i="4"/>
  <c r="W46" i="9" l="1"/>
  <c r="V46" i="9"/>
  <c r="L75" i="4" l="1"/>
  <c r="I12" i="7" l="1"/>
  <c r="M15" i="20"/>
  <c r="E46" i="19" l="1"/>
  <c r="J46" i="19"/>
  <c r="J29" i="19" l="1"/>
  <c r="J28" i="19"/>
  <c r="J27" i="19"/>
  <c r="J26" i="4"/>
  <c r="J23" i="4"/>
  <c r="J21" i="4"/>
  <c r="J16" i="4"/>
  <c r="J14" i="4"/>
  <c r="P125" i="8" l="1"/>
  <c r="D6" i="14" l="1"/>
  <c r="B7" i="14"/>
  <c r="D54" i="19"/>
  <c r="D5" i="14" l="1"/>
  <c r="B6" i="14"/>
  <c r="D181" i="14" l="1"/>
  <c r="D180" i="14"/>
  <c r="D179" i="14"/>
  <c r="D177" i="14"/>
  <c r="D176" i="14"/>
  <c r="D168" i="14"/>
  <c r="D160" i="14"/>
  <c r="D159" i="14"/>
  <c r="D151" i="14"/>
  <c r="D134" i="14"/>
  <c r="D126" i="14"/>
  <c r="D118" i="14"/>
  <c r="D110" i="14"/>
  <c r="D109" i="14"/>
  <c r="D23" i="14"/>
  <c r="D43" i="14"/>
  <c r="D41" i="14"/>
  <c r="D40" i="14"/>
  <c r="D90" i="14"/>
  <c r="D89" i="14"/>
  <c r="D88" i="14"/>
  <c r="D80" i="14"/>
  <c r="D64" i="14"/>
  <c r="D31" i="14"/>
  <c r="D21" i="14"/>
  <c r="G43" i="11"/>
  <c r="G42" i="11"/>
  <c r="AB43" i="9"/>
  <c r="AA43" i="9"/>
  <c r="Z43" i="9"/>
  <c r="I10" i="7"/>
  <c r="D182" i="14" l="1"/>
  <c r="I17" i="17"/>
  <c r="R15" i="20" l="1"/>
  <c r="R16" i="20"/>
  <c r="D39" i="20" l="1"/>
  <c r="K30" i="20"/>
  <c r="D28" i="20"/>
  <c r="K16" i="20"/>
  <c r="M12" i="20" s="1"/>
  <c r="D14" i="20"/>
  <c r="C11" i="17" s="1"/>
  <c r="C11" i="20"/>
  <c r="C10" i="20"/>
  <c r="C9" i="20"/>
  <c r="R8" i="20"/>
  <c r="T1" i="20"/>
  <c r="N1" i="20"/>
  <c r="A1" i="20"/>
  <c r="M10" i="20" l="1"/>
  <c r="C12" i="17"/>
  <c r="K31" i="20"/>
  <c r="L31" i="20" s="1"/>
  <c r="M29" i="20"/>
  <c r="M25" i="20"/>
  <c r="M14" i="20"/>
  <c r="M23" i="20"/>
  <c r="M24" i="20"/>
  <c r="M27" i="20"/>
  <c r="M22" i="20"/>
  <c r="M26" i="20"/>
  <c r="M28" i="20"/>
  <c r="M9" i="20"/>
  <c r="M13" i="20"/>
  <c r="K17" i="20"/>
  <c r="L17" i="20" s="1"/>
  <c r="M8" i="20"/>
  <c r="M11" i="20"/>
  <c r="E12" i="10" l="1"/>
  <c r="C26" i="10"/>
  <c r="C18" i="10"/>
  <c r="M18" i="10" s="1"/>
  <c r="C10" i="10"/>
  <c r="J8" i="7" l="1"/>
  <c r="J10" i="7"/>
  <c r="J9" i="7"/>
  <c r="D76" i="19" l="1"/>
  <c r="E73" i="19"/>
  <c r="D72" i="19"/>
  <c r="D75" i="19" s="1"/>
  <c r="N68" i="19"/>
  <c r="O68" i="19" s="1"/>
  <c r="N61" i="19"/>
  <c r="O61" i="19" s="1"/>
  <c r="D59" i="19"/>
  <c r="J58" i="19"/>
  <c r="J55" i="19"/>
  <c r="J51" i="19"/>
  <c r="N50" i="19"/>
  <c r="O50" i="19" s="1"/>
  <c r="J50" i="19"/>
  <c r="N49" i="19"/>
  <c r="O49" i="19" s="1"/>
  <c r="E49" i="19"/>
  <c r="N45" i="19"/>
  <c r="O45" i="19" s="1"/>
  <c r="J45" i="19"/>
  <c r="A23" i="16" s="1"/>
  <c r="D44" i="19"/>
  <c r="E43" i="19"/>
  <c r="J41" i="19"/>
  <c r="A22" i="16" s="1"/>
  <c r="D36" i="19"/>
  <c r="E33" i="19"/>
  <c r="D26" i="19"/>
  <c r="N22" i="19"/>
  <c r="O22" i="19" s="1"/>
  <c r="D16" i="19"/>
  <c r="N16" i="19" s="1"/>
  <c r="O16" i="19" s="1"/>
  <c r="N13" i="19"/>
  <c r="O13" i="19" s="1"/>
  <c r="D12" i="19"/>
  <c r="N8" i="19"/>
  <c r="O8" i="19" s="1"/>
  <c r="N6" i="19"/>
  <c r="M6" i="19"/>
  <c r="L4" i="19"/>
  <c r="J1" i="19"/>
  <c r="I1" i="19"/>
  <c r="A1" i="19"/>
  <c r="D56" i="14" l="1"/>
  <c r="E26" i="19"/>
  <c r="E25" i="19"/>
  <c r="N44" i="19"/>
  <c r="O44" i="19" s="1"/>
  <c r="N12" i="19"/>
  <c r="O12" i="19" s="1"/>
  <c r="D72" i="14"/>
  <c r="N26" i="19"/>
  <c r="O26" i="19" s="1"/>
  <c r="D91" i="14"/>
  <c r="N59" i="19"/>
  <c r="O59" i="19" s="1"/>
  <c r="D20" i="14"/>
  <c r="N72" i="19"/>
  <c r="O72" i="19" s="1"/>
  <c r="D39" i="14"/>
  <c r="N31" i="19"/>
  <c r="O31" i="19" s="1"/>
  <c r="D93" i="14"/>
  <c r="D77" i="19"/>
  <c r="A24" i="16" s="1"/>
  <c r="D35" i="19"/>
  <c r="D37" i="19" s="1"/>
  <c r="A21" i="16" s="1"/>
  <c r="B126" i="14" l="1"/>
  <c r="F136" i="14" l="1"/>
  <c r="F128" i="14"/>
  <c r="B217" i="14"/>
  <c r="E217" i="14" s="1"/>
  <c r="B216" i="14"/>
  <c r="D216" i="14" s="1"/>
  <c r="B215" i="14"/>
  <c r="D215" i="14" s="1"/>
  <c r="B214" i="14"/>
  <c r="E214" i="14" s="1"/>
  <c r="B213" i="14"/>
  <c r="E213" i="14" s="1"/>
  <c r="E136" i="14" l="1"/>
  <c r="A93" i="16"/>
  <c r="E128" i="14"/>
  <c r="A92" i="16"/>
  <c r="E135" i="14"/>
  <c r="E127" i="14"/>
  <c r="E215" i="14"/>
  <c r="E216" i="14"/>
  <c r="D214" i="14"/>
  <c r="D213" i="14"/>
  <c r="D217" i="14"/>
  <c r="D144" i="14" l="1"/>
  <c r="B118" i="14" l="1"/>
  <c r="B109" i="14"/>
  <c r="B111" i="14" s="1"/>
  <c r="B100" i="14"/>
  <c r="B102" i="14" s="1"/>
  <c r="D111" i="14" l="1"/>
  <c r="F112" i="14" s="1"/>
  <c r="E112" i="14" s="1"/>
  <c r="F120" i="14"/>
  <c r="D102" i="14"/>
  <c r="E119" i="14" l="1"/>
  <c r="A91" i="16"/>
  <c r="F103" i="14"/>
  <c r="A89" i="16" s="1"/>
  <c r="E120" i="14"/>
  <c r="E102" i="14" l="1"/>
  <c r="E103" i="14"/>
  <c r="W122" i="8"/>
  <c r="E17" i="17" l="1"/>
  <c r="I56" i="17"/>
  <c r="J52" i="17"/>
  <c r="I52" i="17"/>
  <c r="B40" i="17"/>
  <c r="B36" i="17"/>
  <c r="B33" i="17"/>
  <c r="B32" i="17"/>
  <c r="B31" i="17"/>
  <c r="E15" i="17"/>
  <c r="J14" i="17"/>
  <c r="I14" i="17"/>
  <c r="E14" i="17"/>
  <c r="D10" i="17"/>
  <c r="C10" i="17"/>
  <c r="J9" i="17"/>
  <c r="I9" i="17"/>
  <c r="E9" i="17"/>
  <c r="J8" i="17"/>
  <c r="I8" i="17"/>
  <c r="E8" i="17"/>
  <c r="J7" i="17"/>
  <c r="I7" i="17"/>
  <c r="E7" i="17"/>
  <c r="A1" i="16" s="1"/>
  <c r="G1" i="17"/>
  <c r="F1" i="17"/>
  <c r="A1" i="17"/>
  <c r="D11" i="17" l="1"/>
  <c r="J11" i="17" s="1"/>
  <c r="I10" i="17"/>
  <c r="I11" i="17"/>
  <c r="J10" i="17"/>
  <c r="Q37" i="11" l="1"/>
  <c r="I38" i="10" l="1"/>
  <c r="L21" i="12" l="1"/>
  <c r="L12" i="12"/>
  <c r="I99" i="10" l="1"/>
  <c r="I90" i="10"/>
  <c r="I79" i="10"/>
  <c r="I65" i="10"/>
  <c r="I51" i="10"/>
  <c r="B252" i="14" l="1"/>
  <c r="E252" i="14" s="1"/>
  <c r="B239" i="14"/>
  <c r="D239" i="14" s="1"/>
  <c r="B240" i="14"/>
  <c r="E240" i="14" s="1"/>
  <c r="B241" i="14"/>
  <c r="E241" i="14" s="1"/>
  <c r="B242" i="14"/>
  <c r="D242" i="14" s="1"/>
  <c r="B243" i="14"/>
  <c r="D243" i="14" s="1"/>
  <c r="B244" i="14"/>
  <c r="E244" i="14" s="1"/>
  <c r="B245" i="14"/>
  <c r="D245" i="14" s="1"/>
  <c r="B246" i="14"/>
  <c r="E246" i="14" s="1"/>
  <c r="B247" i="14"/>
  <c r="D247" i="14" s="1"/>
  <c r="B248" i="14"/>
  <c r="E248" i="14" s="1"/>
  <c r="B250" i="14"/>
  <c r="E250" i="14" s="1"/>
  <c r="B251" i="14"/>
  <c r="E251" i="14" s="1"/>
  <c r="B223" i="14"/>
  <c r="D223" i="14" s="1"/>
  <c r="B218" i="14"/>
  <c r="E218" i="14" s="1"/>
  <c r="B220" i="14"/>
  <c r="E220" i="14" s="1"/>
  <c r="B229" i="14"/>
  <c r="E229" i="14" s="1"/>
  <c r="B228" i="14"/>
  <c r="D228" i="14" s="1"/>
  <c r="B227" i="14"/>
  <c r="D227" i="14" s="1"/>
  <c r="B226" i="14"/>
  <c r="D226" i="14" s="1"/>
  <c r="B222" i="14"/>
  <c r="E222" i="14" s="1"/>
  <c r="B221" i="14"/>
  <c r="E221" i="14" s="1"/>
  <c r="B219" i="14"/>
  <c r="D219" i="14" s="1"/>
  <c r="E239" i="14" l="1"/>
  <c r="E242" i="14"/>
  <c r="E247" i="14"/>
  <c r="D252" i="14"/>
  <c r="E243" i="14"/>
  <c r="D246" i="14"/>
  <c r="D241" i="14"/>
  <c r="D251" i="14"/>
  <c r="D240" i="14"/>
  <c r="D244" i="14"/>
  <c r="E245" i="14"/>
  <c r="D248" i="14"/>
  <c r="D250" i="14"/>
  <c r="D222" i="14"/>
  <c r="D220" i="14"/>
  <c r="E226" i="14"/>
  <c r="E223" i="14"/>
  <c r="D229" i="14"/>
  <c r="E228" i="14"/>
  <c r="D218" i="14"/>
  <c r="D221" i="14"/>
  <c r="E227" i="14"/>
  <c r="E219" i="14"/>
  <c r="Z46" i="9" l="1"/>
  <c r="K88" i="4" l="1"/>
  <c r="D49" i="16" l="1"/>
  <c r="E82" i="16" l="1"/>
  <c r="E83" i="16"/>
  <c r="E84" i="16"/>
  <c r="E85" i="16"/>
  <c r="E86" i="16"/>
  <c r="E87" i="16"/>
  <c r="E88" i="16"/>
  <c r="E89" i="16"/>
  <c r="E90" i="16"/>
  <c r="E91" i="16"/>
  <c r="E92" i="16"/>
  <c r="E93" i="16"/>
  <c r="E81" i="16"/>
  <c r="E80" i="16"/>
  <c r="D79" i="16"/>
  <c r="D77" i="16"/>
  <c r="D76" i="16"/>
  <c r="D78" i="16"/>
  <c r="D75" i="16"/>
  <c r="D74" i="16"/>
  <c r="D73" i="16"/>
  <c r="D72" i="16"/>
  <c r="D93" i="16"/>
  <c r="D92" i="16"/>
  <c r="D91" i="16"/>
  <c r="D90" i="16"/>
  <c r="D89" i="16"/>
  <c r="D88" i="16"/>
  <c r="D87" i="16"/>
  <c r="D86" i="16"/>
  <c r="D85" i="16"/>
  <c r="D84" i="16"/>
  <c r="D83" i="16"/>
  <c r="D82" i="16"/>
  <c r="D81" i="16"/>
  <c r="D80" i="16"/>
  <c r="D71" i="16"/>
  <c r="D70" i="16"/>
  <c r="D69" i="16"/>
  <c r="D68" i="16"/>
  <c r="D67" i="16"/>
  <c r="D66" i="16"/>
  <c r="D65" i="16"/>
  <c r="D64" i="16"/>
  <c r="D63" i="16"/>
  <c r="D62" i="16"/>
  <c r="D61" i="16"/>
  <c r="D60" i="16"/>
  <c r="D59" i="16"/>
  <c r="D58" i="16"/>
  <c r="D57" i="16"/>
  <c r="D56" i="16"/>
  <c r="D55" i="16"/>
  <c r="D52" i="16"/>
  <c r="D17" i="16"/>
  <c r="D18" i="16"/>
  <c r="D53" i="16"/>
  <c r="D54" i="16"/>
  <c r="D13" i="16"/>
  <c r="D14" i="16"/>
  <c r="D44" i="16"/>
  <c r="D51" i="16"/>
  <c r="D48" i="16"/>
  <c r="D11" i="16"/>
  <c r="D12" i="16"/>
  <c r="D50" i="16"/>
  <c r="D15" i="16"/>
  <c r="D16" i="16"/>
  <c r="D47" i="16"/>
  <c r="D36" i="16"/>
  <c r="D37" i="16"/>
  <c r="D43" i="16"/>
  <c r="D42" i="16"/>
  <c r="D41" i="16"/>
  <c r="D46" i="16"/>
  <c r="D45" i="16"/>
  <c r="D39" i="16"/>
  <c r="D40" i="16"/>
  <c r="D38" i="16"/>
  <c r="D33" i="16"/>
  <c r="D34" i="16"/>
  <c r="D35" i="16"/>
  <c r="D9" i="16"/>
  <c r="D10" i="16"/>
  <c r="D32" i="16"/>
  <c r="D6" i="16"/>
  <c r="D31" i="16"/>
  <c r="D5" i="16"/>
  <c r="D27" i="16"/>
  <c r="D28" i="16"/>
  <c r="D29" i="16"/>
  <c r="D30" i="16"/>
  <c r="D4" i="16"/>
  <c r="D25" i="16"/>
  <c r="D24" i="16"/>
  <c r="D22" i="16"/>
  <c r="D23" i="16"/>
  <c r="D21" i="16"/>
  <c r="D20" i="16"/>
  <c r="D19" i="16"/>
  <c r="D3" i="16"/>
  <c r="D2" i="16"/>
  <c r="D1" i="16"/>
  <c r="D32" i="12"/>
  <c r="D30" i="12"/>
  <c r="D29" i="12"/>
  <c r="D21" i="12"/>
  <c r="D12" i="12"/>
  <c r="D32" i="11"/>
  <c r="D39" i="11" s="1"/>
  <c r="D22" i="11"/>
  <c r="D12" i="11"/>
  <c r="A5" i="16"/>
  <c r="A4" i="16"/>
  <c r="A6" i="16"/>
  <c r="G26" i="7"/>
  <c r="G27" i="7"/>
  <c r="G28" i="7"/>
  <c r="G29" i="7"/>
  <c r="G30" i="7"/>
  <c r="G31" i="7"/>
  <c r="G32" i="7"/>
  <c r="G34" i="7"/>
  <c r="G35" i="7"/>
  <c r="G37" i="7"/>
  <c r="G38" i="7"/>
  <c r="G39" i="7"/>
  <c r="G42" i="7"/>
  <c r="G43" i="7"/>
  <c r="G44" i="7"/>
  <c r="G45" i="7"/>
  <c r="G46" i="7"/>
  <c r="G48" i="7"/>
  <c r="G50" i="7"/>
  <c r="G51" i="7"/>
  <c r="G52" i="7"/>
  <c r="G53" i="7"/>
  <c r="G55" i="7"/>
  <c r="G56" i="7"/>
  <c r="G57" i="7"/>
  <c r="G59" i="7"/>
  <c r="G60" i="7"/>
  <c r="G61" i="7"/>
  <c r="G62" i="7"/>
  <c r="G25" i="7"/>
  <c r="L64" i="4"/>
  <c r="F60" i="4"/>
  <c r="N63" i="4"/>
  <c r="K61" i="4"/>
  <c r="F61" i="4"/>
  <c r="J61" i="4"/>
  <c r="F57" i="4"/>
  <c r="F9" i="4"/>
  <c r="L35" i="12"/>
  <c r="D35" i="12"/>
  <c r="E35" i="12"/>
  <c r="D26" i="12"/>
  <c r="E26" i="12"/>
  <c r="D27" i="12"/>
  <c r="E27" i="12"/>
  <c r="D19" i="12"/>
  <c r="E19" i="12"/>
  <c r="D18" i="12"/>
  <c r="E18" i="12"/>
  <c r="AC47" i="9"/>
  <c r="AC46" i="9"/>
  <c r="AB47" i="9"/>
  <c r="AB46" i="9"/>
  <c r="AA47" i="9"/>
  <c r="AA46" i="9"/>
  <c r="Z47" i="9"/>
  <c r="Y46" i="9"/>
  <c r="Y47" i="9"/>
  <c r="E32" i="12"/>
  <c r="E30" i="12"/>
  <c r="E29" i="12"/>
  <c r="E21" i="12"/>
  <c r="E12" i="12"/>
  <c r="L26" i="11"/>
  <c r="L27" i="11"/>
  <c r="K26" i="11"/>
  <c r="M26" i="11" s="1"/>
  <c r="O26" i="11" s="1"/>
  <c r="K27" i="11"/>
  <c r="M27" i="11" s="1"/>
  <c r="O27" i="11" s="1"/>
  <c r="L34" i="11"/>
  <c r="L35" i="11"/>
  <c r="L36" i="11"/>
  <c r="L37" i="11"/>
  <c r="L33" i="11"/>
  <c r="L24" i="11"/>
  <c r="L25" i="11"/>
  <c r="L28" i="11"/>
  <c r="L29" i="11"/>
  <c r="L16" i="11"/>
  <c r="L18" i="11"/>
  <c r="L19" i="11"/>
  <c r="L13" i="11"/>
  <c r="L23" i="11"/>
  <c r="D20" i="11"/>
  <c r="H15" i="7"/>
  <c r="H16" i="7" s="1"/>
  <c r="H17" i="7" s="1"/>
  <c r="G15" i="7"/>
  <c r="G16" i="7" s="1"/>
  <c r="G17" i="7" s="1"/>
  <c r="D98" i="7"/>
  <c r="C98" i="7"/>
  <c r="E98" i="7" s="1"/>
  <c r="E33" i="4"/>
  <c r="N33" i="4" s="1"/>
  <c r="D26" i="4"/>
  <c r="M84" i="4"/>
  <c r="M82" i="4"/>
  <c r="AB110" i="8"/>
  <c r="J8" i="12"/>
  <c r="I8" i="12"/>
  <c r="K4" i="12"/>
  <c r="O4" i="11"/>
  <c r="N8" i="11"/>
  <c r="M8" i="11"/>
  <c r="AC4" i="8"/>
  <c r="H44" i="11"/>
  <c r="AG38" i="8"/>
  <c r="AF38" i="8"/>
  <c r="AE5" i="8"/>
  <c r="AB5" i="8"/>
  <c r="AA5" i="8"/>
  <c r="A40" i="16"/>
  <c r="AE4" i="8"/>
  <c r="Z5" i="8"/>
  <c r="M12" i="10"/>
  <c r="X12" i="10"/>
  <c r="M28" i="10"/>
  <c r="P28" i="10" s="1"/>
  <c r="X28" i="10"/>
  <c r="M45" i="10"/>
  <c r="P45" i="10" s="1"/>
  <c r="X45" i="10"/>
  <c r="M32" i="10"/>
  <c r="P32" i="10" s="1"/>
  <c r="M34" i="10"/>
  <c r="P34" i="10" s="1"/>
  <c r="M35" i="10"/>
  <c r="M36" i="10"/>
  <c r="M37" i="10"/>
  <c r="M38" i="10"/>
  <c r="P38" i="10" s="1"/>
  <c r="M40" i="10"/>
  <c r="P42" i="10"/>
  <c r="M46" i="10"/>
  <c r="P46" i="10" s="1"/>
  <c r="M47" i="10"/>
  <c r="P47" i="10" s="1"/>
  <c r="M48" i="10"/>
  <c r="P48" i="10" s="1"/>
  <c r="M49" i="10"/>
  <c r="M50" i="10"/>
  <c r="P50" i="10" s="1"/>
  <c r="M51" i="10"/>
  <c r="P51" i="10" s="1"/>
  <c r="M53" i="10"/>
  <c r="M55" i="10"/>
  <c r="P55" i="10" s="1"/>
  <c r="P56" i="10"/>
  <c r="M63" i="10"/>
  <c r="P63" i="10" s="1"/>
  <c r="M64" i="10"/>
  <c r="P64" i="10" s="1"/>
  <c r="M67" i="10"/>
  <c r="P67" i="10" s="1"/>
  <c r="M69" i="10"/>
  <c r="P69" i="10" s="1"/>
  <c r="M73" i="10"/>
  <c r="M74" i="10"/>
  <c r="P74" i="10" s="1"/>
  <c r="M75" i="10"/>
  <c r="P75" i="10" s="1"/>
  <c r="M77" i="10"/>
  <c r="M78" i="10"/>
  <c r="P78" i="10" s="1"/>
  <c r="M79" i="10"/>
  <c r="P79" i="10" s="1"/>
  <c r="M81" i="10"/>
  <c r="M83" i="10"/>
  <c r="P84" i="10"/>
  <c r="M87" i="10"/>
  <c r="P87" i="10" s="1"/>
  <c r="M88" i="10"/>
  <c r="P88" i="10" s="1"/>
  <c r="M89" i="10"/>
  <c r="M90" i="10"/>
  <c r="P90" i="10" s="1"/>
  <c r="M91" i="10"/>
  <c r="P91" i="10" s="1"/>
  <c r="M96" i="10"/>
  <c r="P96" i="10" s="1"/>
  <c r="M97" i="10"/>
  <c r="P97" i="10" s="1"/>
  <c r="M98" i="10"/>
  <c r="P98" i="10" s="1"/>
  <c r="M99" i="10"/>
  <c r="M100" i="10"/>
  <c r="F135" i="15"/>
  <c r="F131" i="15"/>
  <c r="F130" i="15"/>
  <c r="F134" i="15"/>
  <c r="F133" i="15"/>
  <c r="F132" i="15"/>
  <c r="F129" i="15"/>
  <c r="F128" i="15"/>
  <c r="F100" i="15"/>
  <c r="X100" i="10"/>
  <c r="X98" i="10"/>
  <c r="X97" i="10"/>
  <c r="X96" i="10"/>
  <c r="X91" i="10"/>
  <c r="X90" i="10"/>
  <c r="X89" i="10"/>
  <c r="X88" i="10"/>
  <c r="X87" i="10"/>
  <c r="X83" i="10"/>
  <c r="X81" i="10"/>
  <c r="X79" i="10"/>
  <c r="X78" i="10"/>
  <c r="X77" i="10"/>
  <c r="X75" i="10"/>
  <c r="X74" i="10"/>
  <c r="X73" i="10"/>
  <c r="O69" i="10"/>
  <c r="X69" i="10"/>
  <c r="X67" i="10"/>
  <c r="X64" i="10"/>
  <c r="X63" i="10"/>
  <c r="X62" i="10"/>
  <c r="X61" i="10"/>
  <c r="X60" i="10"/>
  <c r="X59" i="10"/>
  <c r="X55" i="10"/>
  <c r="X53" i="10"/>
  <c r="X51" i="10"/>
  <c r="X50" i="10"/>
  <c r="X49" i="10"/>
  <c r="X48" i="10"/>
  <c r="X47" i="10"/>
  <c r="X46" i="10"/>
  <c r="X40" i="10"/>
  <c r="X38" i="10"/>
  <c r="X37" i="10"/>
  <c r="X36" i="10"/>
  <c r="X35" i="10"/>
  <c r="X34" i="10"/>
  <c r="X33" i="10"/>
  <c r="X32" i="10"/>
  <c r="X27" i="10"/>
  <c r="X19" i="10"/>
  <c r="X11" i="10"/>
  <c r="X7" i="10"/>
  <c r="B98" i="15"/>
  <c r="B100" i="15" s="1"/>
  <c r="B97" i="15"/>
  <c r="B96" i="15"/>
  <c r="I32" i="11"/>
  <c r="I39" i="11" s="1"/>
  <c r="I22" i="11"/>
  <c r="O78" i="10"/>
  <c r="B55" i="15"/>
  <c r="B56" i="15"/>
  <c r="B57" i="15"/>
  <c r="B58" i="15"/>
  <c r="B59" i="15"/>
  <c r="B75" i="15"/>
  <c r="B76" i="15"/>
  <c r="B77" i="15"/>
  <c r="B86" i="15"/>
  <c r="B87" i="15"/>
  <c r="B88" i="15"/>
  <c r="H93" i="15"/>
  <c r="A1" i="12"/>
  <c r="I1" i="12"/>
  <c r="J1" i="12"/>
  <c r="M6" i="12"/>
  <c r="F12" i="12"/>
  <c r="F20" i="12" s="1"/>
  <c r="G12" i="12"/>
  <c r="G13" i="12"/>
  <c r="H13" i="12" s="1"/>
  <c r="H14" i="12"/>
  <c r="H15" i="12"/>
  <c r="H16" i="12"/>
  <c r="H17" i="12"/>
  <c r="C18" i="12"/>
  <c r="F18" i="12"/>
  <c r="G18" i="12"/>
  <c r="C19" i="12"/>
  <c r="F19" i="12"/>
  <c r="F21" i="12"/>
  <c r="G21" i="12"/>
  <c r="G22" i="12"/>
  <c r="H22" i="12" s="1"/>
  <c r="H23" i="12"/>
  <c r="H24" i="12"/>
  <c r="H25" i="12"/>
  <c r="C26" i="12"/>
  <c r="F26" i="12"/>
  <c r="G26" i="12"/>
  <c r="C27" i="12"/>
  <c r="F27" i="12"/>
  <c r="F29" i="12"/>
  <c r="F30" i="12"/>
  <c r="F32" i="12"/>
  <c r="G32" i="12"/>
  <c r="G37" i="12" s="1"/>
  <c r="H33" i="12"/>
  <c r="M33" i="12"/>
  <c r="H34" i="12"/>
  <c r="C35" i="12"/>
  <c r="F35" i="12"/>
  <c r="G35" i="12"/>
  <c r="G36" i="12" s="1"/>
  <c r="A1" i="11"/>
  <c r="O1" i="11"/>
  <c r="P1" i="11"/>
  <c r="Q6" i="11"/>
  <c r="E12" i="11"/>
  <c r="C50" i="11" s="1"/>
  <c r="F12" i="11"/>
  <c r="G12" i="11"/>
  <c r="H12" i="11"/>
  <c r="I12" i="11"/>
  <c r="J12" i="11"/>
  <c r="K13" i="11"/>
  <c r="M13" i="11" s="1"/>
  <c r="O13" i="11" s="1"/>
  <c r="B7" i="15"/>
  <c r="B38" i="15" s="1"/>
  <c r="B8" i="15"/>
  <c r="B39" i="15" s="1"/>
  <c r="K18" i="11"/>
  <c r="M18" i="11" s="1"/>
  <c r="K19" i="11"/>
  <c r="B11" i="15" s="1"/>
  <c r="B42" i="15" s="1"/>
  <c r="C20" i="11"/>
  <c r="E20" i="11"/>
  <c r="F20" i="11"/>
  <c r="G20" i="11"/>
  <c r="H20" i="11"/>
  <c r="I20" i="11"/>
  <c r="J20" i="11"/>
  <c r="E22" i="11"/>
  <c r="F22" i="11"/>
  <c r="G22" i="11"/>
  <c r="H22" i="11"/>
  <c r="J22" i="11"/>
  <c r="K23" i="11"/>
  <c r="K24" i="11"/>
  <c r="B16" i="15" s="1"/>
  <c r="B47" i="15" s="1"/>
  <c r="B18" i="15"/>
  <c r="B49" i="15" s="1"/>
  <c r="K28" i="11"/>
  <c r="B19" i="15" s="1"/>
  <c r="B50" i="15" s="1"/>
  <c r="K29" i="11"/>
  <c r="E32" i="11"/>
  <c r="F32" i="11"/>
  <c r="G32" i="11"/>
  <c r="H32" i="11"/>
  <c r="J32" i="11"/>
  <c r="K33" i="11"/>
  <c r="B25" i="15" s="1"/>
  <c r="K34" i="11"/>
  <c r="B26" i="15" s="1"/>
  <c r="O34" i="11"/>
  <c r="K35" i="11"/>
  <c r="B27" i="15" s="1"/>
  <c r="K36" i="11"/>
  <c r="B28" i="15" s="1"/>
  <c r="O36" i="11"/>
  <c r="K37" i="11"/>
  <c r="B29" i="15" s="1"/>
  <c r="E50" i="11"/>
  <c r="F50" i="11"/>
  <c r="G50" i="11"/>
  <c r="H50" i="11"/>
  <c r="I50" i="11"/>
  <c r="J50" i="11"/>
  <c r="L50" i="11"/>
  <c r="M50" i="11"/>
  <c r="C51" i="11"/>
  <c r="D51" i="11" s="1"/>
  <c r="C52" i="11"/>
  <c r="D54" i="11"/>
  <c r="E55" i="11"/>
  <c r="F55" i="11"/>
  <c r="G55" i="11"/>
  <c r="H55" i="11"/>
  <c r="I55" i="11"/>
  <c r="J55" i="11"/>
  <c r="L55" i="11"/>
  <c r="M55" i="11"/>
  <c r="C56" i="11"/>
  <c r="D56" i="11" s="1"/>
  <c r="C57" i="11"/>
  <c r="D57" i="11" s="1"/>
  <c r="C58" i="11"/>
  <c r="D58" i="11" s="1"/>
  <c r="E59" i="11"/>
  <c r="F59" i="11"/>
  <c r="G59" i="11"/>
  <c r="H59" i="11"/>
  <c r="I59" i="11"/>
  <c r="J59" i="11"/>
  <c r="L59" i="11"/>
  <c r="M59" i="11"/>
  <c r="C60" i="11"/>
  <c r="D60" i="11" s="1"/>
  <c r="A1" i="10"/>
  <c r="I1" i="10"/>
  <c r="J1" i="10"/>
  <c r="M7" i="10"/>
  <c r="N7" i="10"/>
  <c r="O7" i="10"/>
  <c r="D8" i="10"/>
  <c r="F8" i="10"/>
  <c r="G8" i="10"/>
  <c r="F143" i="15"/>
  <c r="D16" i="10"/>
  <c r="F16" i="10"/>
  <c r="X21" i="10" s="1"/>
  <c r="G16" i="10"/>
  <c r="E20" i="10"/>
  <c r="D24" i="10"/>
  <c r="F24" i="10"/>
  <c r="X29" i="10" s="1"/>
  <c r="G24" i="10"/>
  <c r="M26" i="10"/>
  <c r="D31" i="10"/>
  <c r="F31" i="10"/>
  <c r="X41" i="10" s="1"/>
  <c r="G31" i="10"/>
  <c r="G40" i="10" s="1"/>
  <c r="G43" i="10" s="1"/>
  <c r="D44" i="10"/>
  <c r="F44" i="10"/>
  <c r="M54" i="10" s="1"/>
  <c r="G44" i="10"/>
  <c r="G53" i="10" s="1"/>
  <c r="G57" i="10" s="1"/>
  <c r="D58" i="10"/>
  <c r="F58" i="10"/>
  <c r="M68" i="10" s="1"/>
  <c r="G58" i="10"/>
  <c r="G67" i="10" s="1"/>
  <c r="G71" i="10" s="1"/>
  <c r="D72" i="10"/>
  <c r="F72" i="10"/>
  <c r="X82" i="10" s="1"/>
  <c r="G72" i="10"/>
  <c r="G81" i="10" s="1"/>
  <c r="G85" i="10" s="1"/>
  <c r="O75" i="10"/>
  <c r="O84" i="10"/>
  <c r="O85" i="10"/>
  <c r="D86" i="10"/>
  <c r="F86" i="10"/>
  <c r="G86" i="10"/>
  <c r="G93" i="10" s="1"/>
  <c r="G94" i="10" s="1"/>
  <c r="O92" i="10"/>
  <c r="O93" i="10"/>
  <c r="O94" i="10"/>
  <c r="D95" i="10"/>
  <c r="F95" i="10"/>
  <c r="G95" i="10"/>
  <c r="G102" i="10" s="1"/>
  <c r="G103" i="10" s="1"/>
  <c r="C1" i="9"/>
  <c r="J1" i="9"/>
  <c r="K1" i="9"/>
  <c r="S1" i="9"/>
  <c r="Z1" i="9"/>
  <c r="AA1" i="9"/>
  <c r="C13" i="9"/>
  <c r="M13" i="9" s="1"/>
  <c r="N13" i="9"/>
  <c r="X13" i="9" s="1"/>
  <c r="AD13" i="9"/>
  <c r="C14" i="9"/>
  <c r="M14" i="9" s="1"/>
  <c r="N14" i="9"/>
  <c r="X14" i="9" s="1"/>
  <c r="AD14" i="9"/>
  <c r="C15" i="9"/>
  <c r="M15" i="9" s="1"/>
  <c r="N15" i="9"/>
  <c r="X15" i="9" s="1"/>
  <c r="AD15" i="9"/>
  <c r="C16" i="9"/>
  <c r="M16" i="9" s="1"/>
  <c r="N16" i="9"/>
  <c r="X16" i="9" s="1"/>
  <c r="AD16" i="9"/>
  <c r="C17" i="9"/>
  <c r="M17" i="9" s="1"/>
  <c r="N17" i="9"/>
  <c r="X17" i="9" s="1"/>
  <c r="AD17" i="9"/>
  <c r="C18" i="9"/>
  <c r="M18" i="9" s="1"/>
  <c r="N18" i="9"/>
  <c r="X18" i="9" s="1"/>
  <c r="AD18" i="9"/>
  <c r="C19" i="9"/>
  <c r="M19" i="9" s="1"/>
  <c r="N19" i="9"/>
  <c r="X19" i="9" s="1"/>
  <c r="AD19" i="9"/>
  <c r="C20" i="9"/>
  <c r="M20" i="9" s="1"/>
  <c r="N20" i="9"/>
  <c r="X20" i="9" s="1"/>
  <c r="AD20" i="9"/>
  <c r="C21" i="9"/>
  <c r="M21" i="9" s="1"/>
  <c r="N21" i="9"/>
  <c r="X21" i="9" s="1"/>
  <c r="AD21" i="9"/>
  <c r="C22" i="9"/>
  <c r="M22" i="9" s="1"/>
  <c r="N22" i="9"/>
  <c r="X22" i="9" s="1"/>
  <c r="AD22" i="9"/>
  <c r="M23" i="9"/>
  <c r="AD23" i="9"/>
  <c r="C25" i="9"/>
  <c r="M25" i="9" s="1"/>
  <c r="X25" i="9"/>
  <c r="AD25" i="9"/>
  <c r="C28" i="9"/>
  <c r="M28" i="9" s="1"/>
  <c r="N28" i="9"/>
  <c r="X28" i="9" s="1"/>
  <c r="AD28" i="9"/>
  <c r="C29" i="9"/>
  <c r="M29" i="9" s="1"/>
  <c r="N29" i="9"/>
  <c r="X29" i="9" s="1"/>
  <c r="AD29" i="9"/>
  <c r="C30" i="9"/>
  <c r="M30" i="9" s="1"/>
  <c r="N30" i="9"/>
  <c r="X30" i="9" s="1"/>
  <c r="AD30" i="9"/>
  <c r="C31" i="9"/>
  <c r="M31" i="9" s="1"/>
  <c r="N31" i="9"/>
  <c r="X31" i="9" s="1"/>
  <c r="AD31" i="9"/>
  <c r="C32" i="9"/>
  <c r="M32" i="9" s="1"/>
  <c r="N32" i="9"/>
  <c r="X32" i="9" s="1"/>
  <c r="AD32" i="9"/>
  <c r="C33" i="9"/>
  <c r="M33" i="9" s="1"/>
  <c r="N33" i="9"/>
  <c r="T46" i="9" s="1"/>
  <c r="AD33" i="9"/>
  <c r="M34" i="9"/>
  <c r="X34" i="9"/>
  <c r="C35" i="9"/>
  <c r="K47" i="9" s="1"/>
  <c r="N35" i="9"/>
  <c r="X35" i="9" s="1"/>
  <c r="AD35" i="9"/>
  <c r="M36" i="9"/>
  <c r="X36" i="9"/>
  <c r="C37" i="9"/>
  <c r="M37" i="9" s="1"/>
  <c r="N37" i="9"/>
  <c r="V45" i="9" s="1"/>
  <c r="A44" i="16" s="1"/>
  <c r="AD37" i="9"/>
  <c r="C38" i="9"/>
  <c r="M38" i="9" s="1"/>
  <c r="N38" i="9"/>
  <c r="X38" i="9" s="1"/>
  <c r="AD38" i="9"/>
  <c r="C39" i="9"/>
  <c r="M39" i="9" s="1"/>
  <c r="N39" i="9"/>
  <c r="X39" i="9" s="1"/>
  <c r="AD39" i="9"/>
  <c r="C41" i="9"/>
  <c r="M41" i="9" s="1"/>
  <c r="N41" i="9"/>
  <c r="X41" i="9" s="1"/>
  <c r="AD41" i="9"/>
  <c r="A37" i="16" s="1"/>
  <c r="D42" i="9"/>
  <c r="B262" i="14" s="1"/>
  <c r="E42" i="9"/>
  <c r="B263" i="14" s="1"/>
  <c r="F42" i="9"/>
  <c r="B264" i="14" s="1"/>
  <c r="G42" i="9"/>
  <c r="B265" i="14" s="1"/>
  <c r="H42" i="9"/>
  <c r="B266" i="14" s="1"/>
  <c r="I42" i="9"/>
  <c r="B267" i="14" s="1"/>
  <c r="J42" i="9"/>
  <c r="K42" i="9"/>
  <c r="B268" i="14" s="1"/>
  <c r="L42" i="9"/>
  <c r="O42" i="9"/>
  <c r="B272" i="14" s="1"/>
  <c r="P42" i="9"/>
  <c r="B273" i="14" s="1"/>
  <c r="Q42" i="9"/>
  <c r="B274" i="14" s="1"/>
  <c r="R42" i="9"/>
  <c r="S42" i="9"/>
  <c r="B276" i="14" s="1"/>
  <c r="T42" i="9"/>
  <c r="B277" i="14" s="1"/>
  <c r="U42" i="9"/>
  <c r="B278" i="14" s="1"/>
  <c r="V42" i="9"/>
  <c r="B279" i="14" s="1"/>
  <c r="W42" i="9"/>
  <c r="B280" i="14" s="1"/>
  <c r="Y42" i="9"/>
  <c r="B142" i="14" s="1"/>
  <c r="Z42" i="9"/>
  <c r="AA42" i="9"/>
  <c r="AB42" i="9"/>
  <c r="AC42" i="9"/>
  <c r="AC44" i="9" s="1"/>
  <c r="D46" i="9"/>
  <c r="A47" i="16" s="1"/>
  <c r="I46" i="9"/>
  <c r="A49" i="16" s="1"/>
  <c r="C49" i="16" s="1"/>
  <c r="O46" i="9"/>
  <c r="A51" i="16" s="1"/>
  <c r="S46" i="9"/>
  <c r="A53" i="16" s="1"/>
  <c r="X46" i="9"/>
  <c r="D47" i="9"/>
  <c r="A48" i="16" s="1"/>
  <c r="I47" i="9"/>
  <c r="A50" i="16" s="1"/>
  <c r="O47" i="9"/>
  <c r="A52" i="16" s="1"/>
  <c r="S47" i="9"/>
  <c r="A54" i="16" s="1"/>
  <c r="X47" i="9"/>
  <c r="C1" i="8"/>
  <c r="I1" i="8"/>
  <c r="J1" i="8"/>
  <c r="R1" i="8"/>
  <c r="Y1" i="8"/>
  <c r="Z1" i="8"/>
  <c r="W13" i="8"/>
  <c r="AH13" i="8" s="1"/>
  <c r="W14" i="8"/>
  <c r="AH14" i="8" s="1"/>
  <c r="W15" i="8"/>
  <c r="AH15" i="8" s="1"/>
  <c r="W16" i="8"/>
  <c r="AH16" i="8" s="1"/>
  <c r="C17" i="8"/>
  <c r="D17" i="8"/>
  <c r="E17" i="8"/>
  <c r="F17" i="8"/>
  <c r="C9" i="9" s="1"/>
  <c r="M9" i="9" s="1"/>
  <c r="G17" i="8"/>
  <c r="H17" i="8"/>
  <c r="I17" i="8"/>
  <c r="J17" i="8"/>
  <c r="L17" i="8"/>
  <c r="M17" i="8"/>
  <c r="N17" i="8"/>
  <c r="R17" i="8"/>
  <c r="S17" i="8"/>
  <c r="T17" i="8"/>
  <c r="AD9" i="9" s="1"/>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s="1"/>
  <c r="X10" i="9" s="1"/>
  <c r="I30" i="8"/>
  <c r="J30" i="8"/>
  <c r="L30" i="8"/>
  <c r="M30" i="8"/>
  <c r="N30" i="8"/>
  <c r="R30" i="8"/>
  <c r="S30" i="8"/>
  <c r="T30" i="8"/>
  <c r="AD10" i="9" s="1"/>
  <c r="A36" i="16" s="1"/>
  <c r="V30" i="8"/>
  <c r="W33" i="8"/>
  <c r="AH33" i="8" s="1"/>
  <c r="W34" i="8"/>
  <c r="AH34" i="8" s="1"/>
  <c r="W35" i="8"/>
  <c r="AH35" i="8" s="1"/>
  <c r="W36" i="8"/>
  <c r="AH36" i="8" s="1"/>
  <c r="C37" i="8"/>
  <c r="D37" i="8"/>
  <c r="E37" i="8"/>
  <c r="F37" i="8"/>
  <c r="C11" i="9" s="1"/>
  <c r="M11" i="9" s="1"/>
  <c r="G37" i="8"/>
  <c r="H37" i="8"/>
  <c r="I37" i="8"/>
  <c r="J37" i="8"/>
  <c r="L37" i="8"/>
  <c r="M37" i="8"/>
  <c r="N37" i="8"/>
  <c r="R37" i="8"/>
  <c r="S37" i="8"/>
  <c r="T37" i="8"/>
  <c r="AD11" i="9" s="1"/>
  <c r="V37" i="8"/>
  <c r="W39" i="8"/>
  <c r="AH39" i="8" s="1"/>
  <c r="W40" i="8"/>
  <c r="AH40" i="8" s="1"/>
  <c r="W41" i="8"/>
  <c r="AH41" i="8" s="1"/>
  <c r="C42" i="8"/>
  <c r="D42" i="8"/>
  <c r="E42" i="8"/>
  <c r="F42" i="8"/>
  <c r="C12" i="9" s="1"/>
  <c r="M12" i="9" s="1"/>
  <c r="G42" i="8"/>
  <c r="H42" i="8"/>
  <c r="N12" i="9" s="1"/>
  <c r="X12" i="9" s="1"/>
  <c r="I42" i="8"/>
  <c r="J42" i="8"/>
  <c r="L42" i="8"/>
  <c r="M42" i="8"/>
  <c r="N42" i="8"/>
  <c r="R42" i="8"/>
  <c r="S42" i="8"/>
  <c r="T42" i="8"/>
  <c r="AD12" i="9" s="1"/>
  <c r="V42" i="8"/>
  <c r="W46" i="8"/>
  <c r="AH46" i="8" s="1"/>
  <c r="W47" i="8"/>
  <c r="AH47" i="8" s="1"/>
  <c r="AD47" i="8"/>
  <c r="W49" i="8"/>
  <c r="AH49" i="8" s="1"/>
  <c r="W50" i="8"/>
  <c r="AH50" i="8" s="1"/>
  <c r="C51" i="8"/>
  <c r="D51" i="8"/>
  <c r="E51" i="8"/>
  <c r="F51" i="8"/>
  <c r="G51" i="8"/>
  <c r="H51" i="8"/>
  <c r="I51" i="8"/>
  <c r="J51" i="8"/>
  <c r="L51" i="8"/>
  <c r="M51" i="8"/>
  <c r="N51" i="8"/>
  <c r="R51" i="8"/>
  <c r="AE49" i="8" s="1"/>
  <c r="S51" i="8"/>
  <c r="T51" i="8"/>
  <c r="V51" i="8"/>
  <c r="W53" i="8"/>
  <c r="AH53" i="8" s="1"/>
  <c r="AD53" i="8"/>
  <c r="W54" i="8"/>
  <c r="AH54" i="8" s="1"/>
  <c r="W55" i="8"/>
  <c r="AH55" i="8" s="1"/>
  <c r="W56" i="8"/>
  <c r="AH56" i="8" s="1"/>
  <c r="W57" i="8"/>
  <c r="AH57" i="8" s="1"/>
  <c r="C58" i="8"/>
  <c r="C67" i="8" s="1"/>
  <c r="D58" i="8"/>
  <c r="D67" i="8" s="1"/>
  <c r="E58" i="8"/>
  <c r="E67" i="8" s="1"/>
  <c r="F58" i="8"/>
  <c r="F67" i="8" s="1"/>
  <c r="G58" i="8"/>
  <c r="G67" i="8" s="1"/>
  <c r="H58" i="8"/>
  <c r="H67" i="8" s="1"/>
  <c r="I58" i="8"/>
  <c r="I67" i="8" s="1"/>
  <c r="J58" i="8"/>
  <c r="J67" i="8" s="1"/>
  <c r="L58" i="8"/>
  <c r="L67" i="8" s="1"/>
  <c r="M58" i="8"/>
  <c r="M67" i="8" s="1"/>
  <c r="N58" i="8"/>
  <c r="N67" i="8" s="1"/>
  <c r="R58" i="8"/>
  <c r="R67" i="8" s="1"/>
  <c r="S58" i="8"/>
  <c r="S67" i="8" s="1"/>
  <c r="T58" i="8"/>
  <c r="T67" i="8" s="1"/>
  <c r="V58" i="8"/>
  <c r="V67" i="8" s="1"/>
  <c r="W60" i="8"/>
  <c r="E86" i="10" s="1"/>
  <c r="W61" i="8"/>
  <c r="AH61" i="8" s="1"/>
  <c r="W64" i="8"/>
  <c r="W65" i="8"/>
  <c r="W66" i="8"/>
  <c r="W70" i="8"/>
  <c r="W71" i="8"/>
  <c r="AH71" i="8" s="1"/>
  <c r="W73" i="8"/>
  <c r="AH73" i="8" s="1"/>
  <c r="W74" i="8"/>
  <c r="AH74" i="8" s="1"/>
  <c r="W75" i="8"/>
  <c r="W76" i="8"/>
  <c r="AH76" i="8" s="1"/>
  <c r="C77" i="8"/>
  <c r="D77" i="8"/>
  <c r="E77" i="8"/>
  <c r="F77" i="8"/>
  <c r="G77" i="8"/>
  <c r="H77" i="8"/>
  <c r="I77" i="8"/>
  <c r="J77" i="8"/>
  <c r="L77" i="8"/>
  <c r="M77" i="8"/>
  <c r="N77" i="8"/>
  <c r="R77" i="8"/>
  <c r="S77" i="8"/>
  <c r="T77" i="8"/>
  <c r="V77" i="8"/>
  <c r="W79" i="8"/>
  <c r="AH79" i="8" s="1"/>
  <c r="W80" i="8"/>
  <c r="AH80" i="8" s="1"/>
  <c r="W81" i="8"/>
  <c r="AH81" i="8" s="1"/>
  <c r="W82" i="8"/>
  <c r="AH82" i="8" s="1"/>
  <c r="C83" i="8"/>
  <c r="D83" i="8"/>
  <c r="E83" i="8"/>
  <c r="F83" i="8"/>
  <c r="AE85" i="8" s="1"/>
  <c r="G83" i="8"/>
  <c r="H83" i="8"/>
  <c r="I83" i="8"/>
  <c r="J83" i="8"/>
  <c r="L83" i="8"/>
  <c r="M83" i="8"/>
  <c r="N83" i="8"/>
  <c r="R83" i="8"/>
  <c r="S83" i="8"/>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H97" i="8"/>
  <c r="I97" i="8"/>
  <c r="J97" i="8"/>
  <c r="L97" i="8"/>
  <c r="M97" i="8"/>
  <c r="N97" i="8"/>
  <c r="R97" i="8"/>
  <c r="S97" i="8"/>
  <c r="T97" i="8"/>
  <c r="V97" i="8"/>
  <c r="W99" i="8"/>
  <c r="AH99" i="8" s="1"/>
  <c r="W100" i="8"/>
  <c r="AH100" i="8" s="1"/>
  <c r="W101" i="8"/>
  <c r="AH101" i="8" s="1"/>
  <c r="C102" i="8"/>
  <c r="D102" i="8"/>
  <c r="E102" i="8"/>
  <c r="F102" i="8"/>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N108" i="8"/>
  <c r="R108" i="8"/>
  <c r="S108" i="8"/>
  <c r="T108" i="8"/>
  <c r="V108" i="8"/>
  <c r="P111" i="8"/>
  <c r="W111" i="8"/>
  <c r="P112" i="8"/>
  <c r="AD115" i="8" s="1"/>
  <c r="M114" i="8"/>
  <c r="A1" i="7"/>
  <c r="G1" i="7"/>
  <c r="H1" i="7"/>
  <c r="C15" i="7"/>
  <c r="C16" i="7" s="1"/>
  <c r="A27" i="16" s="1"/>
  <c r="D15" i="7"/>
  <c r="D16" i="7" s="1"/>
  <c r="D17" i="7" s="1"/>
  <c r="F15" i="7"/>
  <c r="C33" i="7"/>
  <c r="D33" i="7"/>
  <c r="E33" i="7"/>
  <c r="F33" i="7"/>
  <c r="F49" i="7" s="1"/>
  <c r="C40" i="7"/>
  <c r="C41" i="7" s="1"/>
  <c r="C49" i="7" s="1"/>
  <c r="D40" i="7"/>
  <c r="D41" i="7"/>
  <c r="E40" i="7"/>
  <c r="E41" i="7" s="1"/>
  <c r="F40" i="7"/>
  <c r="F41" i="7" s="1"/>
  <c r="C47" i="7"/>
  <c r="D47" i="7"/>
  <c r="E47" i="7"/>
  <c r="F47" i="7"/>
  <c r="C54" i="7"/>
  <c r="D54" i="7"/>
  <c r="E54" i="7"/>
  <c r="F54" i="7"/>
  <c r="C58" i="7"/>
  <c r="D58" i="7"/>
  <c r="E58" i="7"/>
  <c r="F58" i="7"/>
  <c r="C63" i="7"/>
  <c r="D63" i="7"/>
  <c r="E63" i="7"/>
  <c r="F63" i="7"/>
  <c r="E1" i="4"/>
  <c r="F1" i="4"/>
  <c r="D12" i="4"/>
  <c r="M12" i="4" s="1"/>
  <c r="N12" i="4"/>
  <c r="D17" i="4"/>
  <c r="E15" i="7" s="1"/>
  <c r="E16" i="7" s="1"/>
  <c r="E17" i="7" s="1"/>
  <c r="N17" i="4"/>
  <c r="E18" i="4"/>
  <c r="M19" i="4"/>
  <c r="N19" i="4"/>
  <c r="F32" i="4"/>
  <c r="M63" i="4"/>
  <c r="D74" i="4"/>
  <c r="M74" i="4" s="1"/>
  <c r="N74" i="4"/>
  <c r="N82" i="4"/>
  <c r="M83" i="4"/>
  <c r="N83" i="4"/>
  <c r="N84" i="4"/>
  <c r="M85" i="4"/>
  <c r="N85" i="4"/>
  <c r="M86" i="4"/>
  <c r="A2" i="16"/>
  <c r="N86" i="4"/>
  <c r="D87" i="4"/>
  <c r="E87" i="4"/>
  <c r="K87" i="4" s="1"/>
  <c r="B147" i="15"/>
  <c r="O50" i="10"/>
  <c r="O59" i="10"/>
  <c r="X18" i="10"/>
  <c r="E43" i="8"/>
  <c r="N9" i="9"/>
  <c r="X9" i="9" s="1"/>
  <c r="X26" i="10"/>
  <c r="O14" i="10"/>
  <c r="X68" i="10"/>
  <c r="M35" i="9"/>
  <c r="F121" i="15"/>
  <c r="O87" i="10"/>
  <c r="O48" i="10"/>
  <c r="O46" i="10"/>
  <c r="O97" i="10"/>
  <c r="M95" i="10"/>
  <c r="O96" i="10"/>
  <c r="O79" i="10"/>
  <c r="X72" i="10"/>
  <c r="F115" i="15" s="1"/>
  <c r="O64" i="10"/>
  <c r="O63" i="10"/>
  <c r="O60" i="10"/>
  <c r="O45" i="10"/>
  <c r="F64" i="7"/>
  <c r="D49" i="7"/>
  <c r="G31" i="11"/>
  <c r="D31" i="11"/>
  <c r="H26" i="12"/>
  <c r="E44" i="10"/>
  <c r="E95" i="10"/>
  <c r="E103" i="10" s="1"/>
  <c r="AH60" i="8"/>
  <c r="C82" i="7"/>
  <c r="E75" i="4"/>
  <c r="F26" i="4" l="1"/>
  <c r="D33" i="4"/>
  <c r="P60" i="10"/>
  <c r="P49" i="10"/>
  <c r="I43" i="8"/>
  <c r="S85" i="8"/>
  <c r="H43" i="8"/>
  <c r="G43" i="8"/>
  <c r="M43" i="8"/>
  <c r="D43" i="8"/>
  <c r="T43" i="8"/>
  <c r="V109" i="8"/>
  <c r="N11" i="9"/>
  <c r="X11" i="9" s="1"/>
  <c r="R109" i="8"/>
  <c r="F109" i="8"/>
  <c r="C40" i="9" s="1"/>
  <c r="N43" i="8"/>
  <c r="T109" i="8"/>
  <c r="AD40" i="9" s="1"/>
  <c r="AE48" i="8"/>
  <c r="N85" i="8"/>
  <c r="E85" i="8"/>
  <c r="AH70" i="8"/>
  <c r="N60" i="11"/>
  <c r="O110" i="10"/>
  <c r="O56" i="10"/>
  <c r="F127" i="15"/>
  <c r="F125" i="15"/>
  <c r="M20" i="10"/>
  <c r="X20" i="10"/>
  <c r="N56" i="11"/>
  <c r="N50" i="11"/>
  <c r="X13" i="10"/>
  <c r="M13" i="10"/>
  <c r="O13" i="10" s="1"/>
  <c r="O67" i="10"/>
  <c r="X58" i="10"/>
  <c r="B15" i="15"/>
  <c r="B46" i="15" s="1"/>
  <c r="B10" i="15"/>
  <c r="B41" i="15" s="1"/>
  <c r="B9" i="15"/>
  <c r="B40" i="15" s="1"/>
  <c r="F123" i="15"/>
  <c r="J31" i="11"/>
  <c r="E31" i="11"/>
  <c r="F21" i="11"/>
  <c r="I21" i="11"/>
  <c r="D20" i="12"/>
  <c r="E28" i="12"/>
  <c r="B275" i="14"/>
  <c r="D275" i="14" s="1"/>
  <c r="O35" i="11"/>
  <c r="O40" i="10"/>
  <c r="P40" i="10"/>
  <c r="G19" i="12"/>
  <c r="E280" i="14"/>
  <c r="D280" i="14"/>
  <c r="D272" i="14"/>
  <c r="E272" i="14"/>
  <c r="D263" i="14"/>
  <c r="E263" i="14"/>
  <c r="F144" i="15"/>
  <c r="M23" i="10"/>
  <c r="O23" i="10" s="1"/>
  <c r="P23" i="10" s="1"/>
  <c r="G31" i="12"/>
  <c r="X86" i="10"/>
  <c r="F116" i="15" s="1"/>
  <c r="O99" i="10"/>
  <c r="P99" i="10"/>
  <c r="E273" i="14"/>
  <c r="D273" i="14"/>
  <c r="S68" i="8"/>
  <c r="D279" i="14"/>
  <c r="E279" i="14"/>
  <c r="D262" i="14"/>
  <c r="E262" i="14"/>
  <c r="N59" i="11"/>
  <c r="O37" i="10"/>
  <c r="P37" i="10"/>
  <c r="O53" i="10"/>
  <c r="P53" i="10"/>
  <c r="M109" i="8"/>
  <c r="D109" i="8"/>
  <c r="D268" i="14"/>
  <c r="E268" i="14"/>
  <c r="H21" i="11"/>
  <c r="F28" i="12"/>
  <c r="O83" i="10"/>
  <c r="P83" i="10"/>
  <c r="M72" i="10"/>
  <c r="O72" i="10" s="1"/>
  <c r="P73" i="10"/>
  <c r="O61" i="10"/>
  <c r="O49" i="10"/>
  <c r="O36" i="10"/>
  <c r="P36" i="10"/>
  <c r="E264" i="14"/>
  <c r="D264" i="14"/>
  <c r="E58" i="10"/>
  <c r="E71" i="10" s="1"/>
  <c r="W102" i="8"/>
  <c r="E49" i="7"/>
  <c r="V43" i="8"/>
  <c r="E277" i="14"/>
  <c r="D277" i="14"/>
  <c r="N51" i="11"/>
  <c r="H31" i="11"/>
  <c r="O74" i="10"/>
  <c r="P81" i="10"/>
  <c r="O70" i="10"/>
  <c r="P70" i="10"/>
  <c r="M68" i="8"/>
  <c r="E276" i="14"/>
  <c r="D276" i="14"/>
  <c r="D267" i="14"/>
  <c r="E267" i="14"/>
  <c r="N55" i="11"/>
  <c r="O88" i="10"/>
  <c r="D266" i="14"/>
  <c r="E266" i="14"/>
  <c r="F31" i="11"/>
  <c r="O98" i="10"/>
  <c r="E57" i="10"/>
  <c r="E274" i="14"/>
  <c r="D274" i="14"/>
  <c r="C55" i="11"/>
  <c r="O89" i="10"/>
  <c r="P89" i="10"/>
  <c r="O77" i="10"/>
  <c r="P77" i="10"/>
  <c r="O30" i="10"/>
  <c r="P30" i="10"/>
  <c r="E36" i="12"/>
  <c r="O35" i="10"/>
  <c r="P35" i="10"/>
  <c r="O34" i="10"/>
  <c r="O33" i="10"/>
  <c r="P33" i="10" s="1"/>
  <c r="E278" i="14"/>
  <c r="D278" i="14"/>
  <c r="O95" i="10"/>
  <c r="A70" i="16"/>
  <c r="O51" i="10"/>
  <c r="E34" i="4"/>
  <c r="F12" i="4"/>
  <c r="M17" i="4"/>
  <c r="E24" i="10"/>
  <c r="F43" i="8"/>
  <c r="H85" i="8"/>
  <c r="AE80" i="8" s="1"/>
  <c r="L85" i="8"/>
  <c r="G85" i="8"/>
  <c r="F68" i="8"/>
  <c r="X54" i="10"/>
  <c r="K46" i="9"/>
  <c r="C15" i="16" s="1"/>
  <c r="M41" i="10"/>
  <c r="P41" i="10" s="1"/>
  <c r="M29" i="10"/>
  <c r="O29" i="10" s="1"/>
  <c r="E72" i="10"/>
  <c r="E85" i="10" s="1"/>
  <c r="M82" i="10"/>
  <c r="P82" i="10" s="1"/>
  <c r="H109" i="8"/>
  <c r="N40" i="9" s="1"/>
  <c r="X40" i="9" s="1"/>
  <c r="L68" i="8"/>
  <c r="G68" i="8"/>
  <c r="AE84" i="8"/>
  <c r="E21" i="11"/>
  <c r="T85" i="8"/>
  <c r="R68" i="8"/>
  <c r="C43" i="8"/>
  <c r="AE86" i="8"/>
  <c r="W42" i="8"/>
  <c r="AH42" i="8" s="1"/>
  <c r="AE83" i="8"/>
  <c r="G109" i="8"/>
  <c r="E8" i="10"/>
  <c r="W17" i="8"/>
  <c r="AH17" i="8" s="1"/>
  <c r="E16" i="10"/>
  <c r="X37" i="9"/>
  <c r="W108" i="8"/>
  <c r="J109" i="8"/>
  <c r="R85" i="8"/>
  <c r="J85" i="8"/>
  <c r="J68" i="8"/>
  <c r="D68" i="8"/>
  <c r="S43" i="8"/>
  <c r="L43" i="8"/>
  <c r="D31" i="12"/>
  <c r="T47" i="9"/>
  <c r="C14" i="16" s="1"/>
  <c r="E94" i="10"/>
  <c r="O54" i="10"/>
  <c r="P54" i="10"/>
  <c r="G21" i="11"/>
  <c r="E31" i="12"/>
  <c r="X23" i="10"/>
  <c r="Q47" i="9"/>
  <c r="C18" i="16" s="1"/>
  <c r="O68" i="10"/>
  <c r="P68" i="10"/>
  <c r="J21" i="11"/>
  <c r="O26" i="10"/>
  <c r="P26" i="10" s="1"/>
  <c r="O18" i="10"/>
  <c r="P18" i="10" s="1"/>
  <c r="P14" i="10"/>
  <c r="O12" i="10"/>
  <c r="P12" i="10"/>
  <c r="B82" i="15"/>
  <c r="W77" i="8"/>
  <c r="AH77" i="8" s="1"/>
  <c r="O18" i="11"/>
  <c r="B6" i="15"/>
  <c r="B37" i="15" s="1"/>
  <c r="I12" i="17"/>
  <c r="C13" i="17"/>
  <c r="I49" i="17"/>
  <c r="D12" i="17"/>
  <c r="I48" i="17"/>
  <c r="I54" i="17"/>
  <c r="I53" i="17"/>
  <c r="D21" i="11"/>
  <c r="C85" i="8"/>
  <c r="AC45" i="9"/>
  <c r="A43" i="16" s="1"/>
  <c r="C43" i="16" s="1"/>
  <c r="B287" i="14"/>
  <c r="E287" i="14" s="1"/>
  <c r="B176" i="14"/>
  <c r="B182" i="14" s="1"/>
  <c r="B168" i="14"/>
  <c r="F170" i="14" s="1"/>
  <c r="B286" i="14"/>
  <c r="B151" i="14"/>
  <c r="F153" i="14" s="1"/>
  <c r="A95" i="16" s="1"/>
  <c r="B284" i="14"/>
  <c r="B144" i="14"/>
  <c r="F145" i="14" s="1"/>
  <c r="A94" i="16" s="1"/>
  <c r="B283" i="14"/>
  <c r="L62" i="4"/>
  <c r="L63" i="4"/>
  <c r="D75" i="4"/>
  <c r="F17" i="4"/>
  <c r="C23" i="16"/>
  <c r="C16" i="16"/>
  <c r="C36" i="16"/>
  <c r="F16" i="7"/>
  <c r="A30" i="16" s="1"/>
  <c r="C30" i="16" s="1"/>
  <c r="C3" i="16"/>
  <c r="F31" i="12"/>
  <c r="C64" i="7"/>
  <c r="C66" i="7" s="1"/>
  <c r="O65" i="10"/>
  <c r="M28" i="11"/>
  <c r="O28" i="11" s="1"/>
  <c r="M24" i="11"/>
  <c r="O24" i="11" s="1"/>
  <c r="O33" i="11"/>
  <c r="O38" i="10"/>
  <c r="O91" i="10"/>
  <c r="F124" i="15"/>
  <c r="M86" i="10"/>
  <c r="M101" i="10" s="1"/>
  <c r="D24" i="14"/>
  <c r="C21" i="16"/>
  <c r="L43" i="9"/>
  <c r="B269" i="14"/>
  <c r="A29" i="16"/>
  <c r="C29" i="16" s="1"/>
  <c r="M44" i="10"/>
  <c r="X44" i="10"/>
  <c r="O47" i="10"/>
  <c r="W51" i="8"/>
  <c r="AH51" i="8" s="1"/>
  <c r="O11" i="10"/>
  <c r="P11" i="10" s="1"/>
  <c r="X95" i="10"/>
  <c r="F137" i="15" s="1"/>
  <c r="F136" i="15"/>
  <c r="F139" i="15" s="1"/>
  <c r="F114" i="15"/>
  <c r="B12" i="15"/>
  <c r="B43" i="15" s="1"/>
  <c r="B65" i="15"/>
  <c r="B67" i="15" s="1"/>
  <c r="M23" i="11"/>
  <c r="O23" i="11" s="1"/>
  <c r="B83" i="15"/>
  <c r="B20" i="15"/>
  <c r="B51" i="15" s="1"/>
  <c r="B17" i="15"/>
  <c r="B48" i="15" s="1"/>
  <c r="M25" i="11"/>
  <c r="O25" i="11" s="1"/>
  <c r="B66" i="15"/>
  <c r="B68" i="15" s="1"/>
  <c r="B21" i="15"/>
  <c r="B52" i="15" s="1"/>
  <c r="B64" i="15"/>
  <c r="E265" i="14"/>
  <c r="D265" i="14"/>
  <c r="E68" i="8"/>
  <c r="E90" i="8" s="1"/>
  <c r="W58" i="8"/>
  <c r="E31" i="10"/>
  <c r="E43" i="10" s="1"/>
  <c r="X31" i="10"/>
  <c r="B159" i="14"/>
  <c r="B161" i="14" s="1"/>
  <c r="B285" i="14"/>
  <c r="M31" i="10"/>
  <c r="I85" i="8"/>
  <c r="B249" i="14"/>
  <c r="G39" i="11"/>
  <c r="AH75" i="8"/>
  <c r="B230" i="14"/>
  <c r="F85" i="8"/>
  <c r="AE79" i="8" s="1"/>
  <c r="D161" i="14"/>
  <c r="C53" i="16"/>
  <c r="Z44" i="9"/>
  <c r="D55" i="11"/>
  <c r="Q46" i="9"/>
  <c r="C17" i="16" s="1"/>
  <c r="AA44" i="9"/>
  <c r="X33" i="9"/>
  <c r="F47" i="9"/>
  <c r="C12" i="16" s="1"/>
  <c r="F46" i="9"/>
  <c r="C11" i="16" s="1"/>
  <c r="M21" i="10"/>
  <c r="I31" i="11"/>
  <c r="G27" i="12"/>
  <c r="G28" i="12" s="1"/>
  <c r="O28" i="10"/>
  <c r="G20" i="12"/>
  <c r="C47" i="16"/>
  <c r="M44" i="9"/>
  <c r="O32" i="10"/>
  <c r="O27" i="10"/>
  <c r="P27" i="10" s="1"/>
  <c r="M87" i="4"/>
  <c r="I117" i="8"/>
  <c r="I121" i="8" s="1"/>
  <c r="A28" i="16"/>
  <c r="C28" i="16" s="1"/>
  <c r="C17" i="7"/>
  <c r="N87" i="4"/>
  <c r="M33" i="4"/>
  <c r="C24" i="16"/>
  <c r="L109" i="8"/>
  <c r="I68" i="8"/>
  <c r="Y44" i="9"/>
  <c r="J39" i="11"/>
  <c r="H18" i="12"/>
  <c r="S109" i="8"/>
  <c r="D85" i="8"/>
  <c r="V68" i="8"/>
  <c r="N68" i="8"/>
  <c r="N90" i="8" s="1"/>
  <c r="W37" i="8"/>
  <c r="AH37" i="8" s="1"/>
  <c r="AB44" i="9"/>
  <c r="B81" i="15"/>
  <c r="F122" i="15"/>
  <c r="D36" i="12"/>
  <c r="F106" i="15"/>
  <c r="D18" i="4"/>
  <c r="E64" i="7"/>
  <c r="E66" i="7" s="1"/>
  <c r="E109" i="8"/>
  <c r="V85" i="8"/>
  <c r="T68" i="8"/>
  <c r="T90" i="8" s="1"/>
  <c r="H68" i="8"/>
  <c r="C68" i="8"/>
  <c r="R43" i="8"/>
  <c r="J43" i="8"/>
  <c r="D28" i="12"/>
  <c r="C109" i="8"/>
  <c r="M85" i="8"/>
  <c r="F120" i="15"/>
  <c r="F126" i="15"/>
  <c r="O100" i="10"/>
  <c r="A61" i="16"/>
  <c r="C44" i="16"/>
  <c r="C6" i="16"/>
  <c r="C20" i="16"/>
  <c r="C22" i="16"/>
  <c r="C19" i="16"/>
  <c r="C27" i="16"/>
  <c r="C4" i="16"/>
  <c r="C37" i="16"/>
  <c r="C1" i="16"/>
  <c r="C25" i="16"/>
  <c r="C54" i="16"/>
  <c r="C51" i="16"/>
  <c r="C2" i="16"/>
  <c r="C52" i="16"/>
  <c r="C48" i="16"/>
  <c r="C61" i="16"/>
  <c r="C13" i="16"/>
  <c r="C5" i="16"/>
  <c r="C50" i="16"/>
  <c r="C40" i="16"/>
  <c r="B146" i="15"/>
  <c r="F36" i="12"/>
  <c r="C42" i="9"/>
  <c r="M40" i="9"/>
  <c r="M42" i="9" s="1"/>
  <c r="M43" i="9" s="1"/>
  <c r="F113" i="15"/>
  <c r="F66" i="7"/>
  <c r="N42" i="9"/>
  <c r="D64" i="7"/>
  <c r="D66" i="7" s="1"/>
  <c r="N109" i="8"/>
  <c r="AH88" i="8"/>
  <c r="W89" i="8"/>
  <c r="AH89" i="8" s="1"/>
  <c r="D94" i="14"/>
  <c r="I109" i="8"/>
  <c r="AH95" i="8"/>
  <c r="AH97" i="8" s="1"/>
  <c r="W97" i="8"/>
  <c r="W43" i="8"/>
  <c r="B24" i="15"/>
  <c r="F39" i="11"/>
  <c r="A64" i="16"/>
  <c r="C64" i="16" s="1"/>
  <c r="C59" i="11"/>
  <c r="D59" i="11" s="1"/>
  <c r="E39" i="11"/>
  <c r="W83" i="8"/>
  <c r="H39" i="11"/>
  <c r="D50" i="11"/>
  <c r="AH108" i="8"/>
  <c r="AH102" i="8"/>
  <c r="W30" i="8"/>
  <c r="O76" i="10"/>
  <c r="O73" i="10"/>
  <c r="O62" i="10"/>
  <c r="P62" i="10" s="1"/>
  <c r="O42" i="10"/>
  <c r="E20" i="12"/>
  <c r="O55" i="10"/>
  <c r="O19" i="10"/>
  <c r="P19" i="10" s="1"/>
  <c r="O90" i="10"/>
  <c r="N80" i="4" l="1"/>
  <c r="N79" i="4"/>
  <c r="P72" i="10"/>
  <c r="A66" i="16" s="1"/>
  <c r="C66" i="16" s="1"/>
  <c r="W67" i="8"/>
  <c r="AH67" i="8" s="1"/>
  <c r="D90" i="8"/>
  <c r="D110" i="8" s="1"/>
  <c r="D113" i="8" s="1"/>
  <c r="D114" i="8" s="1"/>
  <c r="I90" i="8"/>
  <c r="S90" i="8"/>
  <c r="S110" i="8" s="1"/>
  <c r="S113" i="8" s="1"/>
  <c r="B80" i="14" s="1"/>
  <c r="F82" i="14" s="1"/>
  <c r="A87" i="16" s="1"/>
  <c r="C87" i="16" s="1"/>
  <c r="R90" i="8"/>
  <c r="R110" i="8" s="1"/>
  <c r="R113" i="8" s="1"/>
  <c r="B72" i="14" s="1"/>
  <c r="F74" i="14" s="1"/>
  <c r="A86" i="16" s="1"/>
  <c r="C86" i="16" s="1"/>
  <c r="H90" i="8"/>
  <c r="H110" i="8" s="1"/>
  <c r="H113" i="8" s="1"/>
  <c r="B56" i="14" s="1"/>
  <c r="F58" i="14" s="1"/>
  <c r="E58" i="14" s="1"/>
  <c r="T110" i="8"/>
  <c r="T113" i="8" s="1"/>
  <c r="B88" i="14" s="1"/>
  <c r="B94" i="14" s="1"/>
  <c r="F95" i="14" s="1"/>
  <c r="E94" i="14" s="1"/>
  <c r="E275" i="14"/>
  <c r="O41" i="10"/>
  <c r="X42" i="9"/>
  <c r="X43" i="9" s="1"/>
  <c r="A39" i="16" s="1"/>
  <c r="C39" i="16" s="1"/>
  <c r="O82" i="10"/>
  <c r="AH43" i="8"/>
  <c r="M90" i="8"/>
  <c r="M110" i="8" s="1"/>
  <c r="M113" i="8" s="1"/>
  <c r="L90" i="8"/>
  <c r="L110" i="8" s="1"/>
  <c r="G65" i="7"/>
  <c r="I7" i="7"/>
  <c r="I55" i="17"/>
  <c r="E170" i="14"/>
  <c r="A97" i="16"/>
  <c r="G90" i="8"/>
  <c r="G110" i="8" s="1"/>
  <c r="G113" i="8" s="1"/>
  <c r="B39" i="14" s="1"/>
  <c r="B49" i="14" s="1"/>
  <c r="F50" i="14" s="1"/>
  <c r="A83" i="16" s="1"/>
  <c r="C83" i="16" s="1"/>
  <c r="O86" i="10"/>
  <c r="P86" i="10"/>
  <c r="A68" i="16" s="1"/>
  <c r="E68" i="16" s="1"/>
  <c r="C68" i="16" s="1"/>
  <c r="P44" i="10"/>
  <c r="O31" i="10"/>
  <c r="P31" i="10"/>
  <c r="A58" i="16" s="1"/>
  <c r="E58" i="16" s="1"/>
  <c r="C58" i="16" s="1"/>
  <c r="E17" i="19"/>
  <c r="AA45" i="9"/>
  <c r="A41" i="16" s="1"/>
  <c r="C41" i="16" s="1"/>
  <c r="C16" i="17"/>
  <c r="I50" i="17" s="1"/>
  <c r="I13" i="17"/>
  <c r="P29" i="10"/>
  <c r="E110" i="8"/>
  <c r="E113" i="8" s="1"/>
  <c r="B20" i="14" s="1"/>
  <c r="B24" i="14" s="1"/>
  <c r="F25" i="14" s="1"/>
  <c r="E24" i="14" s="1"/>
  <c r="J90" i="8"/>
  <c r="J110" i="8" s="1"/>
  <c r="J113" i="8" s="1"/>
  <c r="AD114" i="8" s="1"/>
  <c r="V90" i="8"/>
  <c r="V110" i="8" s="1"/>
  <c r="F90" i="8"/>
  <c r="F110" i="8" s="1"/>
  <c r="F113" i="8" s="1"/>
  <c r="B31" i="14" s="1"/>
  <c r="F33" i="14" s="1"/>
  <c r="E33" i="14" s="1"/>
  <c r="C90" i="8"/>
  <c r="C110" i="8" s="1"/>
  <c r="C113" i="8" s="1"/>
  <c r="AD113" i="8" s="1"/>
  <c r="N110" i="8"/>
  <c r="N113" i="8" s="1"/>
  <c r="I119" i="8" s="1"/>
  <c r="I120" i="8" s="1"/>
  <c r="O62" i="8" s="1"/>
  <c r="W109" i="8"/>
  <c r="AH109" i="8" s="1"/>
  <c r="W68" i="8"/>
  <c r="O20" i="10"/>
  <c r="O22" i="10"/>
  <c r="P22" i="10" s="1"/>
  <c r="O80" i="10"/>
  <c r="P80" i="10"/>
  <c r="J12" i="17"/>
  <c r="D13" i="17"/>
  <c r="J48" i="17"/>
  <c r="J49" i="17"/>
  <c r="D287" i="14"/>
  <c r="E169" i="14"/>
  <c r="AB45" i="9"/>
  <c r="A42" i="16" s="1"/>
  <c r="C42" i="16" s="1"/>
  <c r="Z45" i="9"/>
  <c r="A46" i="16" s="1"/>
  <c r="C46" i="16" s="1"/>
  <c r="Y45" i="9"/>
  <c r="A45" i="16" s="1"/>
  <c r="C45" i="16" s="1"/>
  <c r="D286" i="14"/>
  <c r="E286" i="14"/>
  <c r="E284" i="14"/>
  <c r="D284" i="14"/>
  <c r="E153" i="14"/>
  <c r="E152" i="14"/>
  <c r="D283" i="14"/>
  <c r="E283" i="14"/>
  <c r="E145" i="14"/>
  <c r="E144" i="14"/>
  <c r="F183" i="14"/>
  <c r="A98" i="16" s="1"/>
  <c r="F162" i="14"/>
  <c r="F17" i="7"/>
  <c r="G66" i="7"/>
  <c r="A31" i="16" s="1"/>
  <c r="C31" i="16" s="1"/>
  <c r="O101" i="10"/>
  <c r="O44" i="10"/>
  <c r="E269" i="14"/>
  <c r="D269" i="14"/>
  <c r="X101" i="10"/>
  <c r="F117" i="15"/>
  <c r="F118" i="15" s="1"/>
  <c r="F119" i="15"/>
  <c r="O58" i="10"/>
  <c r="B32" i="15"/>
  <c r="B61" i="15" s="1"/>
  <c r="F112" i="15"/>
  <c r="AH58" i="8"/>
  <c r="D285" i="14"/>
  <c r="E285" i="14"/>
  <c r="D249" i="14"/>
  <c r="E249" i="14"/>
  <c r="E230" i="14"/>
  <c r="D230" i="14"/>
  <c r="O21" i="10"/>
  <c r="P21" i="10" s="1"/>
  <c r="C38" i="16"/>
  <c r="D34" i="4"/>
  <c r="F48" i="4" s="1"/>
  <c r="AH83" i="8"/>
  <c r="AH85" i="8" s="1"/>
  <c r="W85" i="8"/>
  <c r="C93" i="16"/>
  <c r="F140" i="15"/>
  <c r="F138" i="15"/>
  <c r="I110" i="8"/>
  <c r="I113" i="8" s="1"/>
  <c r="B64" i="14" s="1"/>
  <c r="F66" i="14" s="1"/>
  <c r="AH30" i="8"/>
  <c r="D61" i="11"/>
  <c r="A75" i="16" s="1"/>
  <c r="C75" i="16" s="1"/>
  <c r="E70" i="16"/>
  <c r="C70" i="16" s="1"/>
  <c r="M80" i="4" l="1"/>
  <c r="M79" i="4"/>
  <c r="P62" i="8"/>
  <c r="B108" i="15" s="1"/>
  <c r="D110" i="10"/>
  <c r="O52" i="10"/>
  <c r="P52" i="10"/>
  <c r="Y62" i="8"/>
  <c r="C104" i="10"/>
  <c r="A32" i="16"/>
  <c r="C32" i="16" s="1"/>
  <c r="F121" i="8"/>
  <c r="O48" i="8"/>
  <c r="P48" i="8" s="1"/>
  <c r="J118" i="8"/>
  <c r="A35" i="16" s="1"/>
  <c r="C35" i="16" s="1"/>
  <c r="N114" i="8"/>
  <c r="A33" i="16" s="1"/>
  <c r="C33" i="16" s="1"/>
  <c r="L113" i="8"/>
  <c r="P115" i="8" s="1"/>
  <c r="W90" i="8"/>
  <c r="W110" i="8" s="1"/>
  <c r="E81" i="14"/>
  <c r="E82" i="14"/>
  <c r="P58" i="10"/>
  <c r="A63" i="16" s="1"/>
  <c r="E63" i="16" s="1"/>
  <c r="C63" i="16" s="1"/>
  <c r="P116" i="8"/>
  <c r="E161" i="14"/>
  <c r="A96" i="16"/>
  <c r="A60" i="16"/>
  <c r="E60" i="16" s="1"/>
  <c r="C60" i="16" s="1"/>
  <c r="B5" i="14"/>
  <c r="B14" i="14" s="1"/>
  <c r="F14" i="14" s="1"/>
  <c r="E14" i="14" s="1"/>
  <c r="I16" i="17"/>
  <c r="C18" i="17"/>
  <c r="D16" i="17"/>
  <c r="J16" i="17" s="1"/>
  <c r="J13" i="17"/>
  <c r="A82" i="16"/>
  <c r="C82" i="16" s="1"/>
  <c r="E32" i="14"/>
  <c r="AE92" i="8"/>
  <c r="O39" i="10"/>
  <c r="P39" i="10"/>
  <c r="O66" i="10"/>
  <c r="P66" i="10"/>
  <c r="E73" i="14"/>
  <c r="E74" i="14"/>
  <c r="E57" i="14"/>
  <c r="A84" i="16"/>
  <c r="A81" i="16"/>
  <c r="C81" i="16" s="1"/>
  <c r="E25" i="14"/>
  <c r="C89" i="16"/>
  <c r="E182" i="14"/>
  <c r="E183" i="14"/>
  <c r="C92" i="16"/>
  <c r="E162" i="14"/>
  <c r="AH90" i="8"/>
  <c r="AH110" i="8" s="1"/>
  <c r="E95" i="14"/>
  <c r="A88" i="16"/>
  <c r="C88" i="16" s="1"/>
  <c r="E50" i="14"/>
  <c r="E49" i="14"/>
  <c r="E65" i="14"/>
  <c r="E66" i="14"/>
  <c r="A85" i="16"/>
  <c r="C85" i="16" s="1"/>
  <c r="O82" i="8"/>
  <c r="P82" i="8" s="1"/>
  <c r="O99" i="8"/>
  <c r="O54" i="8"/>
  <c r="D39" i="10" s="1"/>
  <c r="O70" i="8"/>
  <c r="O40" i="8"/>
  <c r="P40" i="8" s="1"/>
  <c r="O28" i="8"/>
  <c r="P28" i="8" s="1"/>
  <c r="O84" i="8"/>
  <c r="P84" i="8" s="1"/>
  <c r="O101" i="8"/>
  <c r="P101" i="8" s="1"/>
  <c r="O19" i="8"/>
  <c r="O65" i="8"/>
  <c r="P65" i="8" s="1"/>
  <c r="Y65" i="8" s="1"/>
  <c r="O55" i="8"/>
  <c r="O74" i="8"/>
  <c r="P74" i="8" s="1"/>
  <c r="O57" i="8"/>
  <c r="O26" i="8"/>
  <c r="P26" i="8" s="1"/>
  <c r="O81" i="8"/>
  <c r="P81" i="8" s="1"/>
  <c r="O80" i="8"/>
  <c r="P80" i="8" s="1"/>
  <c r="O27" i="8"/>
  <c r="P27" i="8" s="1"/>
  <c r="O21" i="8"/>
  <c r="P21" i="8" s="1"/>
  <c r="O15" i="8"/>
  <c r="P15" i="8" s="1"/>
  <c r="AD15" i="8" s="1"/>
  <c r="O56" i="8"/>
  <c r="O60" i="8"/>
  <c r="O79" i="8"/>
  <c r="P79" i="8" s="1"/>
  <c r="O93" i="8"/>
  <c r="O87" i="8"/>
  <c r="O94" i="8"/>
  <c r="P94" i="8" s="1"/>
  <c r="O47" i="8"/>
  <c r="P47" i="8" s="1"/>
  <c r="C8" i="10" s="1"/>
  <c r="D11" i="10" s="1"/>
  <c r="O71" i="8"/>
  <c r="P71" i="8" s="1"/>
  <c r="AD71" i="8" s="1"/>
  <c r="O95" i="8"/>
  <c r="P95" i="8" s="1"/>
  <c r="O24" i="8"/>
  <c r="P24" i="8" s="1"/>
  <c r="O29" i="8"/>
  <c r="P29" i="8" s="1"/>
  <c r="O76" i="8"/>
  <c r="P76" i="8" s="1"/>
  <c r="O61" i="8"/>
  <c r="O105" i="8"/>
  <c r="P105" i="8" s="1"/>
  <c r="O50" i="8"/>
  <c r="P50" i="8" s="1"/>
  <c r="O23" i="8"/>
  <c r="P23" i="8" s="1"/>
  <c r="AD23" i="8" s="1"/>
  <c r="O64" i="8"/>
  <c r="P64" i="8" s="1"/>
  <c r="O16" i="8"/>
  <c r="P16" i="8" s="1"/>
  <c r="O39" i="8"/>
  <c r="O49" i="8"/>
  <c r="P49" i="8" s="1"/>
  <c r="O46" i="8"/>
  <c r="O83" i="8"/>
  <c r="O20" i="8"/>
  <c r="P20" i="8" s="1"/>
  <c r="O33" i="8"/>
  <c r="O96" i="8"/>
  <c r="P96" i="8" s="1"/>
  <c r="O36" i="8"/>
  <c r="P36" i="8" s="1"/>
  <c r="O104" i="8"/>
  <c r="O14" i="8"/>
  <c r="P14" i="8" s="1"/>
  <c r="AD14" i="8" s="1"/>
  <c r="O100" i="8"/>
  <c r="P100" i="8" s="1"/>
  <c r="O107" i="8"/>
  <c r="P107" i="8" s="1"/>
  <c r="O13" i="8"/>
  <c r="O41" i="8"/>
  <c r="P41" i="8" s="1"/>
  <c r="O73" i="8"/>
  <c r="O34" i="8"/>
  <c r="P34" i="8" s="1"/>
  <c r="O66" i="8"/>
  <c r="P66" i="8" s="1"/>
  <c r="Y66" i="8" s="1"/>
  <c r="O35" i="8"/>
  <c r="P35" i="8" s="1"/>
  <c r="O75" i="8"/>
  <c r="O25" i="8"/>
  <c r="P25" i="8" s="1"/>
  <c r="O88" i="8"/>
  <c r="P88" i="8" s="1"/>
  <c r="Z88" i="8" s="1"/>
  <c r="O22" i="8"/>
  <c r="P22" i="8" s="1"/>
  <c r="O106" i="8"/>
  <c r="P106" i="8" s="1"/>
  <c r="O53" i="8"/>
  <c r="V112" i="8"/>
  <c r="P112" i="10" l="1"/>
  <c r="D108" i="10"/>
  <c r="C30" i="17"/>
  <c r="D46" i="4"/>
  <c r="AF62" i="8"/>
  <c r="AG62" i="8"/>
  <c r="Y48" i="8"/>
  <c r="AF48" i="8"/>
  <c r="AG48" i="8"/>
  <c r="C22" i="11"/>
  <c r="P25" i="11" s="1"/>
  <c r="AD74" i="8"/>
  <c r="P60" i="8"/>
  <c r="AF60" i="8" s="1"/>
  <c r="D92" i="10"/>
  <c r="P57" i="8"/>
  <c r="D80" i="10"/>
  <c r="P56" i="8"/>
  <c r="Y56" i="8" s="1"/>
  <c r="D66" i="10"/>
  <c r="P61" i="8"/>
  <c r="AG61" i="8" s="1"/>
  <c r="D101" i="10"/>
  <c r="P55" i="8"/>
  <c r="AG55" i="8" s="1"/>
  <c r="D52" i="10"/>
  <c r="A80" i="16"/>
  <c r="C80" i="16" s="1"/>
  <c r="P54" i="8"/>
  <c r="AG54" i="8" s="1"/>
  <c r="J50" i="17"/>
  <c r="D18" i="17"/>
  <c r="E46" i="4" s="1"/>
  <c r="E48" i="4" s="1"/>
  <c r="I19" i="17"/>
  <c r="I51" i="17"/>
  <c r="C36" i="17"/>
  <c r="F99" i="15"/>
  <c r="B99" i="15"/>
  <c r="F101" i="15"/>
  <c r="B101" i="15"/>
  <c r="C84" i="16"/>
  <c r="I30" i="17"/>
  <c r="P75" i="8"/>
  <c r="AA78" i="8" s="1"/>
  <c r="AD78" i="8" s="1"/>
  <c r="A106" i="16" s="1"/>
  <c r="C106" i="16" s="1"/>
  <c r="B224" i="14"/>
  <c r="E111" i="14"/>
  <c r="A90" i="16"/>
  <c r="C90" i="16" s="1"/>
  <c r="Y88" i="8"/>
  <c r="AA88" i="8" s="1"/>
  <c r="AD88" i="8" s="1"/>
  <c r="AF88" i="8"/>
  <c r="AG88" i="8"/>
  <c r="AG35" i="8"/>
  <c r="AF35" i="8"/>
  <c r="Y35" i="8"/>
  <c r="AG14" i="8"/>
  <c r="AF14" i="8"/>
  <c r="Y14" i="8"/>
  <c r="AF49" i="8"/>
  <c r="AG49" i="8"/>
  <c r="B103" i="15"/>
  <c r="F103" i="15"/>
  <c r="Y49" i="8"/>
  <c r="Y23" i="8"/>
  <c r="AG23" i="8"/>
  <c r="AF23" i="8"/>
  <c r="P87" i="8"/>
  <c r="Z87" i="8" s="1"/>
  <c r="O89" i="8"/>
  <c r="AF80" i="8"/>
  <c r="Z80" i="8"/>
  <c r="Y80" i="8"/>
  <c r="AA80" i="8" s="1"/>
  <c r="AC80" i="8" s="1"/>
  <c r="AD80" i="8" s="1"/>
  <c r="AG80" i="8"/>
  <c r="C21" i="12"/>
  <c r="P53" i="8"/>
  <c r="O58" i="8"/>
  <c r="O67" i="8" s="1"/>
  <c r="AF66" i="8"/>
  <c r="AG66" i="8"/>
  <c r="P13" i="8"/>
  <c r="O17" i="8"/>
  <c r="O108" i="8"/>
  <c r="P104" i="8"/>
  <c r="AG20" i="8"/>
  <c r="Y20" i="8"/>
  <c r="AF20" i="8"/>
  <c r="P39" i="8"/>
  <c r="O42" i="8"/>
  <c r="P42" i="8" s="1"/>
  <c r="AF50" i="8"/>
  <c r="Y50" i="8"/>
  <c r="C16" i="10"/>
  <c r="D19" i="10" s="1"/>
  <c r="AG50" i="8"/>
  <c r="AF29" i="8"/>
  <c r="AG29" i="8"/>
  <c r="Y29" i="8"/>
  <c r="AG71" i="8"/>
  <c r="Y71" i="8"/>
  <c r="AF71" i="8"/>
  <c r="O97" i="8"/>
  <c r="P93" i="8"/>
  <c r="AG15" i="8"/>
  <c r="Y15" i="8"/>
  <c r="AF15" i="8"/>
  <c r="AF81" i="8"/>
  <c r="AG81" i="8"/>
  <c r="Y81" i="8"/>
  <c r="AA81" i="8" s="1"/>
  <c r="AD81" i="8" s="1"/>
  <c r="Z81" i="8"/>
  <c r="C29" i="12"/>
  <c r="L29" i="12" s="1"/>
  <c r="AF84" i="8"/>
  <c r="C32" i="12"/>
  <c r="Z84" i="8"/>
  <c r="AG84" i="8"/>
  <c r="Y84" i="8"/>
  <c r="AA84" i="8" s="1"/>
  <c r="AC84" i="8" s="1"/>
  <c r="AD84" i="8" s="1"/>
  <c r="AG25" i="8"/>
  <c r="AF25" i="8"/>
  <c r="Y25" i="8"/>
  <c r="AG107" i="8"/>
  <c r="AF107" i="8"/>
  <c r="Y107" i="8"/>
  <c r="Y16" i="8"/>
  <c r="AG16" i="8"/>
  <c r="AF16" i="8"/>
  <c r="AF24" i="8"/>
  <c r="AG24" i="8"/>
  <c r="Y24" i="8"/>
  <c r="AD24" i="8"/>
  <c r="Z79" i="8"/>
  <c r="Y79" i="8"/>
  <c r="AA79" i="8" s="1"/>
  <c r="AC79" i="8" s="1"/>
  <c r="AD79" i="8" s="1"/>
  <c r="AG79" i="8"/>
  <c r="P83" i="8"/>
  <c r="C12" i="12"/>
  <c r="AF79" i="8"/>
  <c r="AF26" i="8"/>
  <c r="Y26" i="8"/>
  <c r="AG26" i="8"/>
  <c r="AG65" i="8"/>
  <c r="AF65" i="8"/>
  <c r="AG28" i="8"/>
  <c r="AF28" i="8"/>
  <c r="AD28" i="8"/>
  <c r="Y28" i="8"/>
  <c r="P99" i="8"/>
  <c r="O102" i="8"/>
  <c r="AF106" i="8"/>
  <c r="Y106" i="8"/>
  <c r="AG106" i="8"/>
  <c r="AF34" i="8"/>
  <c r="AG34" i="8"/>
  <c r="Y34" i="8"/>
  <c r="Z36" i="8"/>
  <c r="AG36" i="8"/>
  <c r="AF36" i="8"/>
  <c r="Y36" i="8"/>
  <c r="AA36" i="8" s="1"/>
  <c r="AD36" i="8" s="1"/>
  <c r="AG105" i="8"/>
  <c r="AF105" i="8"/>
  <c r="Y105" i="8"/>
  <c r="AF47" i="8"/>
  <c r="AG47" i="8"/>
  <c r="Y47" i="8"/>
  <c r="AF21" i="8"/>
  <c r="AG21" i="8"/>
  <c r="Y21" i="8"/>
  <c r="Y22" i="8"/>
  <c r="AG22" i="8"/>
  <c r="AF22" i="8"/>
  <c r="P73" i="8"/>
  <c r="O77" i="8"/>
  <c r="O85" i="8" s="1"/>
  <c r="Y100" i="8"/>
  <c r="AG100" i="8"/>
  <c r="AF100" i="8"/>
  <c r="Y96" i="8"/>
  <c r="AG96" i="8"/>
  <c r="AF96" i="8"/>
  <c r="P46" i="8"/>
  <c r="O51" i="8"/>
  <c r="B107" i="15"/>
  <c r="AF64" i="8"/>
  <c r="AG64" i="8"/>
  <c r="Y64" i="8"/>
  <c r="F107" i="15"/>
  <c r="Y95" i="8"/>
  <c r="AF95" i="8"/>
  <c r="AG95" i="8"/>
  <c r="AG94" i="8"/>
  <c r="AF94" i="8"/>
  <c r="Y94" i="8"/>
  <c r="Y27" i="8"/>
  <c r="AF27" i="8"/>
  <c r="AG27" i="8"/>
  <c r="O30" i="8"/>
  <c r="P19" i="8"/>
  <c r="AG40" i="8"/>
  <c r="Y40" i="8"/>
  <c r="AF40" i="8"/>
  <c r="Z82" i="8"/>
  <c r="AF82" i="8"/>
  <c r="Y82" i="8"/>
  <c r="AA82" i="8" s="1"/>
  <c r="AC82" i="8" s="1"/>
  <c r="AD82" i="8" s="1"/>
  <c r="AG82" i="8"/>
  <c r="C30" i="12"/>
  <c r="W112" i="8"/>
  <c r="W113" i="8" s="1"/>
  <c r="V113" i="8"/>
  <c r="W116" i="8" s="1"/>
  <c r="AG41" i="8"/>
  <c r="AF41" i="8"/>
  <c r="Y41" i="8"/>
  <c r="P33" i="8"/>
  <c r="O37" i="8"/>
  <c r="AF76" i="8"/>
  <c r="Z76" i="8"/>
  <c r="Y76" i="8"/>
  <c r="AA76" i="8" s="1"/>
  <c r="AC76" i="8" s="1"/>
  <c r="AD76" i="8" s="1"/>
  <c r="AG76" i="8"/>
  <c r="AG74" i="8"/>
  <c r="AF74" i="8"/>
  <c r="Y74" i="8"/>
  <c r="AA74" i="8" s="1"/>
  <c r="AC74" i="8" s="1"/>
  <c r="Z74" i="8"/>
  <c r="AG101" i="8"/>
  <c r="Y101" i="8"/>
  <c r="AF101" i="8"/>
  <c r="P70" i="8"/>
  <c r="L17" i="12" l="1"/>
  <c r="L14" i="12"/>
  <c r="L18" i="12"/>
  <c r="L15" i="12"/>
  <c r="L16" i="12"/>
  <c r="L13" i="12"/>
  <c r="C40" i="17"/>
  <c r="C44" i="17" s="1"/>
  <c r="C47" i="17" s="1"/>
  <c r="N48" i="4"/>
  <c r="E76" i="4"/>
  <c r="D48" i="4"/>
  <c r="D76" i="4" s="1"/>
  <c r="AF57" i="8"/>
  <c r="Y57" i="8"/>
  <c r="AD70" i="8"/>
  <c r="P23" i="11"/>
  <c r="P24" i="11"/>
  <c r="P28" i="11"/>
  <c r="P27" i="11"/>
  <c r="P26" i="11"/>
  <c r="AF55" i="8"/>
  <c r="AD73" i="8"/>
  <c r="C12" i="11"/>
  <c r="P16" i="11" s="1"/>
  <c r="Y60" i="8"/>
  <c r="AG60" i="8"/>
  <c r="C86" i="10"/>
  <c r="D90" i="10" s="1"/>
  <c r="Y55" i="8"/>
  <c r="C44" i="10"/>
  <c r="AG56" i="8"/>
  <c r="AF56" i="8"/>
  <c r="C58" i="10"/>
  <c r="P29" i="11"/>
  <c r="Y54" i="8"/>
  <c r="C31" i="10"/>
  <c r="J51" i="17"/>
  <c r="J19" i="17"/>
  <c r="AG57" i="8"/>
  <c r="C95" i="10"/>
  <c r="D99" i="10" s="1"/>
  <c r="C72" i="10"/>
  <c r="AF61" i="8"/>
  <c r="Y61" i="8"/>
  <c r="AF54" i="8"/>
  <c r="B225" i="14"/>
  <c r="D225" i="14" s="1"/>
  <c r="AF75" i="8"/>
  <c r="AC88" i="8"/>
  <c r="AG75" i="8"/>
  <c r="Y75" i="8"/>
  <c r="AA75" i="8" s="1"/>
  <c r="C32" i="11"/>
  <c r="Z75" i="8"/>
  <c r="D224" i="14"/>
  <c r="E224" i="14"/>
  <c r="O43" i="8"/>
  <c r="O68" i="8"/>
  <c r="H30" i="12"/>
  <c r="AF19" i="8"/>
  <c r="AG19" i="8"/>
  <c r="Y19" i="8"/>
  <c r="P30" i="8"/>
  <c r="AF46" i="8"/>
  <c r="P51" i="8"/>
  <c r="F102" i="15"/>
  <c r="Y46" i="8"/>
  <c r="B102" i="15"/>
  <c r="AG46" i="8"/>
  <c r="AG73" i="8"/>
  <c r="Z73" i="8"/>
  <c r="AF73" i="8"/>
  <c r="Y73" i="8"/>
  <c r="AA73" i="8" s="1"/>
  <c r="P77" i="8"/>
  <c r="P85" i="8" s="1"/>
  <c r="AC36" i="8"/>
  <c r="H29" i="12"/>
  <c r="AG93" i="8"/>
  <c r="AF93" i="8"/>
  <c r="Y93" i="8"/>
  <c r="Y97" i="8" s="1"/>
  <c r="P97" i="8"/>
  <c r="AF87" i="8"/>
  <c r="AG87" i="8"/>
  <c r="Y87" i="8"/>
  <c r="AA87" i="8" s="1"/>
  <c r="AD87" i="8" s="1"/>
  <c r="P89" i="8"/>
  <c r="Y33" i="8"/>
  <c r="P37" i="8"/>
  <c r="AF33" i="8"/>
  <c r="AG33" i="8"/>
  <c r="P102" i="8"/>
  <c r="AG99" i="8"/>
  <c r="AF99" i="8"/>
  <c r="Y99" i="8"/>
  <c r="Y102" i="8" s="1"/>
  <c r="C20" i="12"/>
  <c r="L20" i="12" s="1"/>
  <c r="C31" i="12"/>
  <c r="H12" i="12"/>
  <c r="I12" i="12" s="1"/>
  <c r="K12" i="12" s="1"/>
  <c r="O109" i="8"/>
  <c r="Z42" i="8"/>
  <c r="Y42" i="8"/>
  <c r="AA42" i="8" s="1"/>
  <c r="AD42" i="8" s="1"/>
  <c r="AF42" i="8"/>
  <c r="AG42" i="8"/>
  <c r="AF13" i="8"/>
  <c r="AD13" i="8"/>
  <c r="AG13" i="8"/>
  <c r="P17" i="8"/>
  <c r="Y13" i="8"/>
  <c r="Y53" i="8"/>
  <c r="P58" i="8"/>
  <c r="P67" i="8" s="1"/>
  <c r="Y67" i="8" s="1"/>
  <c r="AG53" i="8"/>
  <c r="AF53" i="8"/>
  <c r="C24" i="10"/>
  <c r="D27" i="10" s="1"/>
  <c r="AF70" i="8"/>
  <c r="AG70" i="8"/>
  <c r="Y70" i="8"/>
  <c r="K22" i="11"/>
  <c r="C31" i="11"/>
  <c r="P31" i="11" s="1"/>
  <c r="A73" i="16" s="1"/>
  <c r="C73" i="16" s="1"/>
  <c r="L22" i="11"/>
  <c r="W121" i="8"/>
  <c r="W123" i="8" s="1"/>
  <c r="A9" i="16" s="1"/>
  <c r="C9" i="16" s="1"/>
  <c r="C9" i="10"/>
  <c r="X8" i="10"/>
  <c r="M8" i="10"/>
  <c r="AF83" i="8"/>
  <c r="Y83" i="8"/>
  <c r="AA83" i="8" s="1"/>
  <c r="AC83" i="8" s="1"/>
  <c r="AD83" i="8" s="1"/>
  <c r="AG83" i="8"/>
  <c r="Z83" i="8"/>
  <c r="H32" i="12"/>
  <c r="C36" i="12"/>
  <c r="L36" i="12" s="1"/>
  <c r="A79" i="16" s="1"/>
  <c r="C79" i="16" s="1"/>
  <c r="AC81" i="8"/>
  <c r="C17" i="10"/>
  <c r="M16" i="10"/>
  <c r="P16" i="10" s="1"/>
  <c r="X16" i="10"/>
  <c r="AF39" i="8"/>
  <c r="Y39" i="8"/>
  <c r="AG39" i="8"/>
  <c r="AG104" i="8"/>
  <c r="Y104" i="8"/>
  <c r="Y108" i="8" s="1"/>
  <c r="P108" i="8"/>
  <c r="AF104" i="8"/>
  <c r="C28" i="12"/>
  <c r="L28" i="12" s="1"/>
  <c r="A77" i="16" s="1"/>
  <c r="C77" i="16" s="1"/>
  <c r="H21" i="12"/>
  <c r="A76" i="16" l="1"/>
  <c r="C76" i="16" s="1"/>
  <c r="A104" i="16"/>
  <c r="C104" i="16" s="1"/>
  <c r="I40" i="17"/>
  <c r="P15" i="11"/>
  <c r="M48" i="4"/>
  <c r="C111" i="10"/>
  <c r="C112" i="10" s="1"/>
  <c r="P18" i="11"/>
  <c r="D50" i="10"/>
  <c r="D48" i="10"/>
  <c r="D35" i="10"/>
  <c r="D37" i="10"/>
  <c r="M32" i="11"/>
  <c r="P36" i="11"/>
  <c r="P35" i="11"/>
  <c r="D78" i="10"/>
  <c r="D76" i="10"/>
  <c r="D62" i="10"/>
  <c r="D64" i="10"/>
  <c r="C93" i="10"/>
  <c r="C94" i="10" s="1"/>
  <c r="P93" i="10" s="1"/>
  <c r="A69" i="16" s="1"/>
  <c r="C69" i="16" s="1"/>
  <c r="P13" i="11"/>
  <c r="C53" i="10"/>
  <c r="C57" i="10" s="1"/>
  <c r="P57" i="10" s="1"/>
  <c r="A62" i="16" s="1"/>
  <c r="C62" i="16" s="1"/>
  <c r="P34" i="11"/>
  <c r="P14" i="11"/>
  <c r="P33" i="11"/>
  <c r="C81" i="10"/>
  <c r="C85" i="10" s="1"/>
  <c r="P85" i="10" s="1"/>
  <c r="A67" i="16" s="1"/>
  <c r="C67" i="16" s="1"/>
  <c r="C67" i="10"/>
  <c r="C71" i="10" s="1"/>
  <c r="P71" i="10" s="1"/>
  <c r="A65" i="16" s="1"/>
  <c r="C65" i="16" s="1"/>
  <c r="C102" i="10"/>
  <c r="C103" i="10" s="1"/>
  <c r="C40" i="10"/>
  <c r="C43" i="10" s="1"/>
  <c r="P43" i="10" s="1"/>
  <c r="A59" i="16" s="1"/>
  <c r="C59" i="16" s="1"/>
  <c r="M15" i="10"/>
  <c r="M10" i="10"/>
  <c r="O10" i="10" s="1"/>
  <c r="P10" i="10" s="1"/>
  <c r="X10" i="10"/>
  <c r="H43" i="11"/>
  <c r="H42" i="11"/>
  <c r="P37" i="11"/>
  <c r="E225" i="14"/>
  <c r="AC78" i="8"/>
  <c r="P19" i="11"/>
  <c r="AD75" i="8"/>
  <c r="B92" i="15"/>
  <c r="B91" i="15"/>
  <c r="M22" i="11"/>
  <c r="AC75" i="8"/>
  <c r="A78" i="16"/>
  <c r="C78" i="16" s="1"/>
  <c r="L32" i="11"/>
  <c r="C39" i="11"/>
  <c r="P39" i="11" s="1"/>
  <c r="A74" i="16" s="1"/>
  <c r="C74" i="16" s="1"/>
  <c r="AC87" i="8"/>
  <c r="K32" i="11"/>
  <c r="B70" i="15" s="1"/>
  <c r="O90" i="8"/>
  <c r="O110" i="8" s="1"/>
  <c r="O113" i="8" s="1"/>
  <c r="P117" i="8" s="1"/>
  <c r="F141" i="15"/>
  <c r="X17" i="10"/>
  <c r="M17" i="10"/>
  <c r="P17" i="10" s="1"/>
  <c r="AF102" i="8"/>
  <c r="AG102" i="8"/>
  <c r="Z89" i="8"/>
  <c r="AG89" i="8"/>
  <c r="AF89" i="8"/>
  <c r="Y89" i="8"/>
  <c r="AA89" i="8" s="1"/>
  <c r="X9" i="10"/>
  <c r="M9" i="10"/>
  <c r="X15" i="10"/>
  <c r="M24" i="10"/>
  <c r="P24" i="10" s="1"/>
  <c r="X24" i="10"/>
  <c r="C25" i="10"/>
  <c r="K12" i="11"/>
  <c r="M12" i="11" s="1"/>
  <c r="C21" i="11"/>
  <c r="P21" i="11" s="1"/>
  <c r="L12" i="11"/>
  <c r="AC42" i="8"/>
  <c r="Z37" i="8"/>
  <c r="Y37" i="8"/>
  <c r="AG37" i="8"/>
  <c r="P43" i="8"/>
  <c r="AF37" i="8"/>
  <c r="AG97" i="8"/>
  <c r="P109" i="8"/>
  <c r="AF97" i="8"/>
  <c r="AG77" i="8"/>
  <c r="Y77" i="8"/>
  <c r="Z77" i="8"/>
  <c r="AF77" i="8"/>
  <c r="AF30" i="8"/>
  <c r="Z30" i="8"/>
  <c r="AG30" i="8"/>
  <c r="Y30" i="8"/>
  <c r="AA30" i="8" s="1"/>
  <c r="O16" i="10"/>
  <c r="O8" i="10"/>
  <c r="P8" i="10" s="1"/>
  <c r="B14" i="15"/>
  <c r="B45" i="15" s="1"/>
  <c r="Z17" i="8"/>
  <c r="AF17" i="8"/>
  <c r="Y17" i="8"/>
  <c r="AG17" i="8"/>
  <c r="H31" i="12"/>
  <c r="AE72" i="8"/>
  <c r="AC73" i="8"/>
  <c r="AF108" i="8"/>
  <c r="AG108" i="8"/>
  <c r="AF85" i="8"/>
  <c r="AG85" i="8"/>
  <c r="AF58" i="8"/>
  <c r="AG58" i="8"/>
  <c r="Y58" i="8"/>
  <c r="AF51" i="8"/>
  <c r="AG51" i="8"/>
  <c r="Y51" i="8"/>
  <c r="Z51" i="8"/>
  <c r="A72" i="16" l="1"/>
  <c r="C72" i="16" s="1"/>
  <c r="A103" i="16"/>
  <c r="C103" i="16" s="1"/>
  <c r="I44" i="17"/>
  <c r="Y68" i="8"/>
  <c r="P111" i="10"/>
  <c r="P102" i="10"/>
  <c r="A71" i="16" s="1"/>
  <c r="C71" i="16" s="1"/>
  <c r="P68" i="8"/>
  <c r="AG68" i="8" s="1"/>
  <c r="O32" i="11"/>
  <c r="X116" i="8"/>
  <c r="A34" i="16" s="1"/>
  <c r="C34" i="16" s="1"/>
  <c r="B5" i="15"/>
  <c r="B36" i="15" s="1"/>
  <c r="B90" i="15"/>
  <c r="B89" i="15"/>
  <c r="B31" i="15"/>
  <c r="B69" i="15"/>
  <c r="B71" i="15"/>
  <c r="B23" i="15"/>
  <c r="B54" i="15" s="1"/>
  <c r="C91" i="16"/>
  <c r="AA37" i="8"/>
  <c r="Y43" i="8"/>
  <c r="AA77" i="8"/>
  <c r="AE74" i="8"/>
  <c r="Y85" i="8"/>
  <c r="F109" i="15"/>
  <c r="F142" i="15"/>
  <c r="F110" i="15"/>
  <c r="AF68" i="8"/>
  <c r="AG67" i="8"/>
  <c r="Z67" i="8"/>
  <c r="AF67" i="8"/>
  <c r="AA67" i="8"/>
  <c r="AA17" i="8"/>
  <c r="AD17" i="8" s="1"/>
  <c r="M25" i="10"/>
  <c r="P25" i="10" s="1"/>
  <c r="X25" i="10"/>
  <c r="F111" i="15" s="1"/>
  <c r="AC89" i="8"/>
  <c r="AF43" i="8"/>
  <c r="AG43" i="8"/>
  <c r="AE30" i="8"/>
  <c r="AE31" i="8"/>
  <c r="AC30" i="8"/>
  <c r="AD30" i="8"/>
  <c r="O9" i="10"/>
  <c r="AA51" i="8"/>
  <c r="Y109" i="8"/>
  <c r="AA109" i="8" s="1"/>
  <c r="AD109" i="8" s="1"/>
  <c r="Z109" i="8"/>
  <c r="AG109" i="8"/>
  <c r="AF109" i="8"/>
  <c r="O24" i="10"/>
  <c r="O15" i="10"/>
  <c r="P15" i="10" s="1"/>
  <c r="O17" i="10"/>
  <c r="A56" i="16" s="1"/>
  <c r="P90" i="8" l="1"/>
  <c r="B104" i="15"/>
  <c r="P9" i="10"/>
  <c r="A55" i="16" s="1"/>
  <c r="E55" i="16" s="1"/>
  <c r="C55" i="16" s="1"/>
  <c r="B33" i="15"/>
  <c r="AC37" i="8"/>
  <c r="AD37" i="8" s="1"/>
  <c r="F105" i="15"/>
  <c r="Y90" i="8"/>
  <c r="Y110" i="8" s="1"/>
  <c r="E56" i="16"/>
  <c r="C56" i="16" s="1"/>
  <c r="P110" i="8"/>
  <c r="P114" i="8" s="1"/>
  <c r="AG90" i="8"/>
  <c r="AG110" i="8" s="1"/>
  <c r="AF90" i="8"/>
  <c r="AF110" i="8" s="1"/>
  <c r="Z90" i="8"/>
  <c r="Z110" i="8" s="1"/>
  <c r="AC17" i="8"/>
  <c r="AA90" i="8"/>
  <c r="AC77" i="8"/>
  <c r="AD77" i="8" s="1"/>
  <c r="AE78" i="8"/>
  <c r="AE77" i="8"/>
  <c r="AC67" i="8"/>
  <c r="AD67" i="8" s="1"/>
  <c r="AE67" i="8"/>
  <c r="AE68" i="8"/>
  <c r="AE51" i="8"/>
  <c r="AE52" i="8"/>
  <c r="AC51" i="8"/>
  <c r="AD51" i="8" s="1"/>
  <c r="O25" i="10"/>
  <c r="B105" i="15"/>
  <c r="AE109" i="8"/>
  <c r="AE110" i="8"/>
  <c r="AC109" i="8"/>
  <c r="F104" i="15"/>
  <c r="P113" i="8" l="1"/>
  <c r="A57" i="16"/>
  <c r="E57" i="16" s="1"/>
  <c r="C57" i="16" s="1"/>
  <c r="P124" i="8"/>
  <c r="AC90" i="8"/>
  <c r="AD90" i="8"/>
  <c r="AE90" i="8"/>
  <c r="AE91" i="8"/>
  <c r="AA110" i="8"/>
  <c r="AE93" i="8"/>
  <c r="P126" i="8" l="1"/>
  <c r="A10" i="16" s="1"/>
  <c r="C10" i="16" s="1"/>
  <c r="P30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
  <commentList>
    <comment ref="C3" authorId="0" shapeId="0" xr:uid="{00000000-0006-0000-0100-000001000000}">
      <text>
        <r>
          <rPr>
            <sz val="8"/>
            <color indexed="81"/>
            <rFont val="Tahoma"/>
            <family val="2"/>
          </rPr>
          <t xml:space="preserve">
</t>
        </r>
      </text>
    </comment>
    <comment ref="B17" authorId="1" shapeId="0" xr:uid="{00000000-0006-0000-0100-000002000000}">
      <text>
        <r>
          <rPr>
            <b/>
            <sz val="9"/>
            <color indexed="81"/>
            <rFont val="Tahoma"/>
            <family val="2"/>
          </rPr>
          <t>SCB:</t>
        </r>
        <r>
          <rPr>
            <sz val="9"/>
            <color indexed="81"/>
            <rFont val="Tahoma"/>
            <family val="2"/>
          </rPr>
          <t xml:space="preserve">
Extraordinära kostnader anges som minusbelopp</t>
        </r>
      </text>
    </comment>
    <comment ref="E17" authorId="0" shapeId="0" xr:uid="{00000000-0006-0000-0100-000003000000}">
      <text>
        <r>
          <rPr>
            <b/>
            <sz val="8"/>
            <color indexed="81"/>
            <rFont val="Tahoma"/>
            <family val="2"/>
          </rPr>
          <t xml:space="preserve">SCB: </t>
        </r>
        <r>
          <rPr>
            <sz val="8"/>
            <color indexed="81"/>
            <rFont val="Tahoma"/>
            <family val="2"/>
          </rPr>
          <t xml:space="preserve">Kommentera vad de extraordinära poster avser. Ingår flera delposter kommentera dessa och ange beloppen.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scbelie</author>
    <author>annelie hallberg</author>
  </authors>
  <commentList>
    <comment ref="O7" authorId="0" shapeId="0" xr:uid="{00000000-0006-0000-0A00-000001000000}">
      <text>
        <r>
          <rPr>
            <sz val="8"/>
            <color indexed="81"/>
            <rFont val="Tahoma"/>
            <family val="2"/>
          </rPr>
          <t xml:space="preserve">
</t>
        </r>
      </text>
    </comment>
    <comment ref="L12" authorId="1" shapeId="0" xr:uid="{00000000-0006-0000-0A00-000003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20" authorId="2" shapeId="0" xr:uid="{00000000-0006-0000-0A00-00000A000000}">
      <text>
        <r>
          <rPr>
            <b/>
            <sz val="8"/>
            <color indexed="81"/>
            <rFont val="Tahoma"/>
            <family val="2"/>
          </rPr>
          <t xml:space="preserve">SCB: </t>
        </r>
        <r>
          <rPr>
            <sz val="8"/>
            <color indexed="81"/>
            <rFont val="Tahoma"/>
            <family val="2"/>
          </rPr>
          <t xml:space="preserve">
Det finns en differens mellan summeringsrad 55999 (som summerar rad 552 + rad 556 + rad 5581 + rad 5582 + rad 5583) och beloppet som länkas från avdelning Drift i respektive kolumn.</t>
        </r>
      </text>
    </comment>
    <comment ref="L21" authorId="1" shapeId="0" xr:uid="{00000000-0006-0000-0A00-00000B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28" authorId="2" shapeId="0" xr:uid="{00000000-0006-0000-0A00-000011000000}">
      <text>
        <r>
          <rPr>
            <b/>
            <sz val="8"/>
            <color indexed="81"/>
            <rFont val="Tahoma"/>
            <family val="2"/>
          </rPr>
          <t>SCB:</t>
        </r>
        <r>
          <rPr>
            <sz val="8"/>
            <color indexed="81"/>
            <rFont val="Tahoma"/>
            <family val="2"/>
          </rPr>
          <t xml:space="preserve"> 
Det finns en differens mellan summeringsrad 56999 (som summerar rad 554 + rad 557 + rad 5681 + rad 5682) och beloppet som länkas från avdelning Drift i respektive kolumn.
</t>
        </r>
      </text>
    </comment>
    <comment ref="L35" authorId="1" shapeId="0" xr:uid="{00000000-0006-0000-0A00-000016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36" authorId="2" shapeId="0" xr:uid="{00000000-0006-0000-0A00-000017000000}">
      <text>
        <r>
          <rPr>
            <b/>
            <sz val="8"/>
            <color indexed="81"/>
            <rFont val="Tahoma"/>
            <family val="2"/>
          </rPr>
          <t xml:space="preserve">SCB: </t>
        </r>
        <r>
          <rPr>
            <sz val="8"/>
            <color indexed="81"/>
            <rFont val="Tahoma"/>
            <family val="2"/>
          </rPr>
          <t xml:space="preserve">
Det finns en differens mellan summeringsrad 58599 (som summerar rad 5851 + rad 5855) och beloppet som länkas från avdelning Drift i respektive kolumn.
</t>
        </r>
      </text>
    </comment>
    <comment ref="G37" authorId="3" shapeId="0" xr:uid="{00000000-0006-0000-0A00-000018000000}">
      <text>
        <r>
          <rPr>
            <b/>
            <sz val="8"/>
            <color indexed="81"/>
            <rFont val="Tahoma"/>
            <family val="2"/>
          </rPr>
          <t xml:space="preserve">SCB: 
</t>
        </r>
        <r>
          <rPr>
            <sz val="8"/>
            <color indexed="81"/>
            <rFont val="Tahoma"/>
            <family val="2"/>
          </rPr>
          <t xml:space="preserve">Summan av beloppen i kolumn G, Försäljning av verksamhet till andra kommuner och landsting på raderna 571+575+585 kan inte vara större/mindre än det som redovisas i avdelning Motpart på rad 580.  Kontrollera och rätta till antingen här eller i avdelningen Motpart (OBS! justeringar i avdelning Motpart  kan medföra andra fel och borde därför göras i överenskommelse med huvudkontaktpersonen för 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scbelin</author>
    <author>scbingj</author>
    <author>Siegrist Elisabeth DFO/OU-Ö</author>
    <author>Hallbäck Ismael D/INS/ES-Ö</author>
    <author>Henrik Mundt</author>
    <author>Engblom Linnea D/INS/OFS-Ö</author>
    <author>SCB</author>
  </authors>
  <commentList>
    <comment ref="D2" authorId="0" shapeId="0" xr:uid="{00000000-0006-0000-0200-000001000000}">
      <text>
        <r>
          <rPr>
            <sz val="8"/>
            <color indexed="81"/>
            <rFont val="Tahoma"/>
            <family val="2"/>
          </rPr>
          <t xml:space="preserve">
</t>
        </r>
      </text>
    </comment>
    <comment ref="F9" authorId="1" shapeId="0" xr:uid="{00000000-0006-0000-0200-000002000000}">
      <text>
        <r>
          <rPr>
            <b/>
            <sz val="8"/>
            <color indexed="81"/>
            <rFont val="Tahoma"/>
            <family val="2"/>
          </rPr>
          <t>SCB:</t>
        </r>
        <r>
          <rPr>
            <sz val="8"/>
            <color indexed="81"/>
            <rFont val="Tahoma"/>
            <family val="2"/>
          </rPr>
          <t xml:space="preserve">
</t>
        </r>
        <r>
          <rPr>
            <b/>
            <sz val="8"/>
            <color indexed="81"/>
            <rFont val="Tahoma"/>
            <family val="2"/>
          </rPr>
          <t>"Skriv belopp eller 0"</t>
        </r>
        <r>
          <rPr>
            <sz val="8"/>
            <color indexed="81"/>
            <rFont val="Tahoma"/>
            <family val="2"/>
          </rPr>
          <t xml:space="preserve">: 
Om det inte förekommer något belopp att redovisa ska cellen besvaras med en nolla (0). 
</t>
        </r>
      </text>
    </comment>
    <comment ref="F12" authorId="1" shapeId="0" xr:uid="{00000000-0006-0000-0200-000003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summan av materiella anläggningstillgångar.
</t>
        </r>
      </text>
    </comment>
    <comment ref="C13" authorId="2" shapeId="0" xr:uid="{00000000-0006-0000-0200-000004000000}">
      <text>
        <r>
          <rPr>
            <b/>
            <sz val="8"/>
            <color indexed="81"/>
            <rFont val="Tahoma"/>
            <family val="2"/>
          </rPr>
          <t xml:space="preserve">SCB: </t>
        </r>
        <r>
          <rPr>
            <sz val="8"/>
            <color indexed="81"/>
            <rFont val="Tahoma"/>
            <family val="2"/>
          </rPr>
          <t xml:space="preserve">Här ingår </t>
        </r>
        <r>
          <rPr>
            <b/>
            <sz val="8"/>
            <color indexed="81"/>
            <rFont val="Tahoma"/>
            <family val="2"/>
          </rPr>
          <t>fondandelar</t>
        </r>
        <r>
          <rPr>
            <sz val="8"/>
            <color indexed="81"/>
            <rFont val="Tahoma"/>
            <family val="2"/>
          </rPr>
          <t>, oavsett vilken sorts fond det är (ränte-,bland-eller aktiefond)</t>
        </r>
        <r>
          <rPr>
            <sz val="9"/>
            <color indexed="81"/>
            <rFont val="Tahoma"/>
            <family val="2"/>
          </rPr>
          <t xml:space="preserve">
</t>
        </r>
      </text>
    </comment>
    <comment ref="C14" authorId="2" shapeId="0" xr:uid="{00000000-0006-0000-0200-000005000000}">
      <text>
        <r>
          <rPr>
            <b/>
            <sz val="8"/>
            <color indexed="81"/>
            <rFont val="Tahoma"/>
            <family val="2"/>
          </rPr>
          <t xml:space="preserve">SCB: Obs! </t>
        </r>
        <r>
          <rPr>
            <sz val="8"/>
            <color indexed="81"/>
            <rFont val="Tahoma"/>
            <family val="2"/>
          </rPr>
          <t>Fondandelar ska redovisas under "Aktier och andelar", rad 036, oavsett vilken sorts fond det är (ränte-,bland-eller aktiefond)</t>
        </r>
        <r>
          <rPr>
            <sz val="9"/>
            <color indexed="81"/>
            <rFont val="Tahoma"/>
            <family val="2"/>
          </rPr>
          <t xml:space="preserve">
</t>
        </r>
      </text>
    </comment>
    <comment ref="J14" authorId="0" shapeId="0" xr:uid="{00000000-0006-0000-0200-000006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031 är därav-rad och kan inte vara större än huvud-raden 036.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J16" authorId="0" shapeId="0" xr:uid="{00000000-0006-0000-0200-000007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034 är därav-rad och kan inte vara större än huvud-raden 033.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F17" authorId="1" shapeId="0" xr:uid="{00000000-0006-0000-0200-000008000000}">
      <text>
        <r>
          <rPr>
            <b/>
            <sz val="8"/>
            <color indexed="81"/>
            <rFont val="Tahoma"/>
            <family val="2"/>
          </rPr>
          <t>SCB:</t>
        </r>
        <r>
          <rPr>
            <sz val="8"/>
            <color indexed="81"/>
            <rFont val="Tahoma"/>
            <family val="2"/>
          </rPr>
          <t xml:space="preserve">
Belopp saknas för kommunen eller koncernen.
</t>
        </r>
      </text>
    </comment>
    <comment ref="F19" authorId="2" shapeId="0" xr:uid="{00000000-0006-0000-0200-000009000000}">
      <text>
        <r>
          <rPr>
            <b/>
            <sz val="9"/>
            <color indexed="81"/>
            <rFont val="Tahoma"/>
            <family val="2"/>
          </rPr>
          <t xml:space="preserve">SCB: 
</t>
        </r>
        <r>
          <rPr>
            <sz val="8"/>
            <color indexed="81"/>
            <rFont val="Tahoma"/>
            <family val="2"/>
          </rPr>
          <t xml:space="preserve">Kontrollen visas då beloppet i avdelning Verksamhetens intäkter och kostnader på därav-rad 652, Upplösning av aktiverat bidrag infrastruktur är högre än beloppet här. </t>
        </r>
        <r>
          <rPr>
            <b/>
            <sz val="9"/>
            <color indexed="81"/>
            <rFont val="Tahoma"/>
            <family val="2"/>
          </rPr>
          <t xml:space="preserve">
</t>
        </r>
        <r>
          <rPr>
            <sz val="9"/>
            <color indexed="81"/>
            <rFont val="Tahoma"/>
            <family val="2"/>
          </rPr>
          <t xml:space="preserve">
</t>
        </r>
        <r>
          <rPr>
            <sz val="8"/>
            <color indexed="81"/>
            <rFont val="Tahoma"/>
            <family val="2"/>
          </rPr>
          <t>Bidrag till infrastruktur borde inte vara negativt.</t>
        </r>
      </text>
    </comment>
    <comment ref="F21" authorId="1" shapeId="0" xr:uid="{00000000-0006-0000-0200-00000A000000}">
      <text>
        <r>
          <rPr>
            <b/>
            <sz val="8"/>
            <color indexed="81"/>
            <rFont val="Tahoma"/>
            <family val="2"/>
          </rPr>
          <t>SCB:</t>
        </r>
        <r>
          <rPr>
            <sz val="8"/>
            <color indexed="81"/>
            <rFont val="Tahoma"/>
            <family val="2"/>
          </rPr>
          <t xml:space="preserve">
</t>
        </r>
        <r>
          <rPr>
            <b/>
            <sz val="8"/>
            <color indexed="81"/>
            <rFont val="Tahoma"/>
            <family val="2"/>
          </rPr>
          <t xml:space="preserve">"Kommentera minusbelopp": </t>
        </r>
        <r>
          <rPr>
            <sz val="8"/>
            <color indexed="81"/>
            <rFont val="Tahoma"/>
            <family val="2"/>
          </rPr>
          <t>Kontrollera att denna tillgång verkligen är negativ. SCB behöver veta orsaken till minusbeloppet!
"</t>
        </r>
        <r>
          <rPr>
            <b/>
            <sz val="8"/>
            <color indexed="81"/>
            <rFont val="Tahoma"/>
            <family val="2"/>
          </rPr>
          <t xml:space="preserve">Belopp saknas": </t>
        </r>
        <r>
          <rPr>
            <sz val="8"/>
            <color indexed="81"/>
            <rFont val="Tahoma"/>
            <family val="2"/>
          </rPr>
          <t>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förråd, lager, exploateringsfastigheter.
</t>
        </r>
      </text>
    </comment>
    <comment ref="J21" authorId="0" shapeId="0" xr:uid="{00000000-0006-0000-0200-00000B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042 är därav-rad och kan inte vara större än huvud-raden 040.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J23" authorId="0" shapeId="0" xr:uid="{00000000-0006-0000-0200-00000C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046 är därav-rad och kan inte vara större än huvud-raden 045.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I25" authorId="2" shapeId="0" xr:uid="{00000000-0006-0000-0200-00000D000000}">
      <text>
        <r>
          <rPr>
            <b/>
            <sz val="9"/>
            <color indexed="81"/>
            <rFont val="Tahoma"/>
            <family val="2"/>
          </rPr>
          <t xml:space="preserve">SCB:
</t>
        </r>
        <r>
          <rPr>
            <sz val="8"/>
            <color indexed="81"/>
            <rFont val="Tahoma"/>
            <family val="2"/>
          </rPr>
          <t>Rad 052 avser den delen av diverse kortfristiga fordringar som kommunen har hos kommunens koncernföretag.</t>
        </r>
        <r>
          <rPr>
            <sz val="9"/>
            <color indexed="81"/>
            <rFont val="Tahoma"/>
            <family val="2"/>
          </rPr>
          <t xml:space="preserve">
</t>
        </r>
      </text>
    </comment>
    <comment ref="J26" authorId="2" shapeId="0" xr:uid="{00000000-0006-0000-0200-00000E000000}">
      <text>
        <r>
          <rPr>
            <b/>
            <sz val="9"/>
            <color indexed="81"/>
            <rFont val="Tahoma"/>
            <family val="2"/>
          </rPr>
          <t xml:space="preserve">SCB: 
</t>
        </r>
        <r>
          <rPr>
            <sz val="8"/>
            <color indexed="81"/>
            <rFont val="Tahoma"/>
            <family val="2"/>
          </rPr>
          <t xml:space="preserve">"Därav &gt;": Raderna 051- 052 är därav-rader och kan inte vara större än huvud-raden 050.
"Skriv belopp eller 0": Om det inte förekommer något belopp att redovisa ska cellerna besvaras med en nolla (0). </t>
        </r>
        <r>
          <rPr>
            <sz val="9"/>
            <color indexed="81"/>
            <rFont val="Tahoma"/>
            <family val="2"/>
          </rPr>
          <t xml:space="preserve">
</t>
        </r>
      </text>
    </comment>
    <comment ref="F31" authorId="2" shapeId="0" xr:uid="{00000000-0006-0000-0200-000011000000}">
      <text>
        <r>
          <rPr>
            <b/>
            <sz val="9"/>
            <color indexed="81"/>
            <rFont val="Tahoma"/>
            <family val="2"/>
          </rPr>
          <t>SCB:</t>
        </r>
        <r>
          <rPr>
            <sz val="9"/>
            <color indexed="81"/>
            <rFont val="Tahoma"/>
            <family val="2"/>
          </rPr>
          <t xml:space="preserve">
Kontrollera att det inte finns några kortfristiga placeringar och skriv det i kommentarrutan nedan.
</t>
        </r>
      </text>
    </comment>
    <comment ref="F32" authorId="1" shapeId="0" xr:uid="{00000000-0006-0000-0200-000012000000}">
      <text>
        <r>
          <rPr>
            <b/>
            <sz val="8"/>
            <color indexed="81"/>
            <rFont val="Tahoma"/>
            <family val="2"/>
          </rPr>
          <t>SCB:</t>
        </r>
        <r>
          <rPr>
            <sz val="8"/>
            <color indexed="81"/>
            <rFont val="Tahoma"/>
            <family val="2"/>
          </rPr>
          <t xml:space="preserve">
"</t>
        </r>
        <r>
          <rPr>
            <b/>
            <sz val="8"/>
            <color indexed="81"/>
            <rFont val="Tahoma"/>
            <family val="2"/>
          </rPr>
          <t xml:space="preserve">Belopp saknas": </t>
        </r>
        <r>
          <rPr>
            <sz val="8"/>
            <color indexed="81"/>
            <rFont val="Tahoma"/>
            <family val="2"/>
          </rPr>
          <t>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kassa och bank (likvida medel).
</t>
        </r>
      </text>
    </comment>
    <comment ref="C42" authorId="2" shapeId="0" xr:uid="{DEE84874-5D0E-42BA-9E9C-169EF23DCFEC}">
      <text>
        <r>
          <rPr>
            <b/>
            <sz val="8"/>
            <color indexed="81"/>
            <rFont val="Tahoma"/>
            <family val="2"/>
          </rPr>
          <t xml:space="preserve">SCB:
</t>
        </r>
        <r>
          <rPr>
            <sz val="8"/>
            <color indexed="81"/>
            <rFont val="Tahoma"/>
            <family val="2"/>
          </rPr>
          <t>Beloppen förtrycks enligt EK vid årets slut i förra årets RS.</t>
        </r>
        <r>
          <rPr>
            <sz val="9"/>
            <color indexed="81"/>
            <rFont val="Tahoma"/>
            <family val="2"/>
          </rPr>
          <t xml:space="preserve">
</t>
        </r>
      </text>
    </comment>
    <comment ref="C46" authorId="2" shapeId="0" xr:uid="{7D97001C-8215-4A16-A654-610A93E52899}">
      <text>
        <r>
          <rPr>
            <b/>
            <sz val="9"/>
            <color indexed="81"/>
            <rFont val="Tahoma"/>
            <family val="2"/>
          </rPr>
          <t xml:space="preserve">SCB:
</t>
        </r>
        <r>
          <rPr>
            <sz val="9"/>
            <color indexed="81"/>
            <rFont val="Tahoma"/>
            <family val="2"/>
          </rPr>
          <t xml:space="preserve">Årets resultat länkas från resultaträkningen
</t>
        </r>
      </text>
    </comment>
    <comment ref="F48" authorId="3" shapeId="0" xr:uid="{A12D127B-AD50-4374-BE95-E736B9EA7FE4}">
      <text>
        <r>
          <rPr>
            <b/>
            <sz val="8"/>
            <color indexed="81"/>
            <rFont val="Tahoma"/>
            <family val="2"/>
          </rPr>
          <t xml:space="preserve">SCB:
</t>
        </r>
        <r>
          <rPr>
            <sz val="8"/>
            <color indexed="81"/>
            <rFont val="Tahoma"/>
            <family val="2"/>
          </rPr>
          <t>Eget kapital vid årets slut (rad 075) beräknat som Eget kapital vid årets början (rad 073) + Justering av EK, ingående värde (rad 0731) + Årets resultat(rad 074) + Justeringar i Eget kapital (rad 064) ska överensstämma med Summa tillgångar (rad 070) - summa avsättningar (rad 079) - summa skulder (rad 099) .</t>
        </r>
        <r>
          <rPr>
            <sz val="9"/>
            <color indexed="81"/>
            <rFont val="Tahoma"/>
            <family val="2"/>
          </rPr>
          <t xml:space="preserve">
</t>
        </r>
      </text>
    </comment>
    <comment ref="F50" authorId="2" shapeId="0" xr:uid="{00000000-0006-0000-0200-000016000000}">
      <text>
        <r>
          <rPr>
            <b/>
            <sz val="9"/>
            <color indexed="81"/>
            <rFont val="Tahoma"/>
            <family val="2"/>
          </rPr>
          <t>SCB:</t>
        </r>
        <r>
          <rPr>
            <sz val="9"/>
            <color indexed="81"/>
            <rFont val="Tahoma"/>
            <family val="2"/>
          </rPr>
          <t xml:space="preserve">
</t>
        </r>
        <r>
          <rPr>
            <sz val="9"/>
            <color indexed="81"/>
            <rFont val="Tahoma"/>
            <family val="2"/>
          </rPr>
          <t>Beloppet som efterfrågas på därav-rad 062 avser den</t>
        </r>
        <r>
          <rPr>
            <b/>
            <sz val="9"/>
            <color indexed="81"/>
            <rFont val="Tahoma"/>
            <family val="2"/>
          </rPr>
          <t xml:space="preserve"> totala resultatutjämningsreserven</t>
        </r>
        <r>
          <rPr>
            <sz val="9"/>
            <color indexed="81"/>
            <rFont val="Tahoma"/>
            <family val="2"/>
          </rPr>
          <t xml:space="preserve"> efter årets förändring (reservering till eller användning av medel från RUR). 
Det behöver därmed inte vara saldot per 31 december.</t>
        </r>
      </text>
    </comment>
    <comment ref="F55" authorId="4" shapeId="0" xr:uid="{00000000-0006-0000-0200-000017000000}">
      <text>
        <r>
          <rPr>
            <b/>
            <sz val="9"/>
            <color indexed="81"/>
            <rFont val="Tahoma"/>
            <family val="2"/>
          </rPr>
          <t>SCB:</t>
        </r>
        <r>
          <rPr>
            <sz val="9"/>
            <color indexed="81"/>
            <rFont val="Tahoma"/>
            <family val="2"/>
          </rPr>
          <t xml:space="preserve">
"Belopp saknas": Belopp saknas för kommunen eller koncernen.
"Konc.&lt;komm".: Beloppet för koncernen ska inte vara mindre än för kommunen avseende summan av avsättningar.</t>
        </r>
      </text>
    </comment>
    <comment ref="J57" authorId="0" shapeId="0" xr:uid="{00000000-0006-0000-0200-000018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Raderna 080 och 131 är därav-rader och kan inte vara större än huvud-raden 078.
</t>
        </r>
        <r>
          <rPr>
            <b/>
            <sz val="8"/>
            <color indexed="81"/>
            <rFont val="Tahoma"/>
            <family val="2"/>
          </rPr>
          <t xml:space="preserve">
"Skriv belopp eller 0"</t>
        </r>
        <r>
          <rPr>
            <sz val="8"/>
            <color indexed="81"/>
            <rFont val="Tahoma"/>
            <family val="2"/>
          </rPr>
          <t xml:space="preserve">: Om det inte förekommer något belopp att redovisa ska cellerna besvaras med en nolla (0). </t>
        </r>
      </text>
    </comment>
    <comment ref="C60" authorId="3" shapeId="0" xr:uid="{D53B83A2-291B-4BD6-AFB3-43A0AEA288BD}">
      <text>
        <r>
          <rPr>
            <b/>
            <sz val="9"/>
            <color indexed="81"/>
            <rFont val="Tahoma"/>
            <charset val="1"/>
          </rPr>
          <t>SCB:</t>
        </r>
        <r>
          <rPr>
            <sz val="9"/>
            <color indexed="81"/>
            <rFont val="Tahoma"/>
            <charset val="1"/>
          </rPr>
          <t xml:space="preserve">
Namnändring, tidigare: Checkkredit, övriga långfristiga skulder</t>
        </r>
      </text>
    </comment>
    <comment ref="H60" authorId="4" shapeId="0" xr:uid="{00000000-0006-0000-0200-000019000000}">
      <text>
        <r>
          <rPr>
            <b/>
            <sz val="9"/>
            <color indexed="81"/>
            <rFont val="Tahoma"/>
            <family val="2"/>
          </rPr>
          <t>SCB:</t>
        </r>
        <r>
          <rPr>
            <sz val="9"/>
            <color indexed="81"/>
            <rFont val="Tahoma"/>
            <family val="2"/>
          </rPr>
          <t xml:space="preserve">
Nettot av konto 2388 och 2389.
</t>
        </r>
      </text>
    </comment>
    <comment ref="I62" authorId="2" shapeId="0" xr:uid="{00000000-0006-0000-0200-00001A000000}">
      <text>
        <r>
          <rPr>
            <b/>
            <sz val="9"/>
            <color indexed="81"/>
            <rFont val="Tahoma"/>
            <family val="2"/>
          </rPr>
          <t xml:space="preserve">SCB:
</t>
        </r>
        <r>
          <rPr>
            <sz val="9"/>
            <color indexed="81"/>
            <rFont val="Tahoma"/>
            <family val="2"/>
          </rPr>
          <t>Avser den delen av långfristiga skulder som är nyupptagna lån, dvs. lån som tagits under det aktuella året.</t>
        </r>
        <r>
          <rPr>
            <b/>
            <sz val="9"/>
            <color indexed="81"/>
            <rFont val="Tahoma"/>
            <family val="2"/>
          </rPr>
          <t xml:space="preserve">
</t>
        </r>
      </text>
    </comment>
    <comment ref="C84" authorId="5" shapeId="0" xr:uid="{2E4127F8-574F-4193-812B-9DAF7D3E7C72}">
      <text>
        <r>
          <rPr>
            <b/>
            <sz val="9"/>
            <color indexed="81"/>
            <rFont val="Tahoma"/>
            <family val="2"/>
          </rPr>
          <t xml:space="preserve">SCB: </t>
        </r>
        <r>
          <rPr>
            <sz val="8"/>
            <color indexed="81"/>
            <rFont val="Tahoma"/>
            <family val="2"/>
          </rPr>
          <t>Här ingår även stiftelser</t>
        </r>
        <r>
          <rPr>
            <sz val="9"/>
            <color indexed="81"/>
            <rFont val="Tahoma"/>
            <family val="2"/>
          </rPr>
          <t xml:space="preserve">
</t>
        </r>
      </text>
    </comment>
    <comment ref="F86" authorId="6" shapeId="0" xr:uid="{00000000-0006-0000-0200-00001D000000}">
      <text>
        <r>
          <rPr>
            <b/>
            <sz val="8"/>
            <color indexed="81"/>
            <rFont val="Tahoma"/>
            <family val="2"/>
          </rPr>
          <t>SCB:</t>
        </r>
        <r>
          <rPr>
            <sz val="8"/>
            <color indexed="81"/>
            <rFont val="Tahoma"/>
            <family val="2"/>
          </rPr>
          <t xml:space="preserve">
Pensionerna redovisas i RS enligt den blandade modellen. Därför ska det finnas uppgifter avseende pensionsförpliktelser redovisade här.</t>
        </r>
      </text>
    </comment>
    <comment ref="I87" authorId="2" shapeId="0" xr:uid="{00000000-0006-0000-0200-00001E000000}">
      <text>
        <r>
          <rPr>
            <b/>
            <sz val="9"/>
            <color indexed="81"/>
            <rFont val="Tahoma"/>
            <family val="2"/>
          </rPr>
          <t xml:space="preserve">SCB:
</t>
        </r>
        <r>
          <rPr>
            <sz val="8"/>
            <color indexed="81"/>
            <rFont val="Tahoma"/>
            <family val="2"/>
          </rPr>
          <t>Rad 161 är en därav-rad till summan av ansvarsförbindelser och avser borgensåtaganden för tagna lån i kreditinstitut och banker.</t>
        </r>
        <r>
          <rPr>
            <sz val="9"/>
            <color indexed="81"/>
            <rFont val="Tahoma"/>
            <family val="2"/>
          </rPr>
          <t xml:space="preserve">
</t>
        </r>
      </text>
    </comment>
    <comment ref="K87" authorId="0" shapeId="0" xr:uid="{00000000-0006-0000-0200-00001F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161 är därav-rad och kan inte vara större än huvud-raden 160.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r>
          <rPr>
            <b/>
            <sz val="8"/>
            <color indexed="81"/>
            <rFont val="Tahoma"/>
            <family val="2"/>
          </rPr>
          <t xml:space="preserve">"Kommentera…":  </t>
        </r>
        <r>
          <rPr>
            <sz val="8"/>
            <color indexed="81"/>
            <rFont val="Tahoma"/>
            <family val="2"/>
          </rPr>
          <t>Om summan av beloppen på raderna 121, 122, 130 och 140 innehåller annat än borgensåtaganden för lån behöver SCB veta vad det rör sig om.</t>
        </r>
      </text>
    </comment>
    <comment ref="I88" authorId="2" shapeId="0" xr:uid="{00000000-0006-0000-0200-000020000000}">
      <text>
        <r>
          <rPr>
            <b/>
            <sz val="9"/>
            <color indexed="81"/>
            <rFont val="Tahoma"/>
            <family val="2"/>
          </rPr>
          <t>SCB:</t>
        </r>
        <r>
          <rPr>
            <sz val="9"/>
            <color indexed="81"/>
            <rFont val="Tahoma"/>
            <family val="2"/>
          </rPr>
          <t xml:space="preserve">
</t>
        </r>
        <r>
          <rPr>
            <sz val="8"/>
            <color indexed="81"/>
            <rFont val="Tahoma"/>
            <family val="2"/>
          </rPr>
          <t xml:space="preserve">Rad 162 är varav-rad till rad 161. Avser borgensåtaganden för bostadsstiftelser och andra icke-finansiella företag där kommunen ensam eller tillsammans med annan kommun, landsting eller staten (eller en kombination av dessa) äger minst 50 % av aktie- eller andelskapitalet. Avser även dotterbolag till kommunägda företag.  </t>
        </r>
      </text>
    </comment>
    <comment ref="K88" authorId="2" shapeId="0" xr:uid="{00000000-0006-0000-0200-000021000000}">
      <text>
        <r>
          <rPr>
            <b/>
            <sz val="9"/>
            <color indexed="81"/>
            <rFont val="Tahoma"/>
            <family val="2"/>
          </rPr>
          <t xml:space="preserve">SCB:
</t>
        </r>
        <r>
          <rPr>
            <sz val="8"/>
            <color indexed="81"/>
            <rFont val="Tahoma"/>
            <family val="2"/>
          </rPr>
          <t>Rad 162 är en varavrad till rad 161 och kan därmed inte vara större än denne.</t>
        </r>
        <r>
          <rPr>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Mundt Henrik D/INS/OFS-Ö</author>
    <author>Engblom Linnea D/INS/OFS-Ö</author>
    <author>scbingj</author>
    <author>Hallbäck Ismael D/INS/ES-Ö</author>
    <author>Henrik Mundt</author>
    <author>SCB</author>
    <author>Jakupi Edona D/INS/OFS-Ö</author>
  </authors>
  <commentList>
    <comment ref="D4" authorId="0" shapeId="0" xr:uid="{00000000-0006-0000-0300-000001000000}">
      <text>
        <r>
          <rPr>
            <sz val="8"/>
            <color indexed="81"/>
            <rFont val="Tahoma"/>
            <family val="2"/>
          </rPr>
          <t xml:space="preserve">
</t>
        </r>
      </text>
    </comment>
    <comment ref="O7" authorId="0" shapeId="0" xr:uid="{00000000-0006-0000-0300-000002000000}">
      <text>
        <r>
          <rPr>
            <b/>
            <sz val="8"/>
            <color indexed="81"/>
            <rFont val="Tahoma"/>
            <family val="2"/>
          </rPr>
          <t xml:space="preserve">SCB:
</t>
        </r>
        <r>
          <rPr>
            <sz val="8"/>
            <color indexed="81"/>
            <rFont val="Tahoma"/>
            <family val="2"/>
          </rPr>
          <t xml:space="preserve">Förändring mot förra året kontrolleras för vissa poster. Om kontrollen "kommentera" visas behöver uppgiften kontrolleras och förändringen kommenteras. Om däremot kontrollen "kontrollera" visas behöver uppgiften endast kontrolleras.
 </t>
        </r>
      </text>
    </comment>
    <comment ref="A10" authorId="1" shapeId="0" xr:uid="{00000000-0006-0000-0300-000003000000}">
      <text>
        <r>
          <rPr>
            <b/>
            <sz val="9"/>
            <color indexed="81"/>
            <rFont val="Tahoma"/>
            <family val="2"/>
          </rPr>
          <t xml:space="preserve">SCB: 
</t>
        </r>
        <r>
          <rPr>
            <sz val="9"/>
            <color indexed="81"/>
            <rFont val="Tahoma"/>
            <family val="2"/>
          </rPr>
          <t xml:space="preserve">Ändringen avser konsekvensen av den nya rekommendationen RKR R2.
</t>
        </r>
      </text>
    </comment>
    <comment ref="C17" authorId="2" shapeId="0" xr:uid="{0A0DAEDD-2BE3-4FF9-811F-6096F23C991B}">
      <text>
        <r>
          <rPr>
            <b/>
            <sz val="9"/>
            <color indexed="81"/>
            <rFont val="Tahoma"/>
            <family val="2"/>
          </rPr>
          <t>SCB:</t>
        </r>
        <r>
          <rPr>
            <sz val="9"/>
            <color indexed="81"/>
            <rFont val="Tahoma"/>
            <family val="2"/>
          </rPr>
          <t xml:space="preserve">
Här ska även vidareförmedlade statsbidrag från SKR eller annan kommun redovisas.</t>
        </r>
      </text>
    </comment>
    <comment ref="E19" authorId="2" shapeId="0" xr:uid="{B433F457-6B11-4D8B-B726-E4A21DC77487}">
      <text>
        <r>
          <rPr>
            <b/>
            <sz val="9"/>
            <color indexed="81"/>
            <rFont val="Tahoma"/>
            <family val="2"/>
          </rPr>
          <t>SCB:</t>
        </r>
        <r>
          <rPr>
            <sz val="9"/>
            <color indexed="81"/>
            <rFont val="Tahoma"/>
            <family val="2"/>
          </rPr>
          <t xml:space="preserve">
På rad 520 ska inte statsbidrag som vidareförmedlats av SKR eller annan kommun redovisas. Den typen av intäkter ska redovisas på rad 500. Beskriv vad som ingår i de redovisade intäkterna på rad 520.</t>
        </r>
      </text>
    </comment>
    <comment ref="C20" authorId="3" shapeId="0" xr:uid="{8FF8350F-D9F0-47CB-A13E-57B5E6864C76}">
      <text>
        <r>
          <rPr>
            <b/>
            <sz val="8"/>
            <color indexed="81"/>
            <rFont val="Tahoma"/>
            <family val="2"/>
          </rPr>
          <t>SCB:</t>
        </r>
        <r>
          <rPr>
            <sz val="8"/>
            <color indexed="81"/>
            <rFont val="Tahoma"/>
            <family val="2"/>
          </rPr>
          <t xml:space="preserve"> Här redovisas ersättningar avseende omställningsfonden. </t>
        </r>
      </text>
    </comment>
    <comment ref="C21" authorId="4" shapeId="0" xr:uid="{00000000-0006-0000-0300-000005000000}">
      <text>
        <r>
          <rPr>
            <b/>
            <sz val="8"/>
            <color indexed="81"/>
            <rFont val="Tahoma"/>
            <family val="2"/>
          </rPr>
          <t xml:space="preserve">SCB:
</t>
        </r>
        <r>
          <rPr>
            <sz val="8"/>
            <color indexed="81"/>
            <rFont val="Tahoma"/>
            <family val="2"/>
          </rPr>
          <t>Grönt fält används för beräkning av utjämning av LSS-kostnader mellan kommuner.
Beloppet är även länkad till avdelning Äldre och personer med funktionsnedsättning.
Ersättning från Försäkringskassan ska innehålla alla inbetalningar som kommunen erhållit under året, även sk. slutavräkning från tidigare år ska ingå.</t>
        </r>
      </text>
    </comment>
    <comment ref="D21" authorId="1" shapeId="0" xr:uid="{00000000-0006-0000-0300-000006000000}">
      <text>
        <r>
          <rPr>
            <b/>
            <sz val="9"/>
            <color indexed="81"/>
            <rFont val="Tahoma"/>
            <family val="2"/>
          </rPr>
          <t xml:space="preserve">SCB:
</t>
        </r>
        <r>
          <rPr>
            <b/>
            <sz val="8"/>
            <color indexed="10"/>
            <rFont val="Tahoma"/>
            <family val="2"/>
          </rPr>
          <t>OBS! Ang. ersättning från FK via privat utförare:</t>
        </r>
        <r>
          <rPr>
            <b/>
            <sz val="9"/>
            <color indexed="81"/>
            <rFont val="Tahoma"/>
            <family val="2"/>
          </rPr>
          <t xml:space="preserve">
</t>
        </r>
        <r>
          <rPr>
            <sz val="8"/>
            <color indexed="81"/>
            <rFont val="Tahoma"/>
            <family val="2"/>
          </rPr>
          <t>Rättsläget har förändrats för ersättningar avseende retroaktiva beslut som Försäkringskassan (FK) fattar när det gäller personlig assistans. Det innebär att om det är en alternativ utförare som utfört tjänsten betalas de retroaktiva ersättningarna från FK ut till utföraren. Ersättningen gick tidigare direkt från FK till kommunen. Nu går denna ersättning från FK via företagen till kommunen. I tidigare RS har ersättningarna för personlig assistans från FK redovisats på konto 354 i Verksamhetens intäkter. Från och med RS 2019 vill SCB att dessa ersättningar fortfarande redovisas på konto 354 trots att en del av dem erhålls från företagen.</t>
        </r>
        <r>
          <rPr>
            <sz val="9"/>
            <color indexed="81"/>
            <rFont val="Tahoma"/>
            <family val="2"/>
          </rPr>
          <t xml:space="preserve">
</t>
        </r>
      </text>
    </comment>
    <comment ref="E21" authorId="4" shapeId="0" xr:uid="{00000000-0006-0000-0300-000007000000}">
      <text>
        <r>
          <rPr>
            <b/>
            <sz val="8"/>
            <color indexed="81"/>
            <rFont val="Tahoma"/>
            <family val="2"/>
          </rPr>
          <t>SCB:</t>
        </r>
        <r>
          <rPr>
            <sz val="8"/>
            <color indexed="81"/>
            <rFont val="Tahoma"/>
            <family val="2"/>
          </rPr>
          <t xml:space="preserve"> 
Belopp saknas för Ersättning från  FK som ska bruttoredovisas på rad 525.</t>
        </r>
      </text>
    </comment>
    <comment ref="C22" authorId="5" shapeId="0" xr:uid="{1CD2D7CA-C7F3-40C4-872A-9EFDCE7F7AC9}">
      <text>
        <r>
          <rPr>
            <b/>
            <sz val="9"/>
            <color indexed="81"/>
            <rFont val="Tahoma"/>
            <charset val="1"/>
          </rPr>
          <t>SCB:</t>
        </r>
        <r>
          <rPr>
            <sz val="9"/>
            <color indexed="81"/>
            <rFont val="Tahoma"/>
            <charset val="1"/>
          </rPr>
          <t xml:space="preserve">
Namnändring, tidigare:
Särskild momsersättning vid köp av ej skattepliktig verksamhet</t>
        </r>
      </text>
    </comment>
    <comment ref="E22" authorId="4" shapeId="0" xr:uid="{00000000-0006-0000-0300-000008000000}">
      <text>
        <r>
          <rPr>
            <b/>
            <sz val="8"/>
            <color indexed="81"/>
            <rFont val="Tahoma"/>
            <family val="2"/>
          </rPr>
          <t xml:space="preserve">SCB: </t>
        </r>
        <r>
          <rPr>
            <sz val="8"/>
            <color indexed="81"/>
            <rFont val="Tahoma"/>
            <family val="2"/>
          </rPr>
          <t xml:space="preserve">Redovisning av köp av ej skattepliktig verksamhet måste vara brutto. Därför ska det finnas belopp här.
</t>
        </r>
      </text>
    </comment>
    <comment ref="E25" authorId="1" shapeId="0" xr:uid="{00000000-0006-0000-0300-000009000000}">
      <text>
        <r>
          <rPr>
            <b/>
            <sz val="9"/>
            <color indexed="81"/>
            <rFont val="Tahoma"/>
            <family val="2"/>
          </rPr>
          <t xml:space="preserve">SCB:
</t>
        </r>
        <r>
          <rPr>
            <sz val="8"/>
            <color indexed="81"/>
            <rFont val="Tahoma"/>
            <family val="2"/>
          </rPr>
          <t>Kommentera vad som redovisas på rad 570. Består bidraget av flera delar skriv vad de större delarna avser och vem som är bidragsgivare.</t>
        </r>
        <r>
          <rPr>
            <sz val="9"/>
            <color indexed="81"/>
            <rFont val="Tahoma"/>
            <family val="2"/>
          </rPr>
          <t xml:space="preserve">
Ersättningar och bidrag från staten och statliga myndigheter redovisas på rad 500. Bidrag från företag redovisas även på rad 577.
</t>
        </r>
      </text>
    </comment>
    <comment ref="E32" authorId="6" shapeId="0" xr:uid="{00000000-0006-0000-0300-00000A000000}">
      <text>
        <r>
          <rPr>
            <b/>
            <sz val="9"/>
            <color indexed="81"/>
            <rFont val="Tahoma"/>
            <family val="2"/>
          </rPr>
          <t>SCB:</t>
        </r>
        <r>
          <rPr>
            <sz val="9"/>
            <color indexed="81"/>
            <rFont val="Tahoma"/>
            <family val="2"/>
          </rPr>
          <t xml:space="preserve">
Kontrollen faller ut vid differens mot beloppet på rad 982, kol. W i Driften - rätta eller kommentera.
</t>
        </r>
      </text>
    </comment>
    <comment ref="E33" authorId="1" shapeId="0" xr:uid="{00000000-0006-0000-0300-00000C000000}">
      <text>
        <r>
          <rPr>
            <b/>
            <sz val="8"/>
            <color indexed="81"/>
            <rFont val="Tahoma"/>
            <family val="2"/>
          </rPr>
          <t>SCB:</t>
        </r>
        <r>
          <rPr>
            <sz val="8"/>
            <color indexed="81"/>
            <rFont val="Tahoma"/>
            <family val="2"/>
          </rPr>
          <t xml:space="preserve">
Reavinst vid försäljning av anl.tillg. på rad 892 borde stämma överens med reavinsten i Driften, rad 985 samt även med reavinsten i Investeringar, rad 989, kol C+D</t>
        </r>
        <r>
          <rPr>
            <sz val="9"/>
            <color indexed="81"/>
            <rFont val="Tahoma"/>
            <family val="2"/>
          </rPr>
          <t xml:space="preserve">
</t>
        </r>
      </text>
    </comment>
    <comment ref="B34" authorId="1" shapeId="0" xr:uid="{00000000-0006-0000-0300-00000D000000}">
      <text>
        <r>
          <rPr>
            <b/>
            <sz val="9"/>
            <color indexed="81"/>
            <rFont val="Tahoma"/>
            <family val="2"/>
          </rPr>
          <t xml:space="preserve">SCB: </t>
        </r>
        <r>
          <rPr>
            <sz val="8"/>
            <color indexed="81"/>
            <rFont val="Tahoma"/>
            <family val="2"/>
          </rPr>
          <t>Fr.o.m. Bas13 finns inte längre något konto för övriga periodiseringar. 
Dessa borde ingå på något av kontona på rad 892.</t>
        </r>
      </text>
    </comment>
    <comment ref="E34" authorId="7" shapeId="0" xr:uid="{00000000-0006-0000-0300-00000E000000}">
      <text>
        <r>
          <rPr>
            <b/>
            <sz val="8"/>
            <color indexed="81"/>
            <rFont val="Tahoma"/>
            <family val="2"/>
          </rPr>
          <t>SCB:</t>
        </r>
        <r>
          <rPr>
            <sz val="8"/>
            <color indexed="81"/>
            <rFont val="Tahoma"/>
            <family val="2"/>
          </rPr>
          <t xml:space="preserve">
Kommentera vad Övriga periodiseringar består av, ingår det olika poster i beloppet så uppge såväl posternas storlek som vad de avser.
 </t>
        </r>
      </text>
    </comment>
    <comment ref="D37" authorId="4" shapeId="0" xr:uid="{00000000-0006-0000-0300-00000F000000}">
      <text>
        <r>
          <rPr>
            <b/>
            <sz val="8"/>
            <color indexed="81"/>
            <rFont val="Tahoma"/>
            <family val="2"/>
          </rPr>
          <t xml:space="preserve">SCB: 
</t>
        </r>
        <r>
          <rPr>
            <sz val="8"/>
            <color indexed="81"/>
            <rFont val="Tahoma"/>
            <family val="2"/>
          </rPr>
          <t xml:space="preserve">Summeringen av raderna 130-894 stämmer inte överens med Verksamhetens intäkter i avdelning RR, rad 010.Observera att jämförelsestörande intäkter som länkas från RR till rad 989 i avdelning Drift här ska redovisas på raden som innehåller kontot som den jämförelsestörande posten avser. Detta kan samtidigt leda till att det uppstår differenser i Kontrollbladet vilket är ok, men kommentera kontrollerna där.
</t>
        </r>
      </text>
    </comment>
    <comment ref="H41" authorId="4" shapeId="0" xr:uid="{00000000-0006-0000-0300-000011000000}">
      <text>
        <r>
          <rPr>
            <b/>
            <sz val="8"/>
            <color indexed="81"/>
            <rFont val="Tahoma"/>
            <family val="2"/>
          </rPr>
          <t xml:space="preserve">SCB:
</t>
        </r>
        <r>
          <rPr>
            <sz val="8"/>
            <color indexed="81"/>
            <rFont val="Tahoma"/>
            <family val="2"/>
          </rPr>
          <t xml:space="preserve">Grönt fält används för beräkning av utjämning av LSS-kostnader mellan kommuner.
Beloppet är även länkad till avdelning Äldre och personer med funktionsnedsättning.
Ersättning till Försäkringskassan ska innehålla alla </t>
        </r>
        <r>
          <rPr>
            <b/>
            <sz val="8"/>
            <color indexed="81"/>
            <rFont val="Tahoma"/>
            <family val="2"/>
          </rPr>
          <t>kostnader</t>
        </r>
        <r>
          <rPr>
            <sz val="8"/>
            <color indexed="81"/>
            <rFont val="Tahoma"/>
            <family val="2"/>
          </rPr>
          <t xml:space="preserve"> som kommunen</t>
        </r>
        <r>
          <rPr>
            <b/>
            <sz val="8"/>
            <color indexed="81"/>
            <rFont val="Tahoma"/>
            <family val="2"/>
          </rPr>
          <t xml:space="preserve"> bokat upp för året</t>
        </r>
        <r>
          <rPr>
            <sz val="8"/>
            <color indexed="81"/>
            <rFont val="Tahoma"/>
            <family val="2"/>
          </rPr>
          <t xml:space="preserve"> avseende ersättningen för personliga assistenter</t>
        </r>
      </text>
    </comment>
    <comment ref="J41" authorId="4" shapeId="0" xr:uid="{00000000-0006-0000-0300-000012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Ersättning till Försäkringskassan ska ingå i Bidrag på rad 620 och särredovisas här på rad 630.
</t>
        </r>
        <r>
          <rPr>
            <b/>
            <sz val="8"/>
            <color indexed="81"/>
            <rFont val="Tahoma"/>
            <family val="2"/>
          </rPr>
          <t>"Därav &gt;"</t>
        </r>
        <r>
          <rPr>
            <sz val="8"/>
            <color indexed="81"/>
            <rFont val="Tahoma"/>
            <family val="2"/>
          </rPr>
          <t xml:space="preserve">: Rad 630 är en därav-rad och kan inte vara större än huvud-raden 620.
</t>
        </r>
        <r>
          <rPr>
            <b/>
            <sz val="8"/>
            <color indexed="81"/>
            <rFont val="Tahoma"/>
            <family val="2"/>
          </rPr>
          <t>"Kontrollera mot bidrag i avd. Drift"</t>
        </r>
        <r>
          <rPr>
            <sz val="8"/>
            <color indexed="81"/>
            <rFont val="Tahoma"/>
            <family val="2"/>
          </rPr>
          <t xml:space="preserve"> Beloppet på rad 630 ska ingå i beloppet på rad 513 i kolumn Bidrag och transfereringar i avd. Drift och kan därmed inte vara större än beloppet där.
</t>
        </r>
      </text>
    </comment>
    <comment ref="B42" authorId="1" shapeId="0" xr:uid="{00000000-0006-0000-0300-000013000000}">
      <text>
        <r>
          <rPr>
            <b/>
            <sz val="9"/>
            <color indexed="81"/>
            <rFont val="Tahoma"/>
            <family val="2"/>
          </rPr>
          <t xml:space="preserve">SCB:
</t>
        </r>
        <r>
          <rPr>
            <sz val="8"/>
            <color indexed="81"/>
            <rFont val="Tahoma"/>
            <family val="2"/>
          </rPr>
          <t>Här ingår även bidrag till staten och statliga myndigheter men i</t>
        </r>
        <r>
          <rPr>
            <u/>
            <sz val="8"/>
            <color indexed="81"/>
            <rFont val="Tahoma"/>
            <family val="2"/>
          </rPr>
          <t>nte</t>
        </r>
        <r>
          <rPr>
            <sz val="8"/>
            <color indexed="81"/>
            <rFont val="Tahoma"/>
            <family val="2"/>
          </rPr>
          <t xml:space="preserve"> bidrag till statlig infrastruktur som ingår på rad 650 istället.</t>
        </r>
        <r>
          <rPr>
            <sz val="9"/>
            <color indexed="81"/>
            <rFont val="Tahoma"/>
            <family val="2"/>
          </rPr>
          <t xml:space="preserve">
</t>
        </r>
      </text>
    </comment>
    <comment ref="G42" authorId="1" shapeId="0" xr:uid="{00000000-0006-0000-0300-000015000000}">
      <text>
        <r>
          <rPr>
            <b/>
            <sz val="9"/>
            <color indexed="81"/>
            <rFont val="Tahoma"/>
            <family val="2"/>
          </rPr>
          <t xml:space="preserve">SCB:
</t>
        </r>
        <r>
          <rPr>
            <sz val="8"/>
            <color indexed="81"/>
            <rFont val="Tahoma"/>
            <family val="2"/>
          </rPr>
          <t xml:space="preserve">Här ingår den delen av konto 453 som går till staten och statliga myndigheter, dvs. motpart 81, men </t>
        </r>
        <r>
          <rPr>
            <u/>
            <sz val="8"/>
            <color indexed="81"/>
            <rFont val="Tahoma"/>
            <family val="2"/>
          </rPr>
          <t>inte</t>
        </r>
        <r>
          <rPr>
            <sz val="8"/>
            <color indexed="81"/>
            <rFont val="Tahoma"/>
            <family val="2"/>
          </rPr>
          <t>, Kostnader avseende ersättning för personliga assistenter, konto 4538 som redovisas på rad 630 istället.</t>
        </r>
        <r>
          <rPr>
            <sz val="9"/>
            <color indexed="81"/>
            <rFont val="Tahoma"/>
            <family val="2"/>
          </rPr>
          <t xml:space="preserve">
</t>
        </r>
      </text>
    </comment>
    <comment ref="J42" authorId="0" shapeId="0" xr:uid="{00000000-0006-0000-0300-000016000000}">
      <text>
        <r>
          <rPr>
            <b/>
            <sz val="8"/>
            <color indexed="81"/>
            <rFont val="Tahoma"/>
            <family val="2"/>
          </rPr>
          <t xml:space="preserve">SCB: 
"Däravraderna 630+631 &gt; rad 620"
</t>
        </r>
        <r>
          <rPr>
            <sz val="8"/>
            <color indexed="81"/>
            <rFont val="Tahoma"/>
            <family val="2"/>
          </rPr>
          <t xml:space="preserve">Rad 630-631 är därav-rader och kan inte vara större än huvud-raden 620.
</t>
        </r>
        <r>
          <rPr>
            <b/>
            <sz val="8"/>
            <color indexed="81"/>
            <rFont val="Tahoma"/>
            <family val="2"/>
          </rPr>
          <t xml:space="preserve">
"Kontrollera mot rad 950, kol U i Motpart":
</t>
        </r>
        <r>
          <rPr>
            <sz val="8"/>
            <color indexed="81"/>
            <rFont val="Tahoma"/>
            <family val="2"/>
          </rPr>
          <t xml:space="preserve">Om Bidrag til staten och statliga myndiheter ingår i kolumn H i driften ska den även ingå i Motparten och där i kolumn U, Staten, statliga myndigheter.
</t>
        </r>
        <r>
          <rPr>
            <b/>
            <sz val="8"/>
            <color indexed="81"/>
            <rFont val="Tahoma"/>
            <family val="2"/>
          </rPr>
          <t>"Inte ersättn.pers.assistent":</t>
        </r>
        <r>
          <rPr>
            <sz val="8"/>
            <color indexed="81"/>
            <rFont val="Tahoma"/>
            <family val="2"/>
          </rPr>
          <t xml:space="preserve"> På rad 631 redovisas bara de bidrag till staten/statliga myndigheter som inte är ersättning för personlig assistent.
</t>
        </r>
        <r>
          <rPr>
            <b/>
            <sz val="8"/>
            <color indexed="81"/>
            <rFont val="Tahoma"/>
            <family val="2"/>
          </rPr>
          <t xml:space="preserve">
"Kontrollera mot kol U Motpart":</t>
        </r>
        <r>
          <rPr>
            <sz val="8"/>
            <color indexed="81"/>
            <rFont val="Tahoma"/>
            <family val="2"/>
          </rPr>
          <t xml:space="preserve"> Beloppet på rad 631 är större än totalsumman kol U i Motpart minus cell U10 (som till största del borde vara bidrag till infrastruktur) minus cell U29 (som till huvuddel borde vara ersättning för personlig assistenter). Kommentera vad det avser.</t>
        </r>
      </text>
    </comment>
    <comment ref="J45" authorId="0" shapeId="0" xr:uid="{00000000-0006-0000-0300-000018000000}">
      <text>
        <r>
          <rPr>
            <b/>
            <sz val="8"/>
            <color indexed="81"/>
            <rFont val="Tahoma"/>
            <family val="2"/>
          </rPr>
          <t>SCB: 
"Belopp saknas":</t>
        </r>
        <r>
          <rPr>
            <sz val="8"/>
            <color indexed="81"/>
            <rFont val="Tahoma"/>
            <family val="2"/>
          </rPr>
          <t xml:space="preserve"> Sjuklön ska ingå i Löner m.m. på rad 100 och särredovisas här på rad 102.</t>
        </r>
        <r>
          <rPr>
            <b/>
            <sz val="8"/>
            <color indexed="81"/>
            <rFont val="Tahoma"/>
            <family val="2"/>
          </rPr>
          <t xml:space="preserve">
"Därav&gt; "</t>
        </r>
        <r>
          <rPr>
            <sz val="8"/>
            <color indexed="81"/>
            <rFont val="Tahoma"/>
            <family val="2"/>
          </rPr>
          <t xml:space="preserve">.: Rad 102 är därav-rad och kan inte vara större än huvud-raden 100.
</t>
        </r>
      </text>
    </comment>
    <comment ref="J49" authorId="0" shapeId="0" xr:uid="{00000000-0006-0000-0300-000019000000}">
      <text>
        <r>
          <rPr>
            <b/>
            <sz val="8"/>
            <color indexed="81"/>
            <rFont val="Tahoma"/>
            <family val="2"/>
          </rPr>
          <t xml:space="preserve">SCB: 
"Belopp saknas": </t>
        </r>
        <r>
          <rPr>
            <sz val="8"/>
            <color indexed="81"/>
            <rFont val="Tahoma"/>
            <family val="2"/>
          </rPr>
          <t xml:space="preserve">Löneskatt ska ingå i "Sociala avg.enl.lag o.avtal.." på rad 110 och särredovisas här på rad111.
</t>
        </r>
        <r>
          <rPr>
            <b/>
            <sz val="8"/>
            <color indexed="81"/>
            <rFont val="Tahoma"/>
            <family val="2"/>
          </rPr>
          <t xml:space="preserve">
"Därav&gt; "</t>
        </r>
        <r>
          <rPr>
            <sz val="8"/>
            <color indexed="81"/>
            <rFont val="Tahoma"/>
            <family val="2"/>
          </rPr>
          <t>: Rad 111 är därav-rad och kan inte vara större än huvud-raden 110
"</t>
        </r>
        <r>
          <rPr>
            <b/>
            <sz val="8"/>
            <color indexed="81"/>
            <rFont val="Tahoma"/>
            <family val="2"/>
          </rPr>
          <t xml:space="preserve">Låg löneskatt eller hög löneskatt": </t>
        </r>
        <r>
          <rPr>
            <sz val="8"/>
            <color indexed="81"/>
            <rFont val="Tahoma"/>
            <family val="2"/>
          </rPr>
          <t>Den redovisade löneskatten ligger utanför intervallet. Kontrollera och kommentera varför den avviker från intervallet.</t>
        </r>
      </text>
    </comment>
    <comment ref="J50" authorId="1" shapeId="0" xr:uid="{00000000-0006-0000-0300-00001A000000}">
      <text>
        <r>
          <rPr>
            <b/>
            <sz val="9"/>
            <color indexed="81"/>
            <rFont val="Tahoma"/>
            <family val="2"/>
          </rPr>
          <t xml:space="preserve">SCB:
</t>
        </r>
        <r>
          <rPr>
            <sz val="8"/>
            <color indexed="81"/>
            <rFont val="Tahoma"/>
            <family val="2"/>
          </rPr>
          <t>Pens.utbet intjänade före 98 borde inte vara mindre än pens.utbet intjänade fr.o.m. 98</t>
        </r>
        <r>
          <rPr>
            <sz val="9"/>
            <color indexed="81"/>
            <rFont val="Tahoma"/>
            <family val="2"/>
          </rPr>
          <t xml:space="preserve">
OBS! Tanken är att kostnaderna för pensionerna intjänade efter 98 resultatfördes tidigare år i form av ökning av pensionsavsättning. När utbetalningen sker så borde pensionsavsättningen minskas (redovisa med minusbelopp på rad 115) och motsvarande belopp redovisas på rad 120 och 121 i form av pensionsutbetalning. Nettot blir då 0, dvs. årets verksamhetskostnad påverkas inte.
</t>
        </r>
      </text>
    </comment>
    <comment ref="J51" authorId="1" shapeId="0" xr:uid="{00000000-0006-0000-0300-00001B000000}">
      <text>
        <r>
          <rPr>
            <b/>
            <sz val="8"/>
            <color indexed="81"/>
            <rFont val="Tahoma"/>
            <family val="2"/>
          </rPr>
          <t xml:space="preserve">SCB:
</t>
        </r>
        <r>
          <rPr>
            <sz val="8"/>
            <color indexed="81"/>
            <rFont val="Tahoma"/>
            <family val="2"/>
          </rPr>
          <t>På därav-raderna 121, 122 och 123 borde samtliga pensionsutbetalningar som redovisas på rad 120 ingå.</t>
        </r>
        <r>
          <rPr>
            <sz val="9"/>
            <color indexed="81"/>
            <rFont val="Tahoma"/>
            <family val="2"/>
          </rPr>
          <t xml:space="preserve">
</t>
        </r>
      </text>
    </comment>
    <comment ref="J52" authorId="0" shapeId="0" xr:uid="{00000000-0006-0000-0300-00001C000000}">
      <text>
        <r>
          <rPr>
            <b/>
            <sz val="8"/>
            <color indexed="81"/>
            <rFont val="Tahoma"/>
            <family val="2"/>
          </rPr>
          <t xml:space="preserve">SCB: 
</t>
        </r>
        <r>
          <rPr>
            <sz val="8"/>
            <color indexed="81"/>
            <rFont val="Tahoma"/>
            <family val="2"/>
          </rPr>
          <t>Raderna 121-123 är därav-rader och kan inte vara större än huvud-raden 120.</t>
        </r>
      </text>
    </comment>
    <comment ref="E53" authorId="0" shapeId="0" xr:uid="{00000000-0006-0000-0300-00001D000000}">
      <text>
        <r>
          <rPr>
            <b/>
            <sz val="8"/>
            <color indexed="81"/>
            <rFont val="Tahoma"/>
            <family val="2"/>
          </rPr>
          <t xml:space="preserve">SCB:
</t>
        </r>
        <r>
          <rPr>
            <sz val="8"/>
            <color indexed="81"/>
            <rFont val="Tahoma"/>
            <family val="2"/>
          </rPr>
          <t xml:space="preserve">Pensionskostnad avgiftsbestämd del ligger utanför intervallet. Kontrollera och kommentera varför den avviker från intervallet.
</t>
        </r>
      </text>
    </comment>
    <comment ref="B55" authorId="5" shapeId="0" xr:uid="{6C27F06A-76CA-4AAA-A079-ED0E1DC57C59}">
      <text>
        <r>
          <rPr>
            <b/>
            <sz val="9"/>
            <color indexed="81"/>
            <rFont val="Tahoma"/>
            <charset val="1"/>
          </rPr>
          <t>SCB:</t>
        </r>
        <r>
          <rPr>
            <sz val="9"/>
            <color indexed="81"/>
            <rFont val="Tahoma"/>
            <charset val="1"/>
          </rPr>
          <t xml:space="preserve">
Lagt till 697 i kontohänvisningen</t>
        </r>
      </text>
    </comment>
    <comment ref="J55" authorId="0" shapeId="0" xr:uid="{00000000-0006-0000-0300-00001E000000}">
      <text>
        <r>
          <rPr>
            <b/>
            <sz val="8"/>
            <color indexed="81"/>
            <rFont val="Tahoma"/>
            <family val="2"/>
          </rPr>
          <t xml:space="preserve">SCB: 
"Belopp saknas": </t>
        </r>
        <r>
          <rPr>
            <sz val="8"/>
            <color indexed="81"/>
            <rFont val="Tahoma"/>
            <family val="2"/>
          </rPr>
          <t>Vatten och avlopp ska ingå i Bränsle, energi och vatten på rad 300 och särredovisas här på rad 318.</t>
        </r>
        <r>
          <rPr>
            <b/>
            <sz val="8"/>
            <color indexed="81"/>
            <rFont val="Tahoma"/>
            <family val="2"/>
          </rPr>
          <t xml:space="preserve">
"Därav&gt; "</t>
        </r>
        <r>
          <rPr>
            <sz val="8"/>
            <color indexed="81"/>
            <rFont val="Tahoma"/>
            <family val="2"/>
          </rPr>
          <t xml:space="preserve">: Rad 318 är därav-rad och kan inte vara större än huvud-raden 300.
</t>
        </r>
      </text>
    </comment>
    <comment ref="J58" authorId="0" shapeId="0" xr:uid="{00000000-0006-0000-0300-00001F000000}">
      <text>
        <r>
          <rPr>
            <b/>
            <sz val="8"/>
            <color indexed="81"/>
            <rFont val="Tahoma"/>
            <family val="2"/>
          </rPr>
          <t xml:space="preserve">SCB: 
"Högt belopp för förbrukningsinvent.": </t>
        </r>
        <r>
          <rPr>
            <sz val="8"/>
            <color indexed="81"/>
            <rFont val="Tahoma"/>
            <family val="2"/>
          </rPr>
          <t>Beloppet på rad 341 är relativt stort i relation till "Material, övrigt" på rad 340.</t>
        </r>
        <r>
          <rPr>
            <b/>
            <sz val="8"/>
            <color indexed="81"/>
            <rFont val="Tahoma"/>
            <family val="2"/>
          </rPr>
          <t xml:space="preserve"> Rad 341 avser enbart Förbrukningsinventarier</t>
        </r>
        <r>
          <rPr>
            <sz val="8"/>
            <color indexed="81"/>
            <rFont val="Tahoma"/>
            <family val="2"/>
          </rPr>
          <t xml:space="preserve"> enligt KommunBas definitionen för konto 641. Rad 340 däremot innehåller bl.a. Förbrukningsmaterial, konto 646, Arbets-, skyddskläder.. konto 648, IT-material, konto 654, Trycksaker, konto 655.....
 </t>
        </r>
        <r>
          <rPr>
            <b/>
            <sz val="8"/>
            <color indexed="81"/>
            <rFont val="Tahoma"/>
            <family val="2"/>
          </rPr>
          <t xml:space="preserve">
"Belopp saknas": </t>
        </r>
        <r>
          <rPr>
            <sz val="8"/>
            <color indexed="81"/>
            <rFont val="Tahoma"/>
            <family val="2"/>
          </rPr>
          <t>Förbrukningsinventarier ska ingå i Material, övrigt på rad 340 och särredovisas här på rad 341.</t>
        </r>
        <r>
          <rPr>
            <b/>
            <sz val="8"/>
            <color indexed="81"/>
            <rFont val="Tahoma"/>
            <family val="2"/>
          </rPr>
          <t xml:space="preserve">
"Därav&gt; "</t>
        </r>
        <r>
          <rPr>
            <sz val="8"/>
            <color indexed="81"/>
            <rFont val="Tahoma"/>
            <family val="2"/>
          </rPr>
          <t xml:space="preserve">: Rad 341+342 är därav-rader och kan inte vara större än huvud-raden 340.
</t>
        </r>
      </text>
    </comment>
    <comment ref="E73" authorId="1" shapeId="0" xr:uid="{00000000-0006-0000-0300-000021000000}">
      <text>
        <r>
          <rPr>
            <b/>
            <sz val="9"/>
            <color indexed="81"/>
            <rFont val="Tahoma"/>
            <family val="2"/>
          </rPr>
          <t xml:space="preserve">SCB:
</t>
        </r>
        <r>
          <rPr>
            <sz val="8"/>
            <color indexed="81"/>
            <rFont val="Tahoma"/>
            <family val="2"/>
          </rPr>
          <t>Summan av beloppen på rad 897 och 900 borde överensstämma med beloppet i Driften på rad 985, Reaförsluster och div.periodiseringar, kontogrupp 78.
Beloppet på rad 897 borde även överensstämma med förlusten kol. C+D rad 990
 i Investeringar.</t>
        </r>
        <r>
          <rPr>
            <sz val="9"/>
            <color indexed="81"/>
            <rFont val="Tahoma"/>
            <family val="2"/>
          </rPr>
          <t xml:space="preserve">
</t>
        </r>
      </text>
    </comment>
    <comment ref="B74" authorId="8" shapeId="0" xr:uid="{993D41C1-022B-438A-B62C-E41A0AFA1633}">
      <text>
        <r>
          <rPr>
            <b/>
            <sz val="9"/>
            <color indexed="81"/>
            <rFont val="Tahoma"/>
            <family val="2"/>
          </rPr>
          <t xml:space="preserve">SCB:Konto 787 tas bort från och med 2024
</t>
        </r>
        <r>
          <rPr>
            <sz val="9"/>
            <color indexed="81"/>
            <rFont val="Tahoma"/>
            <family val="2"/>
          </rPr>
          <t xml:space="preserve">
</t>
        </r>
      </text>
    </comment>
    <comment ref="E74" authorId="7" shapeId="0" xr:uid="{00000000-0006-0000-0300-000022000000}">
      <text>
        <r>
          <rPr>
            <b/>
            <sz val="8"/>
            <color indexed="81"/>
            <rFont val="Tahoma"/>
            <family val="2"/>
          </rPr>
          <t>SCB:</t>
        </r>
        <r>
          <rPr>
            <sz val="8"/>
            <color indexed="81"/>
            <rFont val="Tahoma"/>
            <family val="2"/>
          </rPr>
          <t xml:space="preserve">
Kommentera vad Övriga periodiseringar består av, ingår det olika poster i beloppet så uppge såväl posternas storlek som vad de avser.
 </t>
        </r>
      </text>
    </comment>
    <comment ref="J75" authorId="0" shapeId="0" xr:uid="{00000000-0006-0000-0300-000023000000}">
      <text>
        <r>
          <rPr>
            <b/>
            <sz val="8"/>
            <color indexed="81"/>
            <rFont val="Tahoma"/>
            <family val="2"/>
          </rPr>
          <t xml:space="preserve">SCB: 
</t>
        </r>
        <r>
          <rPr>
            <sz val="8"/>
            <color indexed="81"/>
            <rFont val="Tahoma"/>
            <family val="2"/>
          </rPr>
          <t>Raderna 469, 472, 474, 476, 477, 478 och 473 är därav-rader och kan inte vara större än huvud-raden 470.</t>
        </r>
      </text>
    </comment>
    <comment ref="I76" authorId="7" shapeId="0" xr:uid="{00000000-0006-0000-0300-000024000000}">
      <text>
        <r>
          <rPr>
            <b/>
            <sz val="8"/>
            <color indexed="81"/>
            <rFont val="Tahoma"/>
            <family val="2"/>
          </rPr>
          <t>SCB:</t>
        </r>
        <r>
          <rPr>
            <sz val="8"/>
            <color indexed="81"/>
            <rFont val="Tahoma"/>
            <family val="2"/>
          </rPr>
          <t xml:space="preserve">
Vad ingår på rad 470 utöver posterna som specificeras på däravraderna 469-478?</t>
        </r>
      </text>
    </comment>
    <comment ref="D77" authorId="4" shapeId="0" xr:uid="{00000000-0006-0000-0300-000026000000}">
      <text>
        <r>
          <rPr>
            <b/>
            <sz val="8"/>
            <color indexed="81"/>
            <rFont val="Tahoma"/>
            <family val="2"/>
          </rPr>
          <t xml:space="preserve">SCB: 
</t>
        </r>
        <r>
          <rPr>
            <sz val="8"/>
            <color indexed="81"/>
            <rFont val="Tahoma"/>
            <family val="2"/>
          </rPr>
          <t xml:space="preserve">Summeringen av raderna 600-900 stämmer inte överens med Verksamhetens kostnader i avdelning RR, rad 020.Observera att jämförelsestörande kostnader som länkas från RR till rad 989 i avdelning Drift här ska redovisas på raden som innehåller kontot som den jämförelsestörande posten avser. Detta kan samtidigt leda till att det uppstår differenser i Kontrollbladet vilket är ok men kommentera kontrollerna där.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SCB</author>
    <author>Henrik Mundt</author>
    <author>scbingj</author>
    <author>Engblom Linnea D/INS/OFS-Ö</author>
  </authors>
  <commentList>
    <comment ref="H3" authorId="0" shapeId="0" xr:uid="{00000000-0006-0000-0500-000001000000}">
      <text>
        <r>
          <rPr>
            <sz val="8"/>
            <color indexed="81"/>
            <rFont val="Tahoma"/>
            <family val="2"/>
          </rPr>
          <t xml:space="preserve">
</t>
        </r>
      </text>
    </comment>
    <comment ref="B7" authorId="1" shapeId="0" xr:uid="{00000000-0006-0000-0500-000002000000}">
      <text>
        <r>
          <rPr>
            <b/>
            <sz val="9"/>
            <color indexed="81"/>
            <rFont val="Tahoma"/>
            <family val="2"/>
          </rPr>
          <t xml:space="preserve">SCB:
</t>
        </r>
        <r>
          <rPr>
            <sz val="8"/>
            <color indexed="81"/>
            <rFont val="Tahoma"/>
            <family val="2"/>
          </rPr>
          <t>Här ingår bara nyanskaffade anläggningstillgångar!
Eget arbete ingår i nyanskaffning.
Nyupptagna lån för vidareutlånging (internbanken) ska inte redovisas här utan på rad 994, Övriga förändringar
Beloppen ska</t>
        </r>
        <r>
          <rPr>
            <u/>
            <sz val="8"/>
            <color indexed="81"/>
            <rFont val="Tahoma"/>
            <family val="2"/>
          </rPr>
          <t xml:space="preserve"> bruttoredovisas</t>
        </r>
        <r>
          <rPr>
            <sz val="8"/>
            <color indexed="81"/>
            <rFont val="Tahoma"/>
            <family val="2"/>
          </rPr>
          <t>, dvs. inte minskas med eventuella investeringsinkomster.
Nytillkommen finansiell leasing under året redovisas här och fördelas på verksamheterna nedan.</t>
        </r>
      </text>
    </comment>
    <comment ref="I7" authorId="1" shapeId="0" xr:uid="{00000000-0006-0000-0500-000003000000}">
      <text>
        <r>
          <rPr>
            <b/>
            <sz val="9"/>
            <color indexed="81"/>
            <rFont val="Tahoma"/>
            <family val="2"/>
          </rPr>
          <t xml:space="preserve">SCB: </t>
        </r>
        <r>
          <rPr>
            <sz val="8"/>
            <color indexed="81"/>
            <rFont val="Tahoma"/>
            <family val="2"/>
          </rPr>
          <t>Summan av beloppen avseende inköp/nyanskaffning inkl.pågående arbeten på rad 987 är ska vara lika stor som investeringsutgifterna totalt, rad 950, kol C. Tänk på att även redovisa nytillkommen finansiell leasing.
Rätta till differensen.</t>
        </r>
        <r>
          <rPr>
            <sz val="9"/>
            <color indexed="81"/>
            <rFont val="Tahoma"/>
            <family val="2"/>
          </rPr>
          <t xml:space="preserve">
</t>
        </r>
        <r>
          <rPr>
            <sz val="8"/>
            <color indexed="81"/>
            <rFont val="Tahoma"/>
            <family val="2"/>
          </rPr>
          <t xml:space="preserve">
</t>
        </r>
        <r>
          <rPr>
            <b/>
            <sz val="8"/>
            <color indexed="81"/>
            <rFont val="Tahoma"/>
            <family val="2"/>
          </rPr>
          <t xml:space="preserve">OBS! </t>
        </r>
        <r>
          <rPr>
            <sz val="8"/>
            <color indexed="81"/>
            <rFont val="Tahoma"/>
            <family val="2"/>
          </rPr>
          <t xml:space="preserve">Om kommunen redovisar investeringar i </t>
        </r>
        <r>
          <rPr>
            <b/>
            <sz val="8"/>
            <color indexed="81"/>
            <rFont val="Tahoma"/>
            <family val="2"/>
          </rPr>
          <t xml:space="preserve">immateriella anläggningstillgångar </t>
        </r>
        <r>
          <rPr>
            <sz val="8"/>
            <color indexed="81"/>
            <rFont val="Tahoma"/>
            <family val="2"/>
          </rPr>
          <t>nedan så uppkommer en differens här. Kommentera och ange beloppet för denna investering.</t>
        </r>
        <r>
          <rPr>
            <sz val="9"/>
            <color indexed="81"/>
            <rFont val="Tahoma"/>
            <family val="2"/>
          </rPr>
          <t xml:space="preserve">
</t>
        </r>
      </text>
    </comment>
    <comment ref="B8" authorId="2" shapeId="0" xr:uid="{00000000-0006-0000-0500-000004000000}">
      <text>
        <r>
          <rPr>
            <b/>
            <sz val="8"/>
            <color indexed="81"/>
            <rFont val="Tahoma"/>
            <family val="2"/>
          </rPr>
          <t>SCB:</t>
        </r>
        <r>
          <rPr>
            <sz val="8"/>
            <color indexed="81"/>
            <rFont val="Tahoma"/>
            <family val="2"/>
          </rPr>
          <t xml:space="preserve">
Beloppet för försäljningspriset anges med minustecken.
 </t>
        </r>
      </text>
    </comment>
    <comment ref="B9" authorId="1" shapeId="0" xr:uid="{00000000-0006-0000-0500-000005000000}">
      <text>
        <r>
          <rPr>
            <b/>
            <sz val="9"/>
            <color indexed="81"/>
            <rFont val="Tahoma"/>
            <family val="2"/>
          </rPr>
          <t xml:space="preserve">SCB:
</t>
        </r>
        <r>
          <rPr>
            <sz val="8"/>
            <color indexed="81"/>
            <rFont val="Tahoma"/>
            <family val="2"/>
          </rPr>
          <t xml:space="preserve">Reavinster och reaförluster ska bruttoredovisas och får inte kvittas mot varandra. </t>
        </r>
        <r>
          <rPr>
            <sz val="9"/>
            <color indexed="81"/>
            <rFont val="Tahoma"/>
            <family val="2"/>
          </rPr>
          <t xml:space="preserve">
</t>
        </r>
      </text>
    </comment>
    <comment ref="I9" authorId="1" shapeId="0" xr:uid="{00000000-0006-0000-0500-000006000000}">
      <text>
        <r>
          <rPr>
            <b/>
            <sz val="9"/>
            <color indexed="81"/>
            <rFont val="Tahoma"/>
            <family val="2"/>
          </rPr>
          <t xml:space="preserve">SCB:
</t>
        </r>
        <r>
          <rPr>
            <sz val="8"/>
            <color indexed="81"/>
            <rFont val="Tahoma"/>
            <family val="2"/>
          </rPr>
          <t xml:space="preserve">Gäller kommunen:
Reavinsten vid försäljning av materiella anläggningstillgångar ska stämma överens med beloppet i Verksamhetens intäkter och kostnader, rad 892. 
</t>
        </r>
        <r>
          <rPr>
            <b/>
            <sz val="8"/>
            <color indexed="81"/>
            <rFont val="Tahoma"/>
            <family val="2"/>
          </rPr>
          <t>Reavinster och reaförluster ska bruttoredovisas i RS.</t>
        </r>
        <r>
          <rPr>
            <sz val="9"/>
            <color indexed="81"/>
            <rFont val="Tahoma"/>
            <family val="2"/>
          </rPr>
          <t xml:space="preserve">
</t>
        </r>
      </text>
    </comment>
    <comment ref="B10" authorId="2" shapeId="0" xr:uid="{00000000-0006-0000-0500-000007000000}">
      <text>
        <r>
          <rPr>
            <b/>
            <sz val="8"/>
            <color indexed="81"/>
            <rFont val="Tahoma"/>
            <family val="2"/>
          </rPr>
          <t>SCB:</t>
        </r>
        <r>
          <rPr>
            <sz val="8"/>
            <color indexed="81"/>
            <rFont val="Tahoma"/>
            <family val="2"/>
          </rPr>
          <t xml:space="preserve">
Beloppet för reaförlust anges med minustecken. 
Reavinster och reaförluster ska bruttoredovisas och får inte kvittas mot varandra.</t>
        </r>
      </text>
    </comment>
    <comment ref="I10" authorId="1" shapeId="0" xr:uid="{00000000-0006-0000-0500-000008000000}">
      <text>
        <r>
          <rPr>
            <b/>
            <sz val="9"/>
            <color indexed="81"/>
            <rFont val="Tahoma"/>
            <family val="2"/>
          </rPr>
          <t xml:space="preserve">SCB:
</t>
        </r>
        <r>
          <rPr>
            <sz val="8"/>
            <color indexed="81"/>
            <rFont val="Tahoma"/>
            <family val="2"/>
          </rPr>
          <t>Gäller kommunen:</t>
        </r>
        <r>
          <rPr>
            <b/>
            <sz val="9"/>
            <color indexed="81"/>
            <rFont val="Tahoma"/>
            <family val="2"/>
          </rPr>
          <t xml:space="preserve">
</t>
        </r>
        <r>
          <rPr>
            <sz val="8"/>
            <color indexed="81"/>
            <rFont val="Tahoma"/>
            <family val="2"/>
          </rPr>
          <t xml:space="preserve">Reaförlust vid försäljning av materiella anläggningstillgångar ska stämma överens med beloppet i Verksamhetens intäkter och kostnader, rad 897.
</t>
        </r>
        <r>
          <rPr>
            <b/>
            <sz val="8"/>
            <color indexed="81"/>
            <rFont val="Tahoma"/>
            <family val="2"/>
          </rPr>
          <t>Reavinster och reaförluster ska bruttoredovisas i RS.</t>
        </r>
        <r>
          <rPr>
            <sz val="9"/>
            <color indexed="81"/>
            <rFont val="Tahoma"/>
            <family val="2"/>
          </rPr>
          <t xml:space="preserve">
</t>
        </r>
      </text>
    </comment>
    <comment ref="B11" authorId="2" shapeId="0" xr:uid="{00000000-0006-0000-0500-000009000000}">
      <text>
        <r>
          <rPr>
            <b/>
            <sz val="8"/>
            <color indexed="81"/>
            <rFont val="Tahoma"/>
            <family val="2"/>
          </rPr>
          <t>SCB:</t>
        </r>
        <r>
          <rPr>
            <sz val="8"/>
            <color indexed="81"/>
            <rFont val="Tahoma"/>
            <family val="2"/>
          </rPr>
          <t xml:space="preserve">
Beloppet för avskrivningar anges med minustecken. </t>
        </r>
      </text>
    </comment>
    <comment ref="E11" authorId="3" shapeId="0" xr:uid="{00000000-0006-0000-0500-00000A000000}">
      <text>
        <r>
          <rPr>
            <b/>
            <sz val="9"/>
            <color indexed="81"/>
            <rFont val="Tahoma"/>
            <family val="2"/>
          </rPr>
          <t>SCB:</t>
        </r>
        <r>
          <rPr>
            <sz val="9"/>
            <color indexed="81"/>
            <rFont val="Tahoma"/>
            <family val="2"/>
          </rPr>
          <t xml:space="preserve">
Avskrivningar av finansiella anläggningstillgångar borde inte förekomma.</t>
        </r>
      </text>
    </comment>
    <comment ref="I13" authorId="1" shapeId="0" xr:uid="{00000000-0006-0000-0500-00000B000000}">
      <text>
        <r>
          <rPr>
            <b/>
            <sz val="9"/>
            <color indexed="81"/>
            <rFont val="Tahoma"/>
            <family val="2"/>
          </rPr>
          <t xml:space="preserve">SCB: 
</t>
        </r>
        <r>
          <rPr>
            <sz val="8"/>
            <color indexed="81"/>
            <rFont val="Tahoma"/>
            <family val="2"/>
          </rPr>
          <t xml:space="preserve">SCB behöver information om vad omklassificeringarna på rad 993 avser. Kommentera beloppen.
</t>
        </r>
      </text>
    </comment>
    <comment ref="E14" authorId="1" shapeId="0" xr:uid="{00000000-0006-0000-0500-00000C000000}">
      <text>
        <r>
          <rPr>
            <b/>
            <sz val="9"/>
            <color indexed="81"/>
            <rFont val="Tahoma"/>
            <family val="2"/>
          </rPr>
          <t xml:space="preserve">SCB: 
</t>
        </r>
        <r>
          <rPr>
            <sz val="8"/>
            <color indexed="81"/>
            <rFont val="Tahoma"/>
            <family val="2"/>
          </rPr>
          <t>Här redovisas t.ex. erhållna amorteringar och ökning av långfristiga fordringar som beror på att kommunens internbank lånar upp pengar som vidareutlånas till ett kommunägt bolag. 
Beloppet ska kommenteras detaljerat.</t>
        </r>
        <r>
          <rPr>
            <sz val="9"/>
            <color indexed="81"/>
            <rFont val="Tahoma"/>
            <family val="2"/>
          </rPr>
          <t xml:space="preserve">
</t>
        </r>
      </text>
    </comment>
    <comment ref="I14" authorId="1" shapeId="0" xr:uid="{00000000-0006-0000-0500-00000D000000}">
      <text>
        <r>
          <rPr>
            <b/>
            <sz val="9"/>
            <color indexed="81"/>
            <rFont val="Tahoma"/>
            <family val="2"/>
          </rPr>
          <t xml:space="preserve">SCB: 
</t>
        </r>
        <r>
          <rPr>
            <sz val="8"/>
            <color indexed="81"/>
            <rFont val="Tahoma"/>
            <family val="2"/>
          </rPr>
          <t xml:space="preserve">SCB behöver information om vad som ingår på rad 994. Kommentera beloppen.
</t>
        </r>
      </text>
    </comment>
    <comment ref="C16" authorId="4" shapeId="0" xr:uid="{00000000-0006-0000-0500-00000E000000}">
      <text>
        <r>
          <rPr>
            <b/>
            <sz val="8"/>
            <color indexed="81"/>
            <rFont val="Tahoma"/>
            <family val="2"/>
          </rPr>
          <t xml:space="preserve">SCB: </t>
        </r>
        <r>
          <rPr>
            <sz val="8"/>
            <color indexed="81"/>
            <rFont val="Tahoma"/>
            <family val="2"/>
          </rPr>
          <t xml:space="preserve">Summeringen av raderna 986-994 överensstämmer inte med Mark, byggn.och tekn.anläggningar i avd. BR rad 021.
</t>
        </r>
      </text>
    </comment>
    <comment ref="D16" authorId="4" shapeId="0" xr:uid="{00000000-0006-0000-0500-00000F000000}">
      <text>
        <r>
          <rPr>
            <b/>
            <sz val="8"/>
            <color indexed="81"/>
            <rFont val="Tahoma"/>
            <family val="2"/>
          </rPr>
          <t xml:space="preserve">SCB:
</t>
        </r>
        <r>
          <rPr>
            <sz val="8"/>
            <color indexed="81"/>
            <rFont val="Tahoma"/>
            <family val="2"/>
          </rPr>
          <t xml:space="preserve">Summeringen av raderna 986-994 överensstämmer inte med Maskiner och inventarier i avd. BR, rad 023.
</t>
        </r>
      </text>
    </comment>
    <comment ref="E16" authorId="4" shapeId="0" xr:uid="{00000000-0006-0000-0500-000010000000}">
      <text>
        <r>
          <rPr>
            <b/>
            <sz val="8"/>
            <color indexed="81"/>
            <rFont val="Tahoma"/>
            <family val="2"/>
          </rPr>
          <t xml:space="preserve">SCB: 
</t>
        </r>
        <r>
          <rPr>
            <sz val="8"/>
            <color indexed="81"/>
            <rFont val="Tahoma"/>
            <family val="2"/>
          </rPr>
          <t xml:space="preserve">Summeringen av raderna 986-994 överensstämmer inte med Finansiella anläggningstillg.i avd. BR, rad 035.
</t>
        </r>
      </text>
    </comment>
    <comment ref="F16" authorId="4" shapeId="0" xr:uid="{00000000-0006-0000-0500-000011000000}">
      <text>
        <r>
          <rPr>
            <b/>
            <sz val="8"/>
            <color indexed="81"/>
            <rFont val="Tahoma"/>
            <family val="2"/>
          </rPr>
          <t xml:space="preserve">SCB:
</t>
        </r>
        <r>
          <rPr>
            <sz val="8"/>
            <color indexed="81"/>
            <rFont val="Tahoma"/>
            <family val="2"/>
          </rPr>
          <t xml:space="preserve">Summeringen av raderna 986-994 överensstämmer inte med Aktier, andelar och bostadsrätter i avd.BR, rad 036.
</t>
        </r>
      </text>
    </comment>
    <comment ref="G16" authorId="4" shapeId="0" xr:uid="{00000000-0006-0000-0500-000012000000}">
      <text>
        <r>
          <rPr>
            <b/>
            <sz val="8"/>
            <color indexed="81"/>
            <rFont val="Tahoma"/>
            <family val="2"/>
          </rPr>
          <t xml:space="preserve">SCB: </t>
        </r>
        <r>
          <rPr>
            <sz val="8"/>
            <color indexed="81"/>
            <rFont val="Tahoma"/>
            <family val="2"/>
          </rPr>
          <t xml:space="preserve">Summeringen av raderna 986-994 överensstämmer inte med Materiella anläggningstillgångar i avd. BR rad 025.
</t>
        </r>
      </text>
    </comment>
    <comment ref="H16" authorId="4" shapeId="0" xr:uid="{00000000-0006-0000-0500-000013000000}">
      <text>
        <r>
          <rPr>
            <b/>
            <sz val="8"/>
            <color indexed="81"/>
            <rFont val="Tahoma"/>
            <family val="2"/>
          </rPr>
          <t xml:space="preserve">SCB: 
</t>
        </r>
        <r>
          <rPr>
            <sz val="8"/>
            <color indexed="81"/>
            <rFont val="Tahoma"/>
            <family val="2"/>
          </rPr>
          <t xml:space="preserve">Summeringen av raderna 986-994 äverensstämmer inte med Finansiella anläggningstillg.i avd. BR, rad 035.
</t>
        </r>
      </text>
    </comment>
    <comment ref="D21" authorId="1" shapeId="0" xr:uid="{00000000-0006-0000-0500-000014000000}">
      <text>
        <r>
          <rPr>
            <b/>
            <sz val="9"/>
            <color indexed="81"/>
            <rFont val="Tahoma"/>
            <family val="2"/>
          </rPr>
          <t>SCB:</t>
        </r>
        <r>
          <rPr>
            <b/>
            <sz val="8"/>
            <color indexed="81"/>
            <rFont val="Tahoma"/>
            <family val="2"/>
          </rPr>
          <t xml:space="preserve"> Samtliga externa entreprenader och konsulter</t>
        </r>
        <r>
          <rPr>
            <sz val="8"/>
            <color indexed="81"/>
            <rFont val="Tahoma"/>
            <family val="2"/>
          </rPr>
          <t xml:space="preserve"> (dvs. externa utförare av investeringsverksamheten, även om de utför hela investeringsarbetet) som ingår i investeringsutgifterna ska redovisas i denna kolumn.</t>
        </r>
        <r>
          <rPr>
            <sz val="9"/>
            <color indexed="81"/>
            <rFont val="Tahoma"/>
            <family val="2"/>
          </rPr>
          <t xml:space="preserve">
</t>
        </r>
      </text>
    </comment>
    <comment ref="G25" authorId="0" shapeId="0" xr:uid="{00000000-0006-0000-0500-000015000000}">
      <text>
        <r>
          <rPr>
            <b/>
            <sz val="8"/>
            <color indexed="81"/>
            <rFont val="Tahoma"/>
            <family val="2"/>
          </rPr>
          <t xml:space="preserve">SCB: 
</t>
        </r>
        <r>
          <rPr>
            <sz val="8"/>
            <color indexed="81"/>
            <rFont val="Tahoma"/>
            <family val="2"/>
          </rPr>
          <t xml:space="preserve">Summan av beloppen i därav-kolumnerna D,E och F ska inte vara större än beloppet i total-kolumnen C.
</t>
        </r>
      </text>
    </comment>
    <comment ref="B65" authorId="1" shapeId="0" xr:uid="{00000000-0006-0000-0500-000016000000}">
      <text>
        <r>
          <rPr>
            <b/>
            <sz val="9"/>
            <color indexed="81"/>
            <rFont val="Tahoma"/>
            <family val="2"/>
          </rPr>
          <t xml:space="preserve">SCB:
</t>
        </r>
        <r>
          <rPr>
            <sz val="8"/>
            <color indexed="81"/>
            <rFont val="Tahoma"/>
            <family val="2"/>
          </rPr>
          <t>Syftet med investeringsredovisningen är att se inom vilka verksamheter investeringar görs.
Därför ska t.ex.</t>
        </r>
        <r>
          <rPr>
            <b/>
            <sz val="9"/>
            <color indexed="81"/>
            <rFont val="Tahoma"/>
            <family val="2"/>
          </rPr>
          <t xml:space="preserve"> </t>
        </r>
        <r>
          <rPr>
            <sz val="8"/>
            <color indexed="81"/>
            <rFont val="Tahoma"/>
            <family val="2"/>
          </rPr>
          <t>investeringar i en ny grundskola ingå på rad 439 även om det är fastighetsförvaltningen eller liknande som tar hand om  skolan. 
Därför finns det, i motsats till driftredovisningen,  i investeringsredovisningen inte någon rad 910, gemensamma lokaler.</t>
        </r>
      </text>
    </comment>
    <comment ref="G66" authorId="0" shapeId="0" xr:uid="{00000000-0006-0000-0500-000017000000}">
      <text>
        <r>
          <rPr>
            <b/>
            <sz val="8"/>
            <color indexed="81"/>
            <rFont val="Tahoma"/>
            <family val="2"/>
          </rPr>
          <t xml:space="preserve">SCB: 
</t>
        </r>
        <r>
          <rPr>
            <sz val="8"/>
            <color indexed="81"/>
            <rFont val="Tahoma"/>
            <family val="2"/>
          </rPr>
          <t>Summan av därav-kolumnerna D-F är låg i förhållande till huvud-kolumnen för investeringsutgifter, kol.C. Det innebär att  egeninvesteringar är relativt stora</t>
        </r>
        <r>
          <rPr>
            <b/>
            <sz val="8"/>
            <color indexed="81"/>
            <rFont val="Tahoma"/>
            <family val="2"/>
          </rPr>
          <t>. 
OBS!  Alla externa entreprenader och konsulter ska ingå i kol D, även om kommunen använder andra kontonummer!
Kommentera vad som ingår i Investeringsutgifter</t>
        </r>
        <r>
          <rPr>
            <sz val="8"/>
            <color indexed="81"/>
            <rFont val="Tahoma"/>
            <family val="2"/>
          </rPr>
          <t xml:space="preserve"> utöver Entreprenader och konsulter, Inköp av maskiner och inventarier och Inköp av mark, byggnader, tekniska anläggningar. 
OBS! I RS finns i investeringsfliken inget "köp av huvudverksamhet" utan det rör sig då om entreprenader/konsulter och detta ingår i kolumn D och ska fördelas på verksamheterna.
</t>
        </r>
      </text>
    </comment>
    <comment ref="B74" authorId="1" shapeId="0" xr:uid="{00000000-0006-0000-0500-000018000000}">
      <text>
        <r>
          <rPr>
            <b/>
            <sz val="9"/>
            <color indexed="81"/>
            <rFont val="Tahoma"/>
            <family val="2"/>
          </rPr>
          <t>SCB:</t>
        </r>
        <r>
          <rPr>
            <sz val="9"/>
            <color indexed="81"/>
            <rFont val="Tahoma"/>
            <family val="2"/>
          </rPr>
          <t xml:space="preserve">
</t>
        </r>
        <r>
          <rPr>
            <sz val="8"/>
            <color indexed="81"/>
            <rFont val="Tahoma"/>
            <family val="2"/>
          </rPr>
          <t>Rad 701 ska innehålla konto 4031.</t>
        </r>
      </text>
    </comment>
    <comment ref="B75" authorId="1" shapeId="0" xr:uid="{00000000-0006-0000-0500-000019000000}">
      <text>
        <r>
          <rPr>
            <b/>
            <sz val="9"/>
            <color indexed="81"/>
            <rFont val="Tahoma"/>
            <family val="2"/>
          </rPr>
          <t>SCB:</t>
        </r>
        <r>
          <rPr>
            <sz val="9"/>
            <color indexed="81"/>
            <rFont val="Tahoma"/>
            <family val="2"/>
          </rPr>
          <t xml:space="preserve">
Här redovisas försäljningspriset av mark oavsett om det är en anläggningstillgång eller omsättningstillgång. Rad 705 ska innehålla konto 372, 379,  del av konto 3821 och 7821.</t>
        </r>
      </text>
    </comment>
    <comment ref="B77" authorId="3" shapeId="0" xr:uid="{00000000-0006-0000-0500-00001A000000}">
      <text>
        <r>
          <rPr>
            <b/>
            <sz val="9"/>
            <color indexed="81"/>
            <rFont val="Tahoma"/>
            <family val="2"/>
          </rPr>
          <t xml:space="preserve">SCB:
</t>
        </r>
        <r>
          <rPr>
            <sz val="9"/>
            <color indexed="81"/>
            <rFont val="Tahoma"/>
            <family val="2"/>
          </rPr>
          <t xml:space="preserve">Exempelvis:
-investeringsbidrag (2388)
-gatukostnadsersättning (3121)
-anslutningsavgift (2383)
-exploateringsersättning (373)
-bidrag/gåvor från privata aktörer (352)
</t>
        </r>
      </text>
    </comment>
    <comment ref="B82" authorId="5" shapeId="0" xr:uid="{2C8920BD-8D32-46AF-8A5D-D2A227EA8FE6}">
      <text>
        <r>
          <rPr>
            <b/>
            <sz val="9"/>
            <color indexed="81"/>
            <rFont val="Tahoma"/>
            <family val="2"/>
          </rPr>
          <t>SCB:</t>
        </r>
        <r>
          <rPr>
            <sz val="9"/>
            <color indexed="81"/>
            <rFont val="Tahoma"/>
            <family val="2"/>
          </rPr>
          <t xml:space="preserve">
</t>
        </r>
        <r>
          <rPr>
            <sz val="8"/>
            <color indexed="81"/>
            <rFont val="Tahoma"/>
            <family val="2"/>
          </rPr>
          <t xml:space="preserve">Innehåller rad 730 annat än gatukostnadsersättningar och anslutningsavgifter från hushållen? Om ja, lämna en kommentar om vad raden innehåller. </t>
        </r>
        <r>
          <rPr>
            <b/>
            <sz val="8"/>
            <color indexed="81"/>
            <rFont val="Tahoma"/>
            <family val="2"/>
          </rPr>
          <t xml:space="preserve">  </t>
        </r>
      </text>
    </comment>
    <comment ref="B94" authorId="3" shapeId="0" xr:uid="{00000000-0006-0000-0500-00001C000000}">
      <text>
        <r>
          <rPr>
            <b/>
            <sz val="9"/>
            <color indexed="81"/>
            <rFont val="Tahoma"/>
            <family val="2"/>
          </rPr>
          <t>SCB:</t>
        </r>
        <r>
          <rPr>
            <sz val="9"/>
            <color indexed="81"/>
            <rFont val="Tahoma"/>
            <family val="2"/>
          </rPr>
          <t xml:space="preserve">
SNI-kod 68-82</t>
        </r>
      </text>
    </comment>
    <comment ref="B95" authorId="3" shapeId="0" xr:uid="{00000000-0006-0000-0500-00001D000000}">
      <text>
        <r>
          <rPr>
            <b/>
            <sz val="9"/>
            <color indexed="81"/>
            <rFont val="Tahoma"/>
            <family val="2"/>
          </rPr>
          <t>SCB:</t>
        </r>
        <r>
          <rPr>
            <sz val="9"/>
            <color indexed="81"/>
            <rFont val="Tahoma"/>
            <family val="2"/>
          </rPr>
          <t xml:space="preserve">
SNI-kod 35-39</t>
        </r>
      </text>
    </comment>
    <comment ref="B96" authorId="3" shapeId="0" xr:uid="{00000000-0006-0000-0500-00001E000000}">
      <text>
        <r>
          <rPr>
            <b/>
            <sz val="9"/>
            <color indexed="81"/>
            <rFont val="Tahoma"/>
            <family val="2"/>
          </rPr>
          <t>SCB:</t>
        </r>
        <r>
          <rPr>
            <sz val="9"/>
            <color indexed="81"/>
            <rFont val="Tahoma"/>
            <family val="2"/>
          </rPr>
          <t xml:space="preserve">
SNI-kod 49-53, 58-63
</t>
        </r>
      </text>
    </comment>
    <comment ref="E98" authorId="1" shapeId="0" xr:uid="{00000000-0006-0000-0500-00001F000000}">
      <text>
        <r>
          <rPr>
            <b/>
            <sz val="9"/>
            <color indexed="81"/>
            <rFont val="Tahoma"/>
            <family val="2"/>
          </rPr>
          <t>SCB:</t>
        </r>
        <r>
          <rPr>
            <sz val="9"/>
            <color indexed="81"/>
            <rFont val="Tahoma"/>
            <family val="2"/>
          </rPr>
          <t xml:space="preserve">
Beloppet på rad 755 kol C är stort i relation till anläggningstillgångarna i balansräkningen. Kontrollera att uppgifterna stämmer och är i 1000-tal kronor. Kommentera orsaken till de stora beloppen ifall de stämmer.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scbelin</author>
    <author>scbingj</author>
    <author>SCB</author>
    <author>Siegrist Elisabeth DFO/OU-Ö</author>
    <author>Mundt Henrik D/INS/OFS-Ö</author>
  </authors>
  <commentList>
    <comment ref="K3" authorId="0" shapeId="0" xr:uid="{00000000-0006-0000-0400-000001000000}">
      <text>
        <r>
          <rPr>
            <sz val="8"/>
            <color indexed="81"/>
            <rFont val="Tahoma"/>
            <family val="2"/>
          </rPr>
          <t xml:space="preserve">
</t>
        </r>
      </text>
    </comment>
    <comment ref="D11" authorId="1" shapeId="0" xr:uid="{00000000-0006-0000-0400-000002000000}">
      <text>
        <r>
          <rPr>
            <b/>
            <sz val="8"/>
            <color indexed="81"/>
            <rFont val="Tahoma"/>
            <family val="2"/>
          </rPr>
          <t>SCB:</t>
        </r>
        <r>
          <rPr>
            <sz val="8"/>
            <color indexed="81"/>
            <rFont val="Tahoma"/>
            <family val="2"/>
          </rPr>
          <t xml:space="preserve">
Raden används när kommunens redovisning avviker från den rekommenderade December prognosen, (se RKR 4.2). Kommunerna kan då redovisa ett resultat som överensstämmer med det egna bokslutet.</t>
        </r>
      </text>
    </comment>
    <comment ref="E11" authorId="2" shapeId="0" xr:uid="{00000000-0006-0000-0400-000003000000}">
      <text>
        <r>
          <rPr>
            <b/>
            <sz val="8"/>
            <color indexed="81"/>
            <rFont val="Tahoma"/>
            <family val="2"/>
          </rPr>
          <t>SCB:</t>
        </r>
        <r>
          <rPr>
            <sz val="8"/>
            <color indexed="81"/>
            <rFont val="Tahoma"/>
            <family val="2"/>
          </rPr>
          <t xml:space="preserve">
Kommentera vilken prognos kommunen istället valt.</t>
        </r>
      </text>
    </comment>
    <comment ref="E12" authorId="3" shapeId="0" xr:uid="{00000000-0006-0000-0400-000004000000}">
      <text>
        <r>
          <rPr>
            <b/>
            <sz val="9"/>
            <color indexed="81"/>
            <rFont val="Tahoma"/>
            <family val="2"/>
          </rPr>
          <t xml:space="preserve">SCB:
</t>
        </r>
        <r>
          <rPr>
            <sz val="8"/>
            <color indexed="81"/>
            <rFont val="Tahoma"/>
            <family val="2"/>
          </rPr>
          <t xml:space="preserve">Kommentera vad beloppet avser. 
</t>
        </r>
      </text>
    </comment>
    <comment ref="L17" authorId="1" shapeId="0" xr:uid="{00000000-0006-0000-0400-000005000000}">
      <text>
        <r>
          <rPr>
            <b/>
            <sz val="8"/>
            <color indexed="81"/>
            <rFont val="Tahoma"/>
            <family val="2"/>
          </rPr>
          <t xml:space="preserve">SCB: </t>
        </r>
        <r>
          <rPr>
            <sz val="8"/>
            <color indexed="81"/>
            <rFont val="Tahoma"/>
            <family val="2"/>
          </rPr>
          <t xml:space="preserve">Summeringen av raderna 800-888 överensstämmer inte med Finansiella intäkter i avd. RR, rad 060.
</t>
        </r>
      </text>
    </comment>
    <comment ref="B27" authorId="3" shapeId="0" xr:uid="{00000000-0006-0000-0400-000006000000}">
      <text>
        <r>
          <rPr>
            <b/>
            <sz val="9"/>
            <color indexed="81"/>
            <rFont val="Tahoma"/>
            <family val="2"/>
          </rPr>
          <t xml:space="preserve">SCB:
</t>
        </r>
        <r>
          <rPr>
            <sz val="8"/>
            <color indexed="81"/>
            <rFont val="Tahoma"/>
            <family val="2"/>
          </rPr>
          <t>Mellankommunal kostnadsutjämning och skatteväxlingsposter ingår inte här utan på rad 640 under skatteintäkter</t>
        </r>
        <r>
          <rPr>
            <b/>
            <sz val="8"/>
            <color indexed="81"/>
            <rFont val="Tahoma"/>
            <family val="2"/>
          </rPr>
          <t xml:space="preserve">
</t>
        </r>
        <r>
          <rPr>
            <sz val="8"/>
            <color indexed="81"/>
            <rFont val="Tahoma"/>
            <family val="2"/>
          </rPr>
          <t xml:space="preserve">
</t>
        </r>
      </text>
    </comment>
    <comment ref="L31" authorId="1" shapeId="0" xr:uid="{00000000-0006-0000-0400-000007000000}">
      <text>
        <r>
          <rPr>
            <b/>
            <sz val="8"/>
            <color indexed="81"/>
            <rFont val="Tahoma"/>
            <family val="2"/>
          </rPr>
          <t xml:space="preserve">SCB: </t>
        </r>
        <r>
          <rPr>
            <sz val="8"/>
            <color indexed="81"/>
            <rFont val="Tahoma"/>
            <family val="2"/>
          </rPr>
          <t xml:space="preserve">Summeringen av raderna 900-998 överensstämmer inte med Finansiella kostnader i avd. RR, rad 070.
</t>
        </r>
      </text>
    </comment>
    <comment ref="D41" authorId="2" shapeId="0" xr:uid="{00000000-0006-0000-0400-000008000000}">
      <text>
        <r>
          <rPr>
            <b/>
            <sz val="8"/>
            <color indexed="81"/>
            <rFont val="Tahoma"/>
            <family val="2"/>
          </rPr>
          <t>SCB:</t>
        </r>
        <r>
          <rPr>
            <sz val="8"/>
            <color indexed="81"/>
            <rFont val="Tahoma"/>
            <family val="2"/>
          </rPr>
          <t xml:space="preserve">
Beloppet avseende fastighetsavgift förprintas men kan ändras ifall att kommunen i sin egen redovisning har ett annat belopp. Kommentera ifall att en ändring görs.</t>
        </r>
      </text>
    </comment>
    <comment ref="E41" authorId="4" shapeId="0" xr:uid="{F271B79A-AA71-453C-8E46-F1BC1732A364}">
      <text>
        <r>
          <rPr>
            <b/>
            <sz val="9"/>
            <color indexed="81"/>
            <rFont val="Tahoma"/>
            <family val="2"/>
          </rPr>
          <t>SCB:</t>
        </r>
        <r>
          <rPr>
            <sz val="9"/>
            <color indexed="81"/>
            <rFont val="Tahoma"/>
            <family val="2"/>
          </rPr>
          <t xml:space="preserve">
Alla kommuner bör ha ett belopp här.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Hallbäck Ismael D/INS/ES-Ö</author>
    <author>Henrik Mundt</author>
    <author>scbingj</author>
    <author>SCB</author>
    <author>Engblom Linnea D/INS/OFS-Ö</author>
  </authors>
  <commentList>
    <comment ref="G3" authorId="0" shapeId="0" xr:uid="{00000000-0006-0000-0600-000001000000}">
      <text>
        <r>
          <rPr>
            <b/>
            <sz val="8"/>
            <color indexed="81"/>
            <rFont val="Tahoma"/>
            <family val="2"/>
          </rPr>
          <t xml:space="preserve">SCB: </t>
        </r>
        <r>
          <rPr>
            <sz val="8"/>
            <color indexed="81"/>
            <rFont val="Tahoma"/>
            <family val="2"/>
          </rPr>
          <t xml:space="preserve">
Förklaringen finns i kommentaren i kolumnhuvudet när det gäller kolumn C. I annat fall finns det en förklaring till kontrollen i kolumn AD.</t>
        </r>
      </text>
    </comment>
    <comment ref="M3" authorId="0" shapeId="0" xr:uid="{00000000-0006-0000-0600-000002000000}">
      <text>
        <r>
          <rPr>
            <sz val="8"/>
            <color indexed="81"/>
            <rFont val="Tahoma"/>
            <family val="2"/>
          </rPr>
          <t xml:space="preserve">
</t>
        </r>
      </text>
    </comment>
    <comment ref="D5" authorId="0" shapeId="0" xr:uid="{00000000-0006-0000-0600-000003000000}">
      <text>
        <r>
          <rPr>
            <b/>
            <sz val="8"/>
            <color indexed="81"/>
            <rFont val="Tahoma"/>
            <family val="2"/>
          </rPr>
          <t xml:space="preserve">SCB: </t>
        </r>
        <r>
          <rPr>
            <sz val="8"/>
            <color indexed="81"/>
            <rFont val="Tahoma"/>
            <family val="2"/>
          </rPr>
          <t xml:space="preserve">
Här ingår:
• Lagstadgade arbetsgivaravgifter
• Avtalsförsäkringar
• Avtalspensioner
Observera:
 • Pensionsutbetalningar intjänade före - 98 ingår inte
 • Beloppen i denna kolumn ska justeras för den del av konto 59, Aktivering av eget arbete vid utveckling av anläggningstillgångar som avser sociala avgifter och pensionskostnader för personalen som jobbar med detta. Justeringen ska göras på samma rad som justeringen av lönekostnaden görs.
</t>
        </r>
      </text>
    </comment>
    <comment ref="J5" authorId="0" shapeId="0" xr:uid="{00000000-0006-0000-0600-000005000000}">
      <text>
        <r>
          <rPr>
            <b/>
            <sz val="8"/>
            <color indexed="81"/>
            <rFont val="Tahoma"/>
            <family val="2"/>
          </rPr>
          <t>SCB:</t>
        </r>
        <r>
          <rPr>
            <sz val="8"/>
            <color indexed="81"/>
            <rFont val="Tahoma"/>
            <family val="2"/>
          </rPr>
          <t xml:space="preserve">
Här redovisas de av kommunen interndebiterade kapitalkostnader. Avskrivningar och räntekostnader som avser finansiell leasing redovisas här om de inte redovisas som internfördelade lokalkostnader.</t>
        </r>
      </text>
    </comment>
    <comment ref="N5" authorId="1" shapeId="0" xr:uid="{00000000-0006-0000-0600-000006000000}">
      <text>
        <r>
          <rPr>
            <b/>
            <sz val="9"/>
            <color indexed="81"/>
            <rFont val="Tahoma"/>
            <family val="2"/>
          </rPr>
          <t xml:space="preserve">SCB:
</t>
        </r>
        <r>
          <rPr>
            <sz val="9"/>
            <color indexed="81"/>
            <rFont val="Tahoma"/>
            <family val="2"/>
          </rPr>
          <t xml:space="preserve">Det är bara gemensam verksamhet på rad 920 som fördelas i dessa två kolumner.
</t>
        </r>
      </text>
    </comment>
    <comment ref="C6" authorId="1" shapeId="0" xr:uid="{00000000-0006-0000-0600-000007000000}">
      <text>
        <r>
          <rPr>
            <b/>
            <sz val="9"/>
            <color indexed="81"/>
            <rFont val="Tahoma"/>
            <family val="2"/>
          </rPr>
          <t>SCB:</t>
        </r>
        <r>
          <rPr>
            <sz val="9"/>
            <color indexed="81"/>
            <rFont val="Tahoma"/>
            <family val="2"/>
          </rPr>
          <t xml:space="preserve">
</t>
        </r>
        <r>
          <rPr>
            <sz val="8"/>
            <color indexed="81"/>
            <rFont val="Tahoma"/>
            <family val="2"/>
          </rPr>
          <t xml:space="preserve">När det gäller "del av 59" så avses den delen av aktivering av eget arbete vid utveckling av anläggnings- och omsättningstillgångar samt övriga lönejusteringar som kan kopplas till personal som jobbar med investeringar eller exploatering etc. som inte ska räknas in i driftredovisningen. De delar av kontona som avser sociala avgifter och pensionskostnader för denna personal ska även ingå i kolumn D Kalkylerade PO och på rad 975 och 980 i slutet av driftredovisningen.
Uppdelningen kan vid behov göras med hjälp av schabloner. </t>
        </r>
        <r>
          <rPr>
            <sz val="9"/>
            <color indexed="81"/>
            <rFont val="Tahoma"/>
            <family val="2"/>
          </rPr>
          <t xml:space="preserve">
</t>
        </r>
      </text>
    </comment>
    <comment ref="E6" authorId="2" shapeId="0" xr:uid="{106143AE-83E9-4514-B5AF-6F165A5D4584}">
      <text>
        <r>
          <rPr>
            <b/>
            <sz val="9"/>
            <color indexed="81"/>
            <rFont val="Tahoma"/>
            <charset val="1"/>
          </rPr>
          <t>SCB:</t>
        </r>
        <r>
          <rPr>
            <sz val="9"/>
            <color indexed="81"/>
            <rFont val="Tahoma"/>
            <charset val="1"/>
          </rPr>
          <t xml:space="preserve">
Lagt till 697 i kontohänvisningen</t>
        </r>
      </text>
    </comment>
    <comment ref="G6" authorId="2" shapeId="0" xr:uid="{8FEC14A3-EB29-4ABF-90B2-BA14031FD2D4}">
      <text>
        <r>
          <rPr>
            <b/>
            <sz val="9"/>
            <color indexed="81"/>
            <rFont val="Tahoma"/>
            <charset val="1"/>
          </rPr>
          <t>SCB:</t>
        </r>
        <r>
          <rPr>
            <sz val="9"/>
            <color indexed="81"/>
            <rFont val="Tahoma"/>
            <charset val="1"/>
          </rPr>
          <t xml:space="preserve">
Lagt till ej 697</t>
        </r>
      </text>
    </comment>
    <comment ref="J6" authorId="3" shapeId="0" xr:uid="{00000000-0006-0000-0600-000009000000}">
      <text>
        <r>
          <rPr>
            <b/>
            <sz val="9"/>
            <color indexed="81"/>
            <rFont val="Tahoma"/>
            <family val="2"/>
          </rPr>
          <t>SCB:</t>
        </r>
        <r>
          <rPr>
            <sz val="9"/>
            <color indexed="81"/>
            <rFont val="Tahoma"/>
            <family val="2"/>
          </rPr>
          <t xml:space="preserve">
Här ingår avskrivningar och interna räntekostnader. Observera att kommuner kan använda andra kontonummer för sina interna räntekostnader.
</t>
        </r>
      </text>
    </comment>
    <comment ref="L6" authorId="3" shapeId="0" xr:uid="{00000000-0006-0000-0600-00000A000000}">
      <text>
        <r>
          <rPr>
            <b/>
            <sz val="9"/>
            <color indexed="81"/>
            <rFont val="Tahoma"/>
            <family val="2"/>
          </rPr>
          <t>SCB:</t>
        </r>
        <r>
          <rPr>
            <sz val="9"/>
            <color indexed="81"/>
            <rFont val="Tahoma"/>
            <family val="2"/>
          </rPr>
          <t xml:space="preserve">
Observera att kommuner kan använda andra kontonummer för sina interna lokalkostnader.</t>
        </r>
      </text>
    </comment>
    <comment ref="R6" authorId="1" shapeId="0" xr:uid="{00000000-0006-0000-0600-00000B000000}">
      <text>
        <r>
          <rPr>
            <b/>
            <sz val="9"/>
            <color indexed="81"/>
            <rFont val="Tahoma"/>
            <family val="2"/>
          </rPr>
          <t xml:space="preserve">SCB:
</t>
        </r>
        <r>
          <rPr>
            <sz val="8"/>
            <color indexed="81"/>
            <rFont val="Tahoma"/>
            <family val="2"/>
          </rPr>
          <t>Även frikontogrupperna 32 och 33 ingår om de avser taxor och avgifter</t>
        </r>
        <r>
          <rPr>
            <sz val="9"/>
            <color indexed="81"/>
            <rFont val="Tahoma"/>
            <family val="2"/>
          </rPr>
          <t xml:space="preserve">
</t>
        </r>
      </text>
    </comment>
    <comment ref="AD23" authorId="4" shapeId="0" xr:uid="{00000000-0006-0000-0600-00000C000000}">
      <text>
        <r>
          <rPr>
            <b/>
            <sz val="8"/>
            <color indexed="81"/>
            <rFont val="Tahoma"/>
            <family val="2"/>
          </rPr>
          <t xml:space="preserve">SCB:
Kommentera köp av huvudverksamhet: </t>
        </r>
        <r>
          <rPr>
            <sz val="8"/>
            <color indexed="81"/>
            <rFont val="Tahoma"/>
            <family val="2"/>
          </rPr>
          <t xml:space="preserve">Beloppet i kol. F, köp av huvudverksamhet är lågt i förhållande till beloppet i kol. G. Observera att skötsel av allmänna gator etc. inkl. snöröjning och sandning enligt KommunBas vanligtvis ses som köp av huvudverksamhet (se kontoplan).
</t>
        </r>
        <r>
          <rPr>
            <b/>
            <sz val="8"/>
            <color indexed="81"/>
            <rFont val="Tahoma"/>
            <family val="2"/>
          </rPr>
          <t xml:space="preserve">
Bidrag till infrastr.saknas på rad 249: </t>
        </r>
        <r>
          <rPr>
            <sz val="8"/>
            <color indexed="81"/>
            <rFont val="Tahoma"/>
            <family val="2"/>
          </rPr>
          <t xml:space="preserve">i Verskamhetens intäkter och kostnader redovisas på konto 454 ett högre belopp än på rad 249, Väg- och järnvägsnät, parkering. Bidrag till infrastruktur ska ingå på rad 249 i driften!
</t>
        </r>
        <r>
          <rPr>
            <b/>
            <sz val="8"/>
            <color indexed="81"/>
            <rFont val="Tahoma"/>
            <family val="2"/>
          </rPr>
          <t xml:space="preserve">
Belopp saknas: </t>
        </r>
        <r>
          <rPr>
            <sz val="8"/>
            <color indexed="81"/>
            <rFont val="Tahoma"/>
            <family val="2"/>
          </rPr>
          <t>På denna verksamhet borde det finnas kostnader.</t>
        </r>
      </text>
    </comment>
    <comment ref="AD28" authorId="4" shapeId="0" xr:uid="{00000000-0006-0000-0600-00000D000000}">
      <text>
        <r>
          <rPr>
            <b/>
            <sz val="8"/>
            <color indexed="81"/>
            <rFont val="Tahoma"/>
            <family val="2"/>
          </rPr>
          <t>SCB:</t>
        </r>
        <r>
          <rPr>
            <sz val="8"/>
            <color indexed="81"/>
            <rFont val="Tahoma"/>
            <family val="2"/>
          </rPr>
          <t xml:space="preserve"> På denna verksamhet borde det finnas kostnader.</t>
        </r>
      </text>
    </comment>
    <comment ref="AD47" authorId="0" shapeId="0" xr:uid="{00000000-0006-0000-0600-00000E000000}">
      <text>
        <r>
          <rPr>
            <b/>
            <sz val="8"/>
            <color indexed="81"/>
            <rFont val="Tahoma"/>
            <family val="2"/>
          </rPr>
          <t>SCB:</t>
        </r>
        <r>
          <rPr>
            <sz val="8"/>
            <color indexed="81"/>
            <rFont val="Tahoma"/>
            <family val="2"/>
          </rPr>
          <t xml:space="preserve"> 
Vid köp av platser från t.ex. annan kommun eller i enskild regi (s.k. kommunalt bidrag) redovisas detta i RS som </t>
        </r>
        <r>
          <rPr>
            <b/>
            <sz val="8"/>
            <color indexed="81"/>
            <rFont val="Tahoma"/>
            <family val="2"/>
          </rPr>
          <t xml:space="preserve">köp av verksamhet i kolumn F </t>
        </r>
        <r>
          <rPr>
            <sz val="8"/>
            <color indexed="81"/>
            <rFont val="Tahoma"/>
            <family val="2"/>
          </rPr>
          <t>och</t>
        </r>
        <r>
          <rPr>
            <b/>
            <sz val="8"/>
            <color indexed="81"/>
            <rFont val="Tahoma"/>
            <family val="2"/>
          </rPr>
          <t xml:space="preserve"> inte som bidrag</t>
        </r>
        <r>
          <rPr>
            <sz val="8"/>
            <color indexed="81"/>
            <rFont val="Tahoma"/>
            <family val="2"/>
          </rPr>
          <t xml:space="preserve"> i kolumn H. Detta gäller såväl förskolan på rad 407 som fritidshem rad 425.</t>
        </r>
      </text>
    </comment>
    <comment ref="AD48" authorId="0" shapeId="0" xr:uid="{00000000-0006-0000-0600-00000F000000}">
      <text>
        <r>
          <rPr>
            <b/>
            <sz val="8"/>
            <color indexed="81"/>
            <rFont val="Tahoma"/>
            <family val="2"/>
          </rPr>
          <t>SCB:</t>
        </r>
        <r>
          <rPr>
            <sz val="8"/>
            <color indexed="81"/>
            <rFont val="Tahoma"/>
            <family val="2"/>
          </rPr>
          <t xml:space="preserve">
</t>
        </r>
        <r>
          <rPr>
            <b/>
            <sz val="8"/>
            <color indexed="81"/>
            <rFont val="Tahoma"/>
            <family val="2"/>
          </rPr>
          <t xml:space="preserve">Kommentera Taxor o avgifter: </t>
        </r>
        <r>
          <rPr>
            <sz val="8"/>
            <color indexed="81"/>
            <rFont val="Tahoma"/>
            <family val="2"/>
          </rPr>
          <t xml:space="preserve">
Taxor och avgifter för barn inom pedagogisk omsorg ska redovisas på rad 412.</t>
        </r>
      </text>
    </comment>
    <comment ref="AD50" authorId="0" shapeId="0" xr:uid="{00000000-0006-0000-0600-000010000000}">
      <text>
        <r>
          <rPr>
            <b/>
            <sz val="8"/>
            <color indexed="81"/>
            <rFont val="Tahoma"/>
            <family val="2"/>
          </rPr>
          <t>SCB</t>
        </r>
        <r>
          <rPr>
            <sz val="8"/>
            <color indexed="81"/>
            <rFont val="Tahoma"/>
            <family val="2"/>
          </rPr>
          <t>: Alla riktade statsbidrag avseende förskoleverksamhet ska redovisas på rätt rad i driften. Avviker kommunens redovisade belopp från de förprintade ska orsaken anges i kommentarrutan.</t>
        </r>
        <r>
          <rPr>
            <sz val="8"/>
            <color indexed="81"/>
            <rFont val="Tahoma"/>
            <family val="2"/>
          </rPr>
          <t xml:space="preserve">
</t>
        </r>
      </text>
    </comment>
    <comment ref="F51" authorId="0" shapeId="0" xr:uid="{00000000-0006-0000-0600-000011000000}">
      <text>
        <r>
          <rPr>
            <b/>
            <sz val="8"/>
            <color indexed="81"/>
            <rFont val="Tahoma"/>
            <family val="2"/>
          </rPr>
          <t>SCB:</t>
        </r>
        <r>
          <rPr>
            <sz val="8"/>
            <color indexed="81"/>
            <rFont val="Tahoma"/>
            <family val="2"/>
          </rPr>
          <t xml:space="preserve"> Observera att bara köp av huvudverksamhet, dvs. köp av hela platser ska ingå i denna kolumn. Beloppen inom avdelning Pedagogisk verksamhet blir fel om annat redovisas här.
</t>
        </r>
      </text>
    </comment>
    <comment ref="AD51" authorId="4" shapeId="0" xr:uid="{00000000-0006-0000-0600-000012000000}">
      <text>
        <r>
          <rPr>
            <b/>
            <sz val="8"/>
            <color indexed="81"/>
            <rFont val="Tahoma"/>
            <family val="2"/>
          </rPr>
          <t>SCB:</t>
        </r>
        <r>
          <rPr>
            <sz val="8"/>
            <color indexed="81"/>
            <rFont val="Tahoma"/>
            <family val="2"/>
          </rPr>
          <t xml:space="preserve">
Alla riktade statsbidrag avseende förskoleverksamhet ska redovisas på rätt rad i driften. Avviker kommunens redovisade belopp från de förprintade ska orsaken anges i kommentarrutan.
</t>
        </r>
        <r>
          <rPr>
            <b/>
            <sz val="8"/>
            <color indexed="81"/>
            <rFont val="Tahoma"/>
            <family val="2"/>
          </rPr>
          <t xml:space="preserve">"Kommentera förändringen": </t>
        </r>
        <r>
          <rPr>
            <sz val="8"/>
            <color indexed="81"/>
            <rFont val="Tahoma"/>
            <family val="2"/>
          </rPr>
          <t xml:space="preserve">
Nyckeltalet avviker stort från föregående år. Kontrollera om det stämmer och skriv i så fall vad förändringen beror på.</t>
        </r>
        <r>
          <rPr>
            <sz val="8"/>
            <color indexed="81"/>
            <rFont val="Tahoma"/>
            <family val="2"/>
          </rPr>
          <t xml:space="preserve">
</t>
        </r>
      </text>
    </comment>
    <comment ref="AD53" authorId="0" shapeId="0" xr:uid="{00000000-0006-0000-0600-000013000000}">
      <text>
        <r>
          <rPr>
            <b/>
            <sz val="8"/>
            <color indexed="81"/>
            <rFont val="Tahoma"/>
            <family val="2"/>
          </rPr>
          <t>SCB:</t>
        </r>
        <r>
          <rPr>
            <sz val="8"/>
            <color indexed="81"/>
            <rFont val="Tahoma"/>
            <family val="2"/>
          </rPr>
          <t xml:space="preserve"> Förskoleklassen är en del av skolväsendet och är avgiftsfri! Därför ska det inte finnas några taxor/avgifter. Förskoleklass ska inte förväxlas med förskoleverksamheten!</t>
        </r>
        <r>
          <rPr>
            <sz val="8"/>
            <color indexed="81"/>
            <rFont val="Tahoma"/>
            <family val="2"/>
          </rPr>
          <t xml:space="preserve">
</t>
        </r>
      </text>
    </comment>
    <comment ref="F58" authorId="0" shapeId="0" xr:uid="{00000000-0006-0000-0600-000014000000}">
      <text>
        <r>
          <rPr>
            <b/>
            <sz val="8"/>
            <color indexed="81"/>
            <rFont val="Tahoma"/>
            <family val="2"/>
          </rPr>
          <t xml:space="preserve">SCB:
</t>
        </r>
        <r>
          <rPr>
            <sz val="8"/>
            <color indexed="81"/>
            <rFont val="Tahoma"/>
            <family val="2"/>
          </rPr>
          <t xml:space="preserve">Observera att bara köp av huvudverksamhet, dvs. köp av hela skolplatser ska ingå i denna kolumn. Beloppenl inom avdelning Pedagogisk verksamhet blir fel om annat redovisas här.
</t>
        </r>
      </text>
    </comment>
    <comment ref="AD70" authorId="1" shapeId="0" xr:uid="{00000000-0006-0000-0600-000015000000}">
      <text>
        <r>
          <rPr>
            <b/>
            <sz val="9"/>
            <color indexed="81"/>
            <rFont val="Tahoma"/>
            <family val="2"/>
          </rPr>
          <t xml:space="preserve">SCB:
</t>
        </r>
        <r>
          <rPr>
            <sz val="8"/>
            <color indexed="81"/>
            <rFont val="Tahoma"/>
            <family val="2"/>
          </rPr>
          <t>Stämmer det att kommunen bedriver primärvård? Kommentera detta i så fall.</t>
        </r>
        <r>
          <rPr>
            <sz val="9"/>
            <color indexed="81"/>
            <rFont val="Tahoma"/>
            <family val="2"/>
          </rPr>
          <t xml:space="preserve">
</t>
        </r>
      </text>
    </comment>
    <comment ref="AD71" authorId="1" shapeId="0" xr:uid="{00000000-0006-0000-0600-000016000000}">
      <text>
        <r>
          <rPr>
            <b/>
            <sz val="9"/>
            <color indexed="81"/>
            <rFont val="Tahoma"/>
            <family val="2"/>
          </rPr>
          <t xml:space="preserve">SCB:
</t>
        </r>
        <r>
          <rPr>
            <sz val="8"/>
            <color indexed="81"/>
            <rFont val="Tahoma"/>
            <family val="2"/>
          </rPr>
          <t>Här ingår i förekommenade fall bara hälso- och sjukvård som inte ska redovisas på någon av raderna 510, 520 och 513. 
Kommentera vad beloppen avser.</t>
        </r>
        <r>
          <rPr>
            <sz val="9"/>
            <color indexed="81"/>
            <rFont val="Tahoma"/>
            <family val="2"/>
          </rPr>
          <t xml:space="preserve">
</t>
        </r>
      </text>
    </comment>
    <comment ref="AD73" authorId="1" shapeId="0" xr:uid="{00000000-0006-0000-0600-000017000000}">
      <text>
        <r>
          <rPr>
            <b/>
            <sz val="9"/>
            <color indexed="81"/>
            <rFont val="Tahoma"/>
            <family val="2"/>
          </rPr>
          <t xml:space="preserve">SCB:
</t>
        </r>
        <r>
          <rPr>
            <b/>
            <sz val="8"/>
            <color indexed="81"/>
            <rFont val="Tahoma"/>
            <family val="2"/>
          </rPr>
          <t xml:space="preserve">"Kommentera taxor och avgifter": </t>
        </r>
        <r>
          <rPr>
            <sz val="8"/>
            <color indexed="81"/>
            <rFont val="Tahoma"/>
            <family val="2"/>
          </rPr>
          <t>Taxor och avgifter borde finnas om verksamheten bedrivs (helt eller delvis) i egen regi.</t>
        </r>
        <r>
          <rPr>
            <sz val="9"/>
            <color indexed="81"/>
            <rFont val="Tahoma"/>
            <family val="2"/>
          </rPr>
          <t xml:space="preserve">
</t>
        </r>
      </text>
    </comment>
    <comment ref="AD74" authorId="1" shapeId="0" xr:uid="{00000000-0006-0000-0600-000018000000}">
      <text>
        <r>
          <rPr>
            <b/>
            <sz val="9"/>
            <color indexed="81"/>
            <rFont val="Tahoma"/>
            <family val="2"/>
          </rPr>
          <t xml:space="preserve">SCB:
</t>
        </r>
        <r>
          <rPr>
            <b/>
            <sz val="8"/>
            <color indexed="81"/>
            <rFont val="Tahoma"/>
            <family val="2"/>
          </rPr>
          <t xml:space="preserve">"Kommentera taxor och avgifter": 
</t>
        </r>
        <r>
          <rPr>
            <sz val="8"/>
            <color indexed="81"/>
            <rFont val="Tahoma"/>
            <family val="2"/>
          </rPr>
          <t>Taxor och avgifter borde finnas om verksamheten bedrivs (helt eller delvis) i egen regi.</t>
        </r>
        <r>
          <rPr>
            <sz val="9"/>
            <color indexed="81"/>
            <rFont val="Tahoma"/>
            <family val="2"/>
          </rPr>
          <t xml:space="preserve">
</t>
        </r>
      </text>
    </comment>
    <comment ref="AD76" authorId="4" shapeId="0" xr:uid="{00000000-0006-0000-0600-000019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På denna verksamhet borde det finnas kostnader.
</t>
        </r>
        <r>
          <rPr>
            <b/>
            <sz val="8"/>
            <color indexed="81"/>
            <rFont val="Tahoma"/>
            <family val="2"/>
          </rPr>
          <t xml:space="preserve">"Kommentera taxor och avgifter": </t>
        </r>
        <r>
          <rPr>
            <sz val="8"/>
            <color indexed="81"/>
            <rFont val="Tahoma"/>
            <family val="2"/>
          </rPr>
          <t>Taxor och avgifter borde finnas om verksamheten bedrivs (helt eller delvis) i egen regi.</t>
        </r>
      </text>
    </comment>
    <comment ref="AD78" authorId="5" shapeId="0" xr:uid="{00000000-0006-0000-0600-00001A000000}">
      <text>
        <r>
          <rPr>
            <b/>
            <sz val="8"/>
            <color indexed="81"/>
            <rFont val="Tahoma"/>
            <family val="2"/>
          </rPr>
          <t xml:space="preserve">SCB: </t>
        </r>
        <r>
          <rPr>
            <sz val="8"/>
            <color indexed="81"/>
            <rFont val="Tahoma"/>
            <family val="2"/>
          </rPr>
          <t xml:space="preserve">Kontrollen avser underlaget till </t>
        </r>
        <r>
          <rPr>
            <b/>
            <sz val="8"/>
            <color indexed="81"/>
            <rFont val="Tahoma"/>
            <family val="2"/>
          </rPr>
          <t>Personalkostnadstindexet</t>
        </r>
        <r>
          <rPr>
            <sz val="8"/>
            <color indexed="81"/>
            <rFont val="Tahoma"/>
            <family val="2"/>
          </rPr>
          <t xml:space="preserve"> som används vid </t>
        </r>
        <r>
          <rPr>
            <b/>
            <sz val="8"/>
            <color indexed="81"/>
            <rFont val="Tahoma"/>
            <family val="2"/>
          </rPr>
          <t>LSS-utjämningen</t>
        </r>
        <r>
          <rPr>
            <sz val="8"/>
            <color indexed="81"/>
            <rFont val="Tahoma"/>
            <family val="2"/>
          </rPr>
          <t xml:space="preserve"> och som  beräknas utifrån de grönmarkerade cellerna på </t>
        </r>
        <r>
          <rPr>
            <b/>
            <sz val="8"/>
            <color indexed="81"/>
            <rFont val="Tahoma"/>
            <family val="2"/>
          </rPr>
          <t>rad 513 i driften samt i verksamhetens intäkter och kostnader och Äldre- och  funktionshinderomsorg</t>
        </r>
        <r>
          <rPr>
            <sz val="8"/>
            <color indexed="81"/>
            <rFont val="Tahoma"/>
            <family val="2"/>
          </rPr>
          <t xml:space="preserve">. Kontrollen visas eftersom förändringen av detta underlag är större än ett givet intervall. </t>
        </r>
        <r>
          <rPr>
            <b/>
            <sz val="8"/>
            <color indexed="81"/>
            <rFont val="Tahoma"/>
            <family val="2"/>
          </rPr>
          <t>Kontrollera de gröna cellerna i blanketten mot förra årets uppgifter!</t>
        </r>
        <r>
          <rPr>
            <sz val="8"/>
            <color indexed="81"/>
            <rFont val="Tahoma"/>
            <family val="2"/>
          </rPr>
          <t xml:space="preserve"> Stämmer förändringen ska orsaken till den anges i kommentarsrutan!
Föregående års uppgift avser tidigare lämnad uppgift i RS uppräknad med KPI för innevarande år, för att få förra årets personalomkostnadsindex i årets penningvärde.
 </t>
        </r>
      </text>
    </comment>
    <comment ref="AD100" authorId="1" shapeId="0" xr:uid="{00000000-0006-0000-0600-00001B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4" authorId="1" shapeId="0" xr:uid="{00000000-0006-0000-0600-00001C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5" authorId="1" shapeId="0" xr:uid="{00000000-0006-0000-0600-00001D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6" authorId="1" shapeId="0" xr:uid="{00000000-0006-0000-0600-00001E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7" authorId="1" shapeId="0" xr:uid="{00000000-0006-0000-0600-00001F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D112" authorId="1" shapeId="0" xr:uid="{00000000-0006-0000-0600-000020000000}">
      <text>
        <r>
          <rPr>
            <b/>
            <sz val="8"/>
            <color indexed="81"/>
            <rFont val="Tahoma"/>
            <family val="2"/>
          </rPr>
          <t xml:space="preserve">SCB: </t>
        </r>
        <r>
          <rPr>
            <sz val="8"/>
            <color indexed="81"/>
            <rFont val="Tahoma"/>
            <family val="2"/>
          </rPr>
          <t xml:space="preserve">
Observera att eventuella justeringar av summan kalkylerade PO inte ska göras här utan på de enskilda verksamheterna, eventuellt med hjälp av schabloner. 
De </t>
        </r>
        <r>
          <rPr>
            <b/>
            <sz val="8"/>
            <color indexed="81"/>
            <rFont val="Tahoma"/>
            <family val="2"/>
          </rPr>
          <t>faktiska personalomkostnade</t>
        </r>
        <r>
          <rPr>
            <sz val="8"/>
            <color indexed="81"/>
            <rFont val="Tahoma"/>
            <family val="2"/>
          </rPr>
          <t xml:space="preserve">r ska redovisas </t>
        </r>
        <r>
          <rPr>
            <b/>
            <sz val="8"/>
            <color indexed="81"/>
            <rFont val="Tahoma"/>
            <family val="2"/>
          </rPr>
          <t xml:space="preserve">på respektive verksamhet </t>
        </r>
        <r>
          <rPr>
            <sz val="8"/>
            <color indexed="81"/>
            <rFont val="Tahoma"/>
            <family val="2"/>
          </rPr>
          <t>om kommunen via sitt lönesystem kan få fram dem.</t>
        </r>
      </text>
    </comment>
    <comment ref="V112" authorId="1" shapeId="0" xr:uid="{00000000-0006-0000-0600-000021000000}">
      <text>
        <r>
          <rPr>
            <b/>
            <sz val="9"/>
            <color indexed="81"/>
            <rFont val="Tahoma"/>
            <family val="2"/>
          </rPr>
          <t xml:space="preserve">SCB:
</t>
        </r>
        <r>
          <rPr>
            <b/>
            <sz val="8"/>
            <color indexed="81"/>
            <rFont val="Tahoma"/>
            <family val="2"/>
          </rPr>
          <t>De interna intäkterna</t>
        </r>
        <r>
          <rPr>
            <sz val="8"/>
            <color indexed="81"/>
            <rFont val="Tahoma"/>
            <family val="2"/>
          </rPr>
          <t xml:space="preserve"> som verksamhet 920 erhållit från de andra verksamheterna kan inte fyllas i här utan </t>
        </r>
        <r>
          <rPr>
            <b/>
            <sz val="8"/>
            <color indexed="81"/>
            <rFont val="Tahoma"/>
            <family val="2"/>
          </rPr>
          <t xml:space="preserve">ska redovisas på rad 924 (Excelcell I118) </t>
        </r>
        <r>
          <rPr>
            <sz val="9"/>
            <color indexed="81"/>
            <rFont val="Tahoma"/>
            <family val="2"/>
          </rPr>
          <t xml:space="preserve">
</t>
        </r>
      </text>
    </comment>
    <comment ref="AD112" authorId="1" shapeId="0" xr:uid="{00000000-0006-0000-0600-000022000000}">
      <text>
        <r>
          <rPr>
            <b/>
            <sz val="9"/>
            <color indexed="81"/>
            <rFont val="Tahoma"/>
            <family val="2"/>
          </rPr>
          <t xml:space="preserve">SCB:
</t>
        </r>
        <r>
          <rPr>
            <sz val="9"/>
            <color indexed="81"/>
            <rFont val="Tahoma"/>
            <family val="2"/>
          </rPr>
          <t xml:space="preserve">OBS! </t>
        </r>
        <r>
          <rPr>
            <sz val="8"/>
            <color indexed="81"/>
            <rFont val="Tahoma"/>
            <family val="2"/>
          </rPr>
          <t>raden ska inte användas för justering av för höga eller för låga PO på andra verksamheter utan justeringarna ska göras direkt på rätt verksamhet! Vilket innebär att om det finns en differens mellan det PO som har fördelats ut internt på verksamheterna och kommunens faktiska kostnader för PO, behöver en schablonmässig justering istället göras på respektive verksamhetsrad.</t>
        </r>
        <r>
          <rPr>
            <sz val="9"/>
            <color indexed="81"/>
            <rFont val="Tahoma"/>
            <family val="2"/>
          </rPr>
          <t xml:space="preserve">
</t>
        </r>
      </text>
    </comment>
    <comment ref="D114" authorId="1" shapeId="0" xr:uid="{00000000-0006-0000-0600-000023000000}">
      <text>
        <r>
          <rPr>
            <b/>
            <sz val="9"/>
            <color indexed="81"/>
            <rFont val="Tahoma"/>
            <family val="2"/>
          </rPr>
          <t xml:space="preserve">SCB:
</t>
        </r>
        <r>
          <rPr>
            <sz val="8"/>
            <color indexed="81"/>
            <rFont val="Tahoma"/>
            <family val="2"/>
          </rPr>
          <t>Pensionsutbetalningar ska inte ingå här utan bara på rad 975 eftersom pensionsutbetalningar inte ska påverka driftverksamheterna på rad 100-950.</t>
        </r>
        <r>
          <rPr>
            <sz val="9"/>
            <color indexed="81"/>
            <rFont val="Tahoma"/>
            <family val="2"/>
          </rPr>
          <t xml:space="preserve">
</t>
        </r>
      </text>
    </comment>
    <comment ref="AD114" authorId="3" shapeId="0" xr:uid="{00000000-0006-0000-0600-000024000000}">
      <text>
        <r>
          <rPr>
            <b/>
            <sz val="9"/>
            <color indexed="81"/>
            <rFont val="Tahoma"/>
            <family val="2"/>
          </rPr>
          <t xml:space="preserve">SCB:
</t>
        </r>
        <r>
          <rPr>
            <sz val="9"/>
            <color indexed="81"/>
            <rFont val="Tahoma"/>
            <family val="2"/>
          </rPr>
          <t>Interna räntekostnader ska redovisas i kolumn "Kalkylerade</t>
        </r>
        <r>
          <rPr>
            <b/>
            <sz val="9"/>
            <color indexed="81"/>
            <rFont val="Tahoma"/>
            <family val="2"/>
          </rPr>
          <t xml:space="preserve"> </t>
        </r>
        <r>
          <rPr>
            <sz val="9"/>
            <color indexed="81"/>
            <rFont val="Tahoma"/>
            <family val="2"/>
          </rPr>
          <t>kapitalkostnader".</t>
        </r>
        <r>
          <rPr>
            <b/>
            <sz val="9"/>
            <color indexed="81"/>
            <rFont val="Tahoma"/>
            <family val="2"/>
          </rPr>
          <t xml:space="preserve">
</t>
        </r>
        <r>
          <rPr>
            <sz val="9"/>
            <color indexed="81"/>
            <rFont val="Tahoma"/>
            <family val="2"/>
          </rPr>
          <t>Kontrollen faller ut om Kalkylerade kapitalkostnader är lika med eller mindre än Avskrivningar och nedskrivningar i RR.</t>
        </r>
      </text>
    </comment>
    <comment ref="AD115" authorId="1" shapeId="0" xr:uid="{00000000-0006-0000-0600-000025000000}">
      <text>
        <r>
          <rPr>
            <b/>
            <sz val="9"/>
            <color indexed="81"/>
            <rFont val="Tahoma"/>
            <family val="2"/>
          </rPr>
          <t xml:space="preserve">SCB:
</t>
        </r>
        <r>
          <rPr>
            <sz val="8"/>
            <color indexed="81"/>
            <rFont val="Tahoma"/>
            <family val="2"/>
          </rPr>
          <t xml:space="preserve">Beloppet i kolumn H, Lämnade Bidrag på rad 920, gemensamma verksamheter, är relativt stort. Kommentera vad det är för bidrag som redovisas här.  </t>
        </r>
        <r>
          <rPr>
            <sz val="9"/>
            <color indexed="81"/>
            <rFont val="Tahoma"/>
            <family val="2"/>
          </rPr>
          <t xml:space="preserve">
</t>
        </r>
      </text>
    </comment>
    <comment ref="X116" authorId="6" shapeId="0" xr:uid="{F9211BD4-897D-46CA-9BF4-40540CA627B9}">
      <text>
        <r>
          <rPr>
            <b/>
            <sz val="9"/>
            <color indexed="81"/>
            <rFont val="Tahoma"/>
            <family val="2"/>
          </rPr>
          <t xml:space="preserve">SCB: </t>
        </r>
        <r>
          <rPr>
            <sz val="9"/>
            <color indexed="81"/>
            <rFont val="Tahoma"/>
            <family val="2"/>
          </rPr>
          <t>Totalbeloppen för de interna kostnaderna och de interna intäkterna i driftredovisningen ska vara lika stora. Bara interna poster inom 
driftverksamheterna ska finnas med.
Det som är en intern intäkt i en verksamhet borde vara en intern kostnad för den andra verksamheten.</t>
        </r>
      </text>
    </comment>
    <comment ref="W117" authorId="1" shapeId="0" xr:uid="{00000000-0006-0000-0600-000026000000}">
      <text>
        <r>
          <rPr>
            <b/>
            <sz val="9"/>
            <color indexed="81"/>
            <rFont val="Tahoma"/>
            <family val="2"/>
          </rPr>
          <t>SCB:</t>
        </r>
        <r>
          <rPr>
            <sz val="9"/>
            <color indexed="81"/>
            <rFont val="Tahoma"/>
            <family val="2"/>
          </rPr>
          <t xml:space="preserve">
Här ingår även konto 373 ersättning från exploatören som tas ut enligt PBL 6 kap 39-42§§ och avser att finansiera investeringar i t.ex. gator och allmän platsmark i samband med exploatering.</t>
        </r>
      </text>
    </comment>
    <comment ref="I118" authorId="1" shapeId="0" xr:uid="{00000000-0006-0000-0600-000027000000}">
      <text>
        <r>
          <rPr>
            <b/>
            <sz val="9"/>
            <color indexed="81"/>
            <rFont val="Tahoma"/>
            <family val="2"/>
          </rPr>
          <t xml:space="preserve">SCB:
</t>
        </r>
        <r>
          <rPr>
            <sz val="8"/>
            <color indexed="81"/>
            <rFont val="Tahoma"/>
            <family val="2"/>
          </rPr>
          <t>Här anges summan av beloppen som ingår som interna kostnader på verksamheterna 100-910 (vanligtvis i kolumn M) vilket samtidigt borde motsvara de interna intäkterna som verksamhet 920 har. Läs mer om detta i Instruktionerna under rubriken "Fördelning av rad 920 Gemensamma verksamheter"</t>
        </r>
        <r>
          <rPr>
            <sz val="9"/>
            <color indexed="81"/>
            <rFont val="Tahoma"/>
            <family val="2"/>
          </rPr>
          <t xml:space="preserve">
</t>
        </r>
      </text>
    </comment>
    <comment ref="L118" authorId="1" shapeId="0" xr:uid="{00000000-0006-0000-0600-000028000000}">
      <text>
        <r>
          <rPr>
            <b/>
            <sz val="9"/>
            <color indexed="81"/>
            <rFont val="Tahoma"/>
            <family val="2"/>
          </rPr>
          <t>SCB:</t>
        </r>
        <r>
          <rPr>
            <sz val="9"/>
            <color indexed="81"/>
            <rFont val="Tahoma"/>
            <family val="2"/>
          </rPr>
          <t xml:space="preserve">
Raden innehåller även del av konton i kontogrupp 59, aktivering av eget arbete vid utveckling av anläggnings- och omsättningstillgångar samt övriga lönejusteringar. Det är den delen av kontot som avser justering av sociala avgifter, pensionsförsäkringspremier,  förvaltningsavgifter och pensionskostnad, avgiftsbestämd ålderspension som ingår. Uppdelningen av kontona i kontogrupp 59 kan vid behov göras med hjälp av schabloner.</t>
        </r>
      </text>
    </comment>
    <comment ref="L119" authorId="1" shapeId="0" xr:uid="{00000000-0006-0000-0600-000029000000}">
      <text>
        <r>
          <rPr>
            <b/>
            <sz val="9"/>
            <color indexed="81"/>
            <rFont val="Tahoma"/>
            <family val="2"/>
          </rPr>
          <t>SCB:</t>
        </r>
        <r>
          <rPr>
            <sz val="9"/>
            <color indexed="81"/>
            <rFont val="Tahoma"/>
            <family val="2"/>
          </rPr>
          <t xml:space="preserve">
Raden innehåller även del av konton i kontogrupp 59, aktivering av eget arbete vid utveckling av anläggnings- och omsättningstillgångar samt övriga lönejusteringar. Det är den delen av kontot som avser förändringen av pensionsavsättning och särskild löneskatt på pensionsavsättning som ingår. Uppdelningen av kontona i kontogrupp 59 kan vid behov göras med hjälp av schabloner.</t>
        </r>
      </text>
    </comment>
    <comment ref="W119" authorId="1" shapeId="0" xr:uid="{00000000-0006-0000-0600-00002A000000}">
      <text>
        <r>
          <rPr>
            <b/>
            <sz val="9"/>
            <color indexed="81"/>
            <rFont val="Tahoma"/>
            <family val="2"/>
          </rPr>
          <t>SCB:</t>
        </r>
        <r>
          <rPr>
            <sz val="9"/>
            <color indexed="81"/>
            <rFont val="Tahoma"/>
            <family val="2"/>
          </rPr>
          <t xml:space="preserve">
Om kontot för jämförelsestörande intäkter ingår på rad 982 eller 985 ska den jämförelsestörande intäkten flyttas till aktuell rad. 
Övriga jämförelsestörande intäkter ska kommenteras. </t>
        </r>
      </text>
    </comment>
    <comment ref="P123" authorId="1" shapeId="0" xr:uid="{00000000-0006-0000-0600-00002C000000}">
      <text>
        <r>
          <rPr>
            <b/>
            <sz val="9"/>
            <color indexed="81"/>
            <rFont val="Tahoma"/>
            <family val="2"/>
          </rPr>
          <t>SCB:</t>
        </r>
        <r>
          <rPr>
            <sz val="9"/>
            <color indexed="81"/>
            <rFont val="Tahoma"/>
            <family val="2"/>
          </rPr>
          <t xml:space="preserve">
Om kontot för jämförelsestörande kostnader ingår på någon av raderna 975, 980, 982, 985 eller 988 ska denna jämförelsestörande kostnad flyttas till aktuell rad. 
Övriga jämförelsestörande kostnader ska kommenteras. </t>
        </r>
      </text>
    </comment>
    <comment ref="W123" authorId="4" shapeId="0" xr:uid="{00000000-0006-0000-0600-00002D000000}">
      <text>
        <r>
          <rPr>
            <b/>
            <sz val="8"/>
            <color indexed="81"/>
            <rFont val="Tahoma"/>
            <family val="2"/>
          </rPr>
          <t>SCB</t>
        </r>
        <r>
          <rPr>
            <sz val="8"/>
            <color indexed="81"/>
            <rFont val="Tahoma"/>
            <family val="2"/>
          </rPr>
          <t xml:space="preserve">: Summeringen av raderna  av verksamhetens intäkter ska stämma med summan av verksamhetens intäkter i resultaträkningen.
</t>
        </r>
      </text>
    </comment>
    <comment ref="P126" authorId="4" shapeId="0" xr:uid="{00000000-0006-0000-0600-00002E000000}">
      <text>
        <r>
          <rPr>
            <b/>
            <sz val="8"/>
            <color indexed="81"/>
            <rFont val="Tahoma"/>
            <family val="2"/>
          </rPr>
          <t>SCB</t>
        </r>
        <r>
          <rPr>
            <sz val="8"/>
            <color indexed="81"/>
            <rFont val="Tahoma"/>
            <family val="2"/>
          </rPr>
          <t xml:space="preserve">: Summeringen av raderna 960-989 överensstämmer inte med Verksamhetens kostnader i avdelning RR, rad 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scbelin</author>
    <author>Ingela Johansson</author>
    <author>Siegrist Elisabeth DFO/OU-Ö</author>
    <author>SCB</author>
    <author>scbelie</author>
  </authors>
  <commentList>
    <comment ref="I3" authorId="0" shapeId="0" xr:uid="{00000000-0006-0000-0700-000001000000}">
      <text>
        <r>
          <rPr>
            <sz val="8"/>
            <color indexed="81"/>
            <rFont val="Tahoma"/>
            <family val="2"/>
          </rPr>
          <t xml:space="preserve">
</t>
        </r>
      </text>
    </comment>
    <comment ref="D5" authorId="0" shapeId="0" xr:uid="{00000000-0006-0000-0700-000002000000}">
      <text>
        <r>
          <rPr>
            <b/>
            <sz val="8"/>
            <color indexed="81"/>
            <rFont val="Tahoma"/>
            <family val="2"/>
          </rPr>
          <t xml:space="preserve">SCB:
</t>
        </r>
        <r>
          <rPr>
            <sz val="8"/>
            <color indexed="81"/>
            <rFont val="Tahoma"/>
            <family val="2"/>
          </rPr>
          <t xml:space="preserve">Med föreningar och stiftelser avses de vars organisationsnummer börjar på 8 samt kyrkor (som har organisationsnummer som börjar på 2520). De stiftelser som ingår i ”kommunkoncernen” redovisas dock under kommunägda företag. 
</t>
        </r>
      </text>
    </comment>
    <comment ref="E5" authorId="0" shapeId="0" xr:uid="{00000000-0006-0000-0700-000003000000}">
      <text>
        <r>
          <rPr>
            <b/>
            <sz val="8"/>
            <color indexed="81"/>
            <rFont val="Tahoma"/>
            <family val="2"/>
          </rPr>
          <t xml:space="preserve">SCB:
</t>
        </r>
        <r>
          <rPr>
            <sz val="8"/>
            <color indexed="81"/>
            <rFont val="Tahoma"/>
            <family val="2"/>
          </rPr>
          <t xml:space="preserve">Med kommunägda företag avses företag som ingår i kommunkoncernen. </t>
        </r>
      </text>
    </comment>
    <comment ref="F5" authorId="0" shapeId="0" xr:uid="{00000000-0006-0000-0700-000004000000}">
      <text>
        <r>
          <rPr>
            <b/>
            <sz val="8"/>
            <color indexed="81"/>
            <rFont val="Tahoma"/>
            <family val="2"/>
          </rPr>
          <t xml:space="preserve">SCB:
</t>
        </r>
        <r>
          <rPr>
            <sz val="8"/>
            <color indexed="81"/>
            <rFont val="Tahoma"/>
            <family val="2"/>
          </rPr>
          <t>Med privata företag avses</t>
        </r>
        <r>
          <rPr>
            <b/>
            <sz val="8"/>
            <color indexed="81"/>
            <rFont val="Tahoma"/>
            <family val="2"/>
          </rPr>
          <t xml:space="preserve"> alla företag förutom de som tillhör de som kommunen själv äger, dvs. även statligt ägda, landstingsägda eller ägda av andra kommuner</t>
        </r>
        <r>
          <rPr>
            <sz val="8"/>
            <color indexed="81"/>
            <rFont val="Tahoma"/>
            <family val="2"/>
          </rPr>
          <t xml:space="preserve">. Här ingår aktiebolag (orgnr 556 och 516), handelsbolag (orgnr börjar med 9), ekonomiska föreningar (orgnr börjar med 7) samt enskild firma (19+personnummer). 
</t>
        </r>
      </text>
    </comment>
    <comment ref="G5" authorId="0" shapeId="0" xr:uid="{00000000-0006-0000-0700-000005000000}">
      <text>
        <r>
          <rPr>
            <b/>
            <sz val="8"/>
            <color indexed="81"/>
            <rFont val="Tahoma"/>
            <family val="2"/>
          </rPr>
          <t xml:space="preserve">SCB:
</t>
        </r>
        <r>
          <rPr>
            <sz val="8"/>
            <color indexed="81"/>
            <rFont val="Tahoma"/>
            <family val="2"/>
          </rPr>
          <t xml:space="preserve">Kommuner har organisationsnummer som börjar på 2120.
</t>
        </r>
      </text>
    </comment>
    <comment ref="H5" authorId="0" shapeId="0" xr:uid="{00000000-0006-0000-0700-000006000000}">
      <text>
        <r>
          <rPr>
            <b/>
            <sz val="8"/>
            <color indexed="81"/>
            <rFont val="Tahoma"/>
            <family val="2"/>
          </rPr>
          <t>SCB:</t>
        </r>
        <r>
          <rPr>
            <sz val="8"/>
            <color indexed="81"/>
            <rFont val="Tahoma"/>
            <family val="2"/>
          </rPr>
          <t xml:space="preserve">
Landsting/regioner har organisationsnummer som börjar på 2321.</t>
        </r>
      </text>
    </comment>
    <comment ref="I5" authorId="0" shapeId="0" xr:uid="{00000000-0006-0000-0700-000007000000}">
      <text>
        <r>
          <rPr>
            <b/>
            <sz val="8"/>
            <color indexed="81"/>
            <rFont val="Tahoma"/>
            <family val="2"/>
          </rPr>
          <t xml:space="preserve">SCB:
</t>
        </r>
        <r>
          <rPr>
            <sz val="8"/>
            <color indexed="81"/>
            <rFont val="Tahoma"/>
            <family val="2"/>
          </rPr>
          <t>Med staten avses statliga myndigheter, allmänna försäkringskassor m m vars organisationsnummer börjar med 2021, 2022, 2420 och 2620.</t>
        </r>
      </text>
    </comment>
    <comment ref="J5" authorId="0" shapeId="0" xr:uid="{00000000-0006-0000-0700-000008000000}">
      <text>
        <r>
          <rPr>
            <b/>
            <sz val="8"/>
            <color indexed="81"/>
            <rFont val="Tahoma"/>
            <family val="2"/>
          </rPr>
          <t xml:space="preserve">SCB:
</t>
        </r>
        <r>
          <rPr>
            <sz val="8"/>
            <color indexed="81"/>
            <rFont val="Tahoma"/>
            <family val="2"/>
          </rPr>
          <t xml:space="preserve">Dessa kan ibland identifieras genom personnummer. Avser enskilda personer och hushåll, inte enskilda företag. Enskilda företag ingår i kol. F.
</t>
        </r>
      </text>
    </comment>
    <comment ref="K5" authorId="0" shapeId="0" xr:uid="{00000000-0006-0000-0700-000009000000}">
      <text>
        <r>
          <rPr>
            <b/>
            <sz val="8"/>
            <color indexed="81"/>
            <rFont val="Tahoma"/>
            <family val="2"/>
          </rPr>
          <t>SCB:</t>
        </r>
        <r>
          <rPr>
            <sz val="8"/>
            <color indexed="81"/>
            <rFont val="Tahoma"/>
            <family val="2"/>
          </rPr>
          <t xml:space="preserve">
Kommunalförbundens organisationsnummer börjar på 2220. Här ska även Sveriges Kommuner och Regioner (SKR) redovisas.</t>
        </r>
      </text>
    </comment>
    <comment ref="L5" authorId="1" shapeId="0" xr:uid="{00000000-0006-0000-0700-00000A000000}">
      <text>
        <r>
          <rPr>
            <b/>
            <sz val="8"/>
            <color indexed="81"/>
            <rFont val="Tahoma"/>
            <family val="2"/>
          </rPr>
          <t xml:space="preserve">SCB: </t>
        </r>
        <r>
          <rPr>
            <sz val="8"/>
            <color indexed="81"/>
            <rFont val="Tahoma"/>
            <family val="2"/>
          </rPr>
          <t>Handel med utlandet beror på var det ekonomiska intressecentrat ligger. Dvs med utgångspunkt från det land där enheten har sin stadigvarande verksamhet. Exempelvis är ett svenskt företags dotterbolag eller filial med stadigvarande verksamhet i utlandet en utländsk enhet.</t>
        </r>
      </text>
    </comment>
    <comment ref="O5" authorId="0" shapeId="0" xr:uid="{00000000-0006-0000-0700-00000B000000}">
      <text>
        <r>
          <rPr>
            <b/>
            <sz val="8"/>
            <color indexed="81"/>
            <rFont val="Tahoma"/>
            <family val="2"/>
          </rPr>
          <t xml:space="preserve">SCB:
</t>
        </r>
        <r>
          <rPr>
            <sz val="8"/>
            <color indexed="81"/>
            <rFont val="Tahoma"/>
            <family val="2"/>
          </rPr>
          <t xml:space="preserve">Med föreningar och stiftelser avses de vars organisationsnummer börjar på 8 samt kyrkor (som har organisationsnummer som börjar på 2520). De stiftelser som ingår i ”kommunkoncernen” redovisas dock under kommunägda företag. 
</t>
        </r>
      </text>
    </comment>
    <comment ref="P5" authorId="0" shapeId="0" xr:uid="{00000000-0006-0000-0700-00000C000000}">
      <text>
        <r>
          <rPr>
            <b/>
            <sz val="8"/>
            <color indexed="81"/>
            <rFont val="Tahoma"/>
            <family val="2"/>
          </rPr>
          <t xml:space="preserve">SCB:
</t>
        </r>
        <r>
          <rPr>
            <sz val="8"/>
            <color indexed="81"/>
            <rFont val="Tahoma"/>
            <family val="2"/>
          </rPr>
          <t xml:space="preserve">Med kommunägda företag avses företag som ingår i kommunkoncernen. </t>
        </r>
      </text>
    </comment>
    <comment ref="Q5" authorId="0" shapeId="0" xr:uid="{00000000-0006-0000-0700-00000D000000}">
      <text>
        <r>
          <rPr>
            <b/>
            <sz val="8"/>
            <color indexed="81"/>
            <rFont val="Tahoma"/>
            <family val="2"/>
          </rPr>
          <t xml:space="preserve">SCB:
</t>
        </r>
        <r>
          <rPr>
            <sz val="8"/>
            <color indexed="81"/>
            <rFont val="Tahoma"/>
            <family val="2"/>
          </rPr>
          <t xml:space="preserve">Med privata företag avses alla företag förutom de som tillhör de kommunägda. Här ingår aktiebolag (orgnr 556 och 516), handelsbolag (orgnr börjar med 9), ekonomiska föreningar (orgnr börjar med 7) samt enskild firma (19+personnummer). 
</t>
        </r>
      </text>
    </comment>
    <comment ref="R5" authorId="0" shapeId="0" xr:uid="{00000000-0006-0000-0700-00000E000000}">
      <text>
        <r>
          <rPr>
            <b/>
            <sz val="8"/>
            <color indexed="81"/>
            <rFont val="Tahoma"/>
            <family val="2"/>
          </rPr>
          <t xml:space="preserve">SCB:
</t>
        </r>
        <r>
          <rPr>
            <sz val="8"/>
            <color indexed="81"/>
            <rFont val="Tahoma"/>
            <family val="2"/>
          </rPr>
          <t xml:space="preserve">Kommuner har organisationsnummer som börjar på 2120.
</t>
        </r>
      </text>
    </comment>
    <comment ref="S5" authorId="0" shapeId="0" xr:uid="{00000000-0006-0000-0700-00000F000000}">
      <text>
        <r>
          <rPr>
            <b/>
            <sz val="8"/>
            <color indexed="81"/>
            <rFont val="Tahoma"/>
            <family val="2"/>
          </rPr>
          <t>SCB:</t>
        </r>
        <r>
          <rPr>
            <sz val="8"/>
            <color indexed="81"/>
            <rFont val="Tahoma"/>
            <family val="2"/>
          </rPr>
          <t xml:space="preserve">
Regioner har organisationsnummer som börjar på 2321.</t>
        </r>
      </text>
    </comment>
    <comment ref="T5" authorId="0" shapeId="0" xr:uid="{00000000-0006-0000-0700-000010000000}">
      <text>
        <r>
          <rPr>
            <b/>
            <sz val="8"/>
            <color indexed="81"/>
            <rFont val="Tahoma"/>
            <family val="2"/>
          </rPr>
          <t>SCB:</t>
        </r>
        <r>
          <rPr>
            <sz val="8"/>
            <color indexed="81"/>
            <rFont val="Tahoma"/>
            <family val="2"/>
          </rPr>
          <t xml:space="preserve">
Kommunalförbundens organisationsnummer börjar på 2220. Här ska även Sveriges Kommuner och Regioner (SKR) redovisas.</t>
        </r>
      </text>
    </comment>
    <comment ref="U5" authorId="0" shapeId="0" xr:uid="{00000000-0006-0000-0700-000011000000}">
      <text>
        <r>
          <rPr>
            <b/>
            <sz val="8"/>
            <color indexed="81"/>
            <rFont val="Tahoma"/>
            <family val="2"/>
          </rPr>
          <t xml:space="preserve">SCB:
</t>
        </r>
        <r>
          <rPr>
            <sz val="8"/>
            <color indexed="81"/>
            <rFont val="Tahoma"/>
            <family val="2"/>
          </rPr>
          <t>Med staten avses statliga myndigheter, allmänna försäkringskassor m.m. vars organisationsnummer börjar med 2021, 2022, 2420 och 2620.</t>
        </r>
      </text>
    </comment>
    <comment ref="V5" authorId="0" shapeId="0" xr:uid="{00000000-0006-0000-0700-000012000000}">
      <text>
        <r>
          <rPr>
            <b/>
            <sz val="8"/>
            <color indexed="81"/>
            <rFont val="Tahoma"/>
            <family val="2"/>
          </rPr>
          <t xml:space="preserve">SCB:
</t>
        </r>
        <r>
          <rPr>
            <sz val="8"/>
            <color indexed="81"/>
            <rFont val="Tahoma"/>
            <family val="2"/>
          </rPr>
          <t xml:space="preserve">Dessa kan ibland identifieras genom personnummer. Avser enskilda personer och hushåll, inte enskilda företag. Enskilda företag ingår i kol. Q.
</t>
        </r>
      </text>
    </comment>
    <comment ref="W5" authorId="1" shapeId="0" xr:uid="{00000000-0006-0000-0700-000013000000}">
      <text>
        <r>
          <rPr>
            <b/>
            <sz val="8"/>
            <color indexed="81"/>
            <rFont val="Tahoma"/>
            <family val="2"/>
          </rPr>
          <t xml:space="preserve">SCB: </t>
        </r>
        <r>
          <rPr>
            <sz val="8"/>
            <color indexed="81"/>
            <rFont val="Tahoma"/>
            <family val="2"/>
          </rPr>
          <t>Handel med utlandet beror på var det ekonomiska intressecentrat ligger. Dvs med utgångspunkt från det land där enheten har sin stadigvarande verksamhet. Exempelvis är ett svenskt företags dotterbolag eller filial med stadigvarande verksamhet i utlandet en utländsk enhet.</t>
        </r>
      </text>
    </comment>
    <comment ref="U6" authorId="2" shapeId="0" xr:uid="{00000000-0006-0000-0700-000014000000}">
      <text>
        <r>
          <rPr>
            <b/>
            <sz val="9"/>
            <color indexed="81"/>
            <rFont val="Tahoma"/>
            <family val="2"/>
          </rPr>
          <t xml:space="preserve">SCB:
</t>
        </r>
        <r>
          <rPr>
            <sz val="8"/>
            <color indexed="81"/>
            <rFont val="Tahoma"/>
            <family val="2"/>
          </rPr>
          <t>Inklusive konto 4538, Kostnader avseende ersättning för personliga assistenter och konto 454, Bidrag till statlig infrastruktur</t>
        </r>
        <r>
          <rPr>
            <sz val="9"/>
            <color indexed="81"/>
            <rFont val="Tahoma"/>
            <family val="2"/>
          </rPr>
          <t xml:space="preserve">
</t>
        </r>
      </text>
    </comment>
    <comment ref="AD6" authorId="3" shapeId="0" xr:uid="{00000000-0006-0000-0700-000015000000}">
      <text>
        <r>
          <rPr>
            <b/>
            <sz val="8"/>
            <color indexed="81"/>
            <rFont val="Tahoma"/>
            <family val="2"/>
          </rPr>
          <t>SCB:</t>
        </r>
        <r>
          <rPr>
            <sz val="8"/>
            <color indexed="81"/>
            <rFont val="Tahoma"/>
            <family val="2"/>
          </rPr>
          <t xml:space="preserve">
Summan av beloppen i de fem kolumnerna Y, Z, AA, AB och AC på en rad här ska inte vara större än beloppet för motsvarande verksamhet i driftredovisningen.</t>
        </r>
      </text>
    </comment>
    <comment ref="J43" authorId="2" shapeId="0" xr:uid="{00000000-0006-0000-0700-00001A000000}">
      <text>
        <r>
          <rPr>
            <b/>
            <sz val="9"/>
            <color indexed="81"/>
            <rFont val="Tahoma"/>
            <family val="2"/>
          </rPr>
          <t xml:space="preserve">SCB:
</t>
        </r>
        <r>
          <rPr>
            <sz val="8"/>
            <color indexed="81"/>
            <rFont val="Tahoma"/>
            <family val="2"/>
          </rPr>
          <t xml:space="preserve">Köp av huvudverksamhet från enskilda personer, hushåll borde inte förekomma, det borde röra sig om köp från enskild firma och därmed ingå i kolumn F, Privata företag.
Alternativt rör det sig om placering hos privatpersoner och redovisningen sker då på konto 504, Uppdragstagare och 553, Omkostnadsersättning 
</t>
        </r>
        <r>
          <rPr>
            <sz val="9"/>
            <color indexed="81"/>
            <rFont val="Tahoma"/>
            <family val="2"/>
          </rPr>
          <t xml:space="preserve">
</t>
        </r>
      </text>
    </comment>
    <comment ref="L43" authorId="2" shapeId="0" xr:uid="{00000000-0006-0000-0700-00001B000000}">
      <text>
        <r>
          <rPr>
            <b/>
            <sz val="9"/>
            <color indexed="81"/>
            <rFont val="Tahoma"/>
            <family val="2"/>
          </rPr>
          <t xml:space="preserve">SCB:
</t>
        </r>
        <r>
          <rPr>
            <sz val="8"/>
            <color indexed="81"/>
            <rFont val="Tahoma"/>
            <family val="2"/>
          </rPr>
          <t xml:space="preserve">SCB behöver information om vad köp av huvudverksamhet från utlandet avser.Kommenera i kommentarrutan </t>
        </r>
        <r>
          <rPr>
            <sz val="9"/>
            <color indexed="81"/>
            <rFont val="Tahoma"/>
            <family val="2"/>
          </rPr>
          <t xml:space="preserve">
</t>
        </r>
      </text>
    </comment>
    <comment ref="M43" authorId="3" shapeId="0" xr:uid="{00000000-0006-0000-0700-00001C000000}">
      <text>
        <r>
          <rPr>
            <b/>
            <sz val="8"/>
            <color indexed="81"/>
            <rFont val="Tahoma"/>
            <family val="2"/>
          </rPr>
          <t xml:space="preserve">SCB: </t>
        </r>
        <r>
          <rPr>
            <sz val="8"/>
            <color indexed="81"/>
            <rFont val="Tahoma"/>
            <family val="2"/>
          </rPr>
          <t xml:space="preserve">Det ska inte finnas några differenser i kolumn M, dvs. 
mellan drift- och motpartsredovisning. </t>
        </r>
        <r>
          <rPr>
            <sz val="8"/>
            <color indexed="81"/>
            <rFont val="Tahoma"/>
            <family val="2"/>
          </rPr>
          <t xml:space="preserve">
</t>
        </r>
      </text>
    </comment>
    <comment ref="X43" authorId="3" shapeId="0" xr:uid="{00000000-0006-0000-0700-00001D000000}">
      <text>
        <r>
          <rPr>
            <b/>
            <sz val="8"/>
            <color indexed="81"/>
            <rFont val="Tahoma"/>
            <family val="2"/>
          </rPr>
          <t>SCB:</t>
        </r>
        <r>
          <rPr>
            <sz val="8"/>
            <color indexed="81"/>
            <rFont val="Tahoma"/>
            <family val="2"/>
          </rPr>
          <t xml:space="preserve">
Det ska inte finnas några diffensbelopp i kolmun X, dvs. mellan drift- och motpartsredovisning
</t>
        </r>
      </text>
    </comment>
    <comment ref="U44" authorId="3" shapeId="0" xr:uid="{00000000-0006-0000-0700-00001E000000}">
      <text>
        <r>
          <rPr>
            <b/>
            <sz val="8"/>
            <color indexed="81"/>
            <rFont val="Tahoma"/>
            <family val="2"/>
          </rPr>
          <t>SCB:</t>
        </r>
        <r>
          <rPr>
            <sz val="8"/>
            <color indexed="81"/>
            <rFont val="Tahoma"/>
            <family val="2"/>
          </rPr>
          <t xml:space="preserve">
Ersättning till FK för personlig assistent ska redovisas på rad 513 i kol.U. Felkontrollen visas om beloppet här (rad 513 kolumn U) är mindre än beloppet på rad 630 i avdelning Verksamhetens intäkter och kostnader.
</t>
        </r>
      </text>
    </comment>
    <comment ref="V45" authorId="2" shapeId="0" xr:uid="{00000000-0006-0000-0700-00001F000000}">
      <text>
        <r>
          <rPr>
            <b/>
            <sz val="9"/>
            <color indexed="81"/>
            <rFont val="Tahoma"/>
            <family val="2"/>
          </rPr>
          <t xml:space="preserve">SCB:
</t>
        </r>
        <r>
          <rPr>
            <sz val="8"/>
            <color indexed="81"/>
            <rFont val="Tahoma"/>
            <family val="2"/>
          </rPr>
          <t>Ekonomisk bistånd på rad 580 borde till största del redovisas i kolumn kolum V Enskilda personer, hushåll.</t>
        </r>
        <r>
          <rPr>
            <sz val="9"/>
            <color indexed="81"/>
            <rFont val="Tahoma"/>
            <family val="2"/>
          </rPr>
          <t xml:space="preserve">
</t>
        </r>
      </text>
    </comment>
    <comment ref="Y45" authorId="3" shapeId="0" xr:uid="{00000000-0006-0000-0700-000020000000}">
      <text>
        <r>
          <rPr>
            <b/>
            <sz val="8"/>
            <color indexed="81"/>
            <rFont val="Tahoma"/>
            <family val="2"/>
          </rPr>
          <t>SCB:</t>
        </r>
        <r>
          <rPr>
            <sz val="8"/>
            <color indexed="81"/>
            <rFont val="Tahoma"/>
            <family val="2"/>
          </rPr>
          <t xml:space="preserve">
Summeringen i kolumn Y  överensstämmer inte med motsvarande konto (361, motpart kommun och motpart kommunalförbund) avdelning Verksamhetens intäkter och kostnader.</t>
        </r>
      </text>
    </comment>
    <comment ref="Z45" authorId="3" shapeId="0" xr:uid="{00000000-0006-0000-0700-000021000000}">
      <text>
        <r>
          <rPr>
            <b/>
            <sz val="8"/>
            <color indexed="81"/>
            <rFont val="Tahoma"/>
            <family val="2"/>
          </rPr>
          <t>SCB:</t>
        </r>
        <r>
          <rPr>
            <sz val="8"/>
            <color indexed="81"/>
            <rFont val="Tahoma"/>
            <family val="2"/>
          </rPr>
          <t xml:space="preserve">
Summeringen i kolumn Z överensstämmer inte med motsvarande konto (361, motpart region) i avdelning Verksamhetens intäkter och kostnader.</t>
        </r>
      </text>
    </comment>
    <comment ref="AA45" authorId="3" shapeId="0" xr:uid="{00000000-0006-0000-0700-000022000000}">
      <text>
        <r>
          <rPr>
            <b/>
            <sz val="8"/>
            <color indexed="81"/>
            <rFont val="Tahoma"/>
            <family val="2"/>
          </rPr>
          <t>SCB:</t>
        </r>
        <r>
          <rPr>
            <sz val="8"/>
            <color indexed="81"/>
            <rFont val="Tahoma"/>
            <family val="2"/>
          </rPr>
          <t xml:space="preserve">
Summeringen i kolumn AA överensstämmer inte med summeringen av motsvarande konto (351, motpart 81) i avdelning Verksamhetens intäkter och kostnader.</t>
        </r>
      </text>
    </comment>
    <comment ref="AB45" authorId="3" shapeId="0" xr:uid="{00000000-0006-0000-0700-000023000000}">
      <text>
        <r>
          <rPr>
            <b/>
            <sz val="8"/>
            <color indexed="81"/>
            <rFont val="Tahoma"/>
            <family val="2"/>
          </rPr>
          <t>SCB:</t>
        </r>
        <r>
          <rPr>
            <sz val="8"/>
            <color indexed="81"/>
            <rFont val="Tahoma"/>
            <family val="2"/>
          </rPr>
          <t xml:space="preserve">
Summeringen i kolumn AB  överensstämmer inte med motsvarande konto (358) i avdelning Verksamhetens intäkter och kostnader.</t>
        </r>
      </text>
    </comment>
    <comment ref="AC45" authorId="3" shapeId="0" xr:uid="{00000000-0006-0000-0700-000024000000}">
      <text>
        <r>
          <rPr>
            <b/>
            <sz val="8"/>
            <color indexed="81"/>
            <rFont val="Tahoma"/>
            <family val="2"/>
          </rPr>
          <t>SCB:</t>
        </r>
        <r>
          <rPr>
            <sz val="8"/>
            <color indexed="81"/>
            <rFont val="Tahoma"/>
            <family val="2"/>
          </rPr>
          <t xml:space="preserve">
Summeringen i kolumn AC överensstämmer inte med motsvarande summering av kontona (342, 351(ej motpart 81), 354, 356, 357, 359) i avdelning Verksamhetens intäkter och k</t>
        </r>
        <r>
          <rPr>
            <sz val="8"/>
            <color indexed="81"/>
            <rFont val="Tahoma"/>
            <family val="2"/>
          </rPr>
          <t xml:space="preserve">ostnader.
</t>
        </r>
      </text>
    </comment>
    <comment ref="D46" authorId="4" shapeId="0" xr:uid="{00000000-0006-0000-0700-000025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F46" authorId="3" shapeId="0" xr:uid="{00000000-0006-0000-0700-000026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I46" authorId="4" shapeId="0" xr:uid="{00000000-0006-0000-0700-000027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K46" authorId="3" shapeId="0" xr:uid="{00000000-0006-0000-0700-000028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O46" authorId="4" shapeId="0" xr:uid="{00000000-0006-0000-0700-000029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Q46" authorId="3" shapeId="0" xr:uid="{00000000-0006-0000-0700-00002A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S46" authorId="4" shapeId="0" xr:uid="{00000000-0006-0000-0700-00002B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T46" authorId="3" shapeId="0" xr:uid="{00000000-0006-0000-0700-00002C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X46" authorId="4" shapeId="0" xr:uid="{00000000-0006-0000-0700-00002D000000}">
      <text>
        <r>
          <rPr>
            <b/>
            <sz val="8"/>
            <color indexed="81"/>
            <rFont val="Tahoma"/>
            <family val="2"/>
          </rPr>
          <t>SCB:</t>
        </r>
        <r>
          <rPr>
            <sz val="8"/>
            <color indexed="81"/>
            <rFont val="Tahoma"/>
            <family val="2"/>
          </rPr>
          <t xml:space="preserve">
Avser kolumnerna Y-AC: Rad 552 är en därav-rad och beloppet ska inte vara större än beloppet på huvud-rad 559.
</t>
        </r>
      </text>
    </comment>
    <comment ref="Y46" authorId="3" shapeId="0" xr:uid="{00000000-0006-0000-0700-00002E000000}">
      <text>
        <r>
          <rPr>
            <b/>
            <sz val="8"/>
            <color indexed="81"/>
            <rFont val="Tahoma"/>
            <family val="2"/>
          </rPr>
          <t>SCB:</t>
        </r>
        <r>
          <rPr>
            <sz val="8"/>
            <color indexed="81"/>
            <rFont val="Tahoma"/>
            <family val="2"/>
          </rPr>
          <t xml:space="preserve">
Kontrollerna på denna rad visas när det på därav-rad 552 saknas något eller några belopp. Finns det inga intäkter att redovisa ska cellerna besvaras med 0 (noll)
</t>
        </r>
      </text>
    </comment>
    <comment ref="D47" authorId="4" shapeId="0" xr:uid="{00000000-0006-0000-0700-00002F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F47" authorId="3" shapeId="0" xr:uid="{00000000-0006-0000-0700-000030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I47" authorId="4" shapeId="0" xr:uid="{00000000-0006-0000-0700-000031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K47" authorId="3" shapeId="0" xr:uid="{00000000-0006-0000-0700-000032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O47" authorId="4" shapeId="0" xr:uid="{00000000-0006-0000-0700-000033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Q47" authorId="3" shapeId="0" xr:uid="{00000000-0006-0000-0700-000034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S47" authorId="4" shapeId="0" xr:uid="{00000000-0006-0000-0700-000035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T47" authorId="3" shapeId="0" xr:uid="{00000000-0006-0000-0700-000036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X47" authorId="4" shapeId="0" xr:uid="{00000000-0006-0000-0700-000037000000}">
      <text>
        <r>
          <rPr>
            <b/>
            <sz val="8"/>
            <color indexed="81"/>
            <rFont val="Tahoma"/>
            <family val="2"/>
          </rPr>
          <t>SCB:</t>
        </r>
        <r>
          <rPr>
            <sz val="8"/>
            <color indexed="81"/>
            <rFont val="Tahoma"/>
            <family val="2"/>
          </rPr>
          <t xml:space="preserve">
Avser kol. Y-AC: Rad 554 är en därav-rad och beloppet ska inte vara större än beloppet på huvud-rad 569.
</t>
        </r>
      </text>
    </comment>
    <comment ref="Y47" authorId="3" shapeId="0" xr:uid="{00000000-0006-0000-0700-000038000000}">
      <text>
        <r>
          <rPr>
            <b/>
            <sz val="8"/>
            <color indexed="81"/>
            <rFont val="Tahoma"/>
            <family val="2"/>
          </rPr>
          <t>SCB:</t>
        </r>
        <r>
          <rPr>
            <sz val="8"/>
            <color indexed="81"/>
            <rFont val="Tahoma"/>
            <family val="2"/>
          </rPr>
          <t xml:space="preserve">
Kontrollerna på denna rad visas när det på därav-rad 554
 saknas något eller några belopp. Finns det inga intäkter att redovisa ska cellerna besvaras med 0 (noll).
</t>
        </r>
      </text>
    </comment>
    <comment ref="AC48" authorId="3" shapeId="0" xr:uid="{00000000-0006-0000-0700-000039000000}">
      <text>
        <r>
          <rPr>
            <b/>
            <sz val="8"/>
            <color indexed="81"/>
            <rFont val="Tahoma"/>
            <family val="2"/>
          </rPr>
          <t xml:space="preserve">SCB:
</t>
        </r>
        <r>
          <rPr>
            <sz val="8"/>
            <color indexed="81"/>
            <rFont val="Tahoma"/>
            <family val="2"/>
          </rPr>
          <t>Ersättning från FK för personlig assistent ska redovisas i på rad 513 i kol AC. Felkontrollen visas om beloppet på rad 513 kol. AC är mindre än beloppet på rad 525 i avdelning Verksamhetens sintäkter och kostnader.</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Siegrist Elisabeth DFO/OU-Ö</author>
    <author>scbdoca</author>
    <author>Mundt Henrik D/INS/OFS-Ö</author>
    <author>Henrik Mundt</author>
    <author>scbelin</author>
  </authors>
  <commentList>
    <comment ref="G2" authorId="0" shapeId="0" xr:uid="{00000000-0006-0000-0800-000001000000}">
      <text>
        <r>
          <rPr>
            <sz val="9"/>
            <color indexed="81"/>
            <rFont val="Tahoma"/>
            <family val="2"/>
          </rPr>
          <t xml:space="preserve">
</t>
        </r>
      </text>
    </comment>
    <comment ref="P8" authorId="1" shapeId="0" xr:uid="{00000000-0006-0000-0800-000002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11" authorId="2" shapeId="0" xr:uid="{C0E6762A-3AB7-4DF1-B651-7AA053A24D5C}">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6" authorId="1" shapeId="0" xr:uid="{00000000-0006-0000-0800-000003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19" authorId="2" shapeId="0" xr:uid="{855BEAA9-F92E-42A6-9BBE-4B03B2E0DE0F}">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24" authorId="1" shapeId="0" xr:uid="{00000000-0006-0000-0800-000004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27" authorId="2" shapeId="0" xr:uid="{0ACA9477-FAA6-4A6C-BE60-7FE759D10406}">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31" authorId="1" shapeId="0" xr:uid="{00000000-0006-0000-0800-000005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35" authorId="2" shapeId="0" xr:uid="{21D892F2-BD32-4E1C-9F96-6E13E91BA7B0}">
      <text>
        <r>
          <rPr>
            <b/>
            <sz val="9"/>
            <color indexed="81"/>
            <rFont val="Tahoma"/>
            <family val="2"/>
          </rPr>
          <t xml:space="preserve">SCB:
</t>
        </r>
        <r>
          <rPr>
            <sz val="9"/>
            <color indexed="81"/>
            <rFont val="Tahoma"/>
            <family val="2"/>
          </rPr>
          <t>Alla kommuner bör ha kostnader för skolskjuts. Observera att kostnader för skolskjuts för elever folkbokförda i kommunen inte ska redovisas som köp av huvudverksamhet utan på raden för Skolskjuts, reseersättningar och inackordering.</t>
        </r>
        <r>
          <rPr>
            <sz val="9"/>
            <color indexed="81"/>
            <rFont val="Tahoma"/>
            <family val="2"/>
          </rPr>
          <t xml:space="preserve">
</t>
        </r>
      </text>
    </comment>
    <comment ref="D37" authorId="2" shapeId="0" xr:uid="{5AA8191A-ADDC-4BFC-9AD2-45B9DA308DD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38" authorId="0" shapeId="0" xr:uid="{00000000-0006-0000-0800-000006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39" authorId="3" shapeId="0" xr:uid="{00000000-0006-0000-0800-000007000000}">
      <text>
        <r>
          <rPr>
            <b/>
            <sz val="9"/>
            <color indexed="81"/>
            <rFont val="Tahoma"/>
            <family val="2"/>
          </rPr>
          <t xml:space="preserve">SCB:
</t>
        </r>
        <r>
          <rPr>
            <sz val="9"/>
            <color indexed="81"/>
            <rFont val="Tahoma"/>
            <family val="2"/>
          </rPr>
          <t>Här redovisas kostnader som är gemensamma för kommunen och som ska fördelas på verksamheten. Kostnader som uppkommer hos barn- och ungdomsförvaltningen
eller motsvarande redovisas inte här utan på rad 408 Övrigt.</t>
        </r>
        <r>
          <rPr>
            <sz val="9"/>
            <color indexed="81"/>
            <rFont val="Tahoma"/>
            <family val="2"/>
          </rPr>
          <t xml:space="preserve">
</t>
        </r>
      </text>
    </comment>
    <comment ref="C40" authorId="4" shapeId="0" xr:uid="{00000000-0006-0000-0800-000008000000}">
      <text>
        <r>
          <rPr>
            <b/>
            <sz val="8"/>
            <color indexed="81"/>
            <rFont val="Tahoma"/>
            <family val="2"/>
          </rPr>
          <t xml:space="preserve">SCB:
</t>
        </r>
        <r>
          <rPr>
            <sz val="8"/>
            <color indexed="81"/>
            <rFont val="Tahoma"/>
            <family val="2"/>
          </rPr>
          <t xml:space="preserve">Beloppet visar differensen mellan Bruttokostnaden (C31) länkat från Driften och summan av de i kolumn C utfördelade kostnader (C32:C39) + beloppet för köp av entreprenad och huvudverksamhet (D31) länkat från Motparten. 
I cellerna C32 till C39 fördelas bruttokostnaden i C31 minskat med köp av huvudverksamhet i D31.
 </t>
        </r>
      </text>
    </comment>
    <comment ref="E40" authorId="4" shapeId="0" xr:uid="{00000000-0006-0000-0800-000009000000}">
      <text>
        <r>
          <rPr>
            <b/>
            <sz val="8"/>
            <color indexed="81"/>
            <rFont val="Tahoma"/>
            <family val="2"/>
          </rPr>
          <t>SCB:</t>
        </r>
        <r>
          <rPr>
            <sz val="8"/>
            <color indexed="81"/>
            <rFont val="Tahoma"/>
            <family val="2"/>
          </rPr>
          <t xml:space="preserve">
Beloppet visar differensen mellan Bruttointäkterna (E31) länkat från Driften och summan av de i kolumn E fördelade intäkterna (E32:E38)+ intäkten för försäljning av huvudverksamhet till andra kommuner(F31)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E32-E38. </t>
        </r>
      </text>
    </comment>
    <comment ref="G40" authorId="4" shapeId="0" xr:uid="{00000000-0006-0000-0800-00000A000000}">
      <text>
        <r>
          <rPr>
            <b/>
            <sz val="8"/>
            <color indexed="81"/>
            <rFont val="Tahoma"/>
            <family val="2"/>
          </rPr>
          <t xml:space="preserve">SCB: 
</t>
        </r>
        <r>
          <rPr>
            <sz val="8"/>
            <color indexed="81"/>
            <rFont val="Tahoma"/>
            <family val="2"/>
          </rPr>
          <t xml:space="preserve">Beloppet som visas är differensen mellan de interna intäkterna (G31) länkat från Driften och de här utfördelade. 
</t>
        </r>
      </text>
    </comment>
    <comment ref="P43" authorId="1" shapeId="0" xr:uid="{00000000-0006-0000-0800-00000B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440, Grundskolan och beloppen som specificeras här. 
Differenserna ska åtgärdas.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44" authorId="1" shapeId="0" xr:uid="{00000000-0006-0000-0800-00000C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48" authorId="2" shapeId="0" xr:uid="{B47E4349-D646-49F2-9F64-73ADB95C130F}">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50" authorId="2" shapeId="0" xr:uid="{C65B8774-DEEA-4D24-B8E1-9B568E2A04F7}">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51" authorId="0" shapeId="0" xr:uid="{00000000-0006-0000-0800-00000D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52" authorId="3" shapeId="0" xr:uid="{00000000-0006-0000-0800-00000E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438 Övrigt.</t>
        </r>
      </text>
    </comment>
    <comment ref="C53" authorId="4" shapeId="0" xr:uid="{00000000-0006-0000-0800-00000F000000}">
      <text>
        <r>
          <rPr>
            <b/>
            <sz val="8"/>
            <color indexed="81"/>
            <rFont val="Tahoma"/>
            <family val="2"/>
          </rPr>
          <t xml:space="preserve">SCB:
</t>
        </r>
        <r>
          <rPr>
            <sz val="8"/>
            <color indexed="81"/>
            <rFont val="Tahoma"/>
            <family val="2"/>
          </rPr>
          <t xml:space="preserve">Beloppet visar differensen mellan Bruttokostnaden (C44) länkat från Driften och summan av de i kolumn C utfördelade kostnader (C45:C52) + beloppet för köp av entreprenad och huvudverksamhet (D44) länkat från Motparten.
I cellerna C45 till C52 fördelas bruttokostnaden i C44 minskat med köp av huvudverksamhet i D44.
</t>
        </r>
      </text>
    </comment>
    <comment ref="E53" authorId="4" shapeId="0" xr:uid="{00000000-0006-0000-0800-000010000000}">
      <text>
        <r>
          <rPr>
            <b/>
            <sz val="8"/>
            <color indexed="81"/>
            <rFont val="Tahoma"/>
            <family val="2"/>
          </rPr>
          <t>SCB:</t>
        </r>
        <r>
          <rPr>
            <sz val="8"/>
            <color indexed="81"/>
            <rFont val="Tahoma"/>
            <family val="2"/>
          </rPr>
          <t xml:space="preserve">
Beloppet visar differensen mellan Bruttointäkterna (E44) länkat från Driften  och summan av de i kolumn E fördelade intäkterna (E45:E51)+ intäkten för försäljning av huvudverksamhet till andra kommuner(F44)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E45-E51.</t>
        </r>
      </text>
    </comment>
    <comment ref="G53" authorId="4" shapeId="0" xr:uid="{00000000-0006-0000-0800-000011000000}">
      <text>
        <r>
          <rPr>
            <b/>
            <sz val="8"/>
            <color indexed="81"/>
            <rFont val="Tahoma"/>
            <family val="2"/>
          </rPr>
          <t xml:space="preserve">SCB: 
</t>
        </r>
        <r>
          <rPr>
            <sz val="8"/>
            <color indexed="81"/>
            <rFont val="Tahoma"/>
            <family val="2"/>
          </rPr>
          <t xml:space="preserve">Beloppet som visas är differensen mellan de interna intäkterna (G44) länkat från Driften och de här utfördelade. 
</t>
        </r>
      </text>
    </comment>
    <comment ref="P57" authorId="1" shapeId="0" xr:uid="{00000000-0006-0000-0800-000012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443,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58" authorId="1" shapeId="0" xr:uid="{00000000-0006-0000-0800-000013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62" authorId="2" shapeId="0" xr:uid="{54DD6AAD-F738-4383-BEBF-963C6AAC23A5}">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64" authorId="2" shapeId="0" xr:uid="{313D6C59-AF8B-4F21-B60A-5C15E2745662}">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65" authorId="0" shapeId="0" xr:uid="{00000000-0006-0000-0800-000014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66" authorId="3" shapeId="0" xr:uid="{00000000-0006-0000-0800-000015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508 Övrigt.</t>
        </r>
      </text>
    </comment>
    <comment ref="C67" authorId="4" shapeId="0" xr:uid="{00000000-0006-0000-0800-000016000000}">
      <text>
        <r>
          <rPr>
            <b/>
            <sz val="8"/>
            <color indexed="81"/>
            <rFont val="Tahoma"/>
            <family val="2"/>
          </rPr>
          <t xml:space="preserve">SCB:
</t>
        </r>
        <r>
          <rPr>
            <sz val="8"/>
            <color indexed="81"/>
            <rFont val="Tahoma"/>
            <family val="2"/>
          </rPr>
          <t xml:space="preserve">Beloppet visar differensen mellan Bruttokostnaden (C58) länkat från Driften och summan av de i kolumn C utfördelade kostnader (C59:C66) + beloppet för köp av entreprenad och huvudverksamhet (D58) länkat från Motparten.
I cellerna C59 till C66 fördelas bruttokostnaden i C58 minskat med köp av huvudverksamhet i D58.
</t>
        </r>
      </text>
    </comment>
    <comment ref="E67" authorId="4" shapeId="0" xr:uid="{00000000-0006-0000-0800-000017000000}">
      <text>
        <r>
          <rPr>
            <b/>
            <sz val="8"/>
            <color indexed="81"/>
            <rFont val="Tahoma"/>
            <family val="2"/>
          </rPr>
          <t>SCB:</t>
        </r>
        <r>
          <rPr>
            <sz val="8"/>
            <color indexed="81"/>
            <rFont val="Tahoma"/>
            <family val="2"/>
          </rPr>
          <t xml:space="preserve">
Beloppet visar differensen mellan Bruttointäkterna (E58) länkat från Driften och summan av de i kolumn E fördelade intäkterna (E59:E65)+ intäkten för försäljning av huvudverksamhet till andra kommuner(F58)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E59-E65
.</t>
        </r>
      </text>
    </comment>
    <comment ref="G67" authorId="4" shapeId="0" xr:uid="{00000000-0006-0000-0800-000018000000}">
      <text>
        <r>
          <rPr>
            <b/>
            <sz val="8"/>
            <color indexed="81"/>
            <rFont val="Tahoma"/>
            <family val="2"/>
          </rPr>
          <t xml:space="preserve">SCB: 
</t>
        </r>
        <r>
          <rPr>
            <sz val="8"/>
            <color indexed="81"/>
            <rFont val="Tahoma"/>
            <family val="2"/>
          </rPr>
          <t xml:space="preserve">Beloppet som visas är differensen mellan de interna intäkterna (G58) länkat från Driften och de här utfördelade. 
</t>
        </r>
      </text>
    </comment>
    <comment ref="P71" authorId="1" shapeId="0" xr:uid="{00000000-0006-0000-0800-000019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450,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72" authorId="1" shapeId="0" xr:uid="{00000000-0006-0000-0800-00001A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76" authorId="2" shapeId="0" xr:uid="{DA003BE6-BB88-4756-96ED-52247B5A3114}">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78" authorId="2" shapeId="0" xr:uid="{71B8DC46-3788-4F23-AFDA-4AB8AACFFF9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79" authorId="0" shapeId="0" xr:uid="{00000000-0006-0000-0800-00001B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80" authorId="3" shapeId="0" xr:uid="{00000000-0006-0000-0800-00001C000000}">
      <text>
        <r>
          <rPr>
            <b/>
            <sz val="9"/>
            <color indexed="81"/>
            <rFont val="Tahoma"/>
            <family val="2"/>
          </rPr>
          <t xml:space="preserve">SCB:
</t>
        </r>
        <r>
          <rPr>
            <sz val="9"/>
            <color indexed="81"/>
            <rFont val="Tahoma"/>
            <family val="2"/>
          </rPr>
          <t>Här redovisas kostnader som är gemensamma för kommunen och som ska fördelas på verksamheten. Kostnader som uppkommer hos barn- och ungdomsförvaltningen
eller motsvarande redovisas inte här utan på rad 538 Övrigt.</t>
        </r>
        <r>
          <rPr>
            <sz val="9"/>
            <color indexed="81"/>
            <rFont val="Tahoma"/>
            <family val="2"/>
          </rPr>
          <t xml:space="preserve">
</t>
        </r>
      </text>
    </comment>
    <comment ref="C81" authorId="4" shapeId="0" xr:uid="{00000000-0006-0000-0800-00001D000000}">
      <text>
        <r>
          <rPr>
            <b/>
            <sz val="8"/>
            <color indexed="81"/>
            <rFont val="Tahoma"/>
            <family val="2"/>
          </rPr>
          <t xml:space="preserve">SCB:
</t>
        </r>
        <r>
          <rPr>
            <sz val="8"/>
            <color indexed="81"/>
            <rFont val="Tahoma"/>
            <family val="2"/>
          </rPr>
          <t xml:space="preserve">Beloppet visar differensen mellan Bruttokostnaden (C72) länkat fråni Driften och summan av de i kolumn C utfördelade kostnader (C73:C80) + beloppet för köp av entreprenad och huvudverksamhet (D72) länkat från Motparten.
I cellerna C73 till C80 fördelas bruttokostnaden i C31 minskat med köp av huvudverksamhet i D72.
</t>
        </r>
      </text>
    </comment>
    <comment ref="E81" authorId="4" shapeId="0" xr:uid="{00000000-0006-0000-0800-00001E000000}">
      <text>
        <r>
          <rPr>
            <b/>
            <sz val="8"/>
            <color indexed="81"/>
            <rFont val="Tahoma"/>
            <family val="2"/>
          </rPr>
          <t>SCB:</t>
        </r>
        <r>
          <rPr>
            <sz val="8"/>
            <color indexed="81"/>
            <rFont val="Tahoma"/>
            <family val="2"/>
          </rPr>
          <t xml:space="preserve">
Beloppet visar differensen mellan Bruttointäkterna (E72) länkat från Driften och summan av de i kolumn E fördelade intäkterna (E73:E79)+ intäkten för försäljning av huvudverksamhet till andra kommuner(F72)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E73-E79
.</t>
        </r>
      </text>
    </comment>
    <comment ref="G81" authorId="4" shapeId="0" xr:uid="{00000000-0006-0000-0800-00001F000000}">
      <text>
        <r>
          <rPr>
            <b/>
            <sz val="8"/>
            <color indexed="81"/>
            <rFont val="Tahoma"/>
            <family val="2"/>
          </rPr>
          <t xml:space="preserve">SCB: 
</t>
        </r>
        <r>
          <rPr>
            <sz val="8"/>
            <color indexed="81"/>
            <rFont val="Tahoma"/>
            <family val="2"/>
          </rPr>
          <t xml:space="preserve">Beloppet som visas är differensen mellan de interna intäkterna (G72) länkat från Driften och de här utfördelade. 
</t>
        </r>
      </text>
    </comment>
    <comment ref="P85" authorId="1" shapeId="0" xr:uid="{00000000-0006-0000-0800-000020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453,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86" authorId="1" shapeId="0" xr:uid="{00000000-0006-0000-0800-000021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90" authorId="2" shapeId="0" xr:uid="{E7C9390C-96B8-4932-A639-115E9D4B2F8C}">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91" authorId="0" shapeId="0" xr:uid="{00000000-0006-0000-0800-000022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92" authorId="3" shapeId="0" xr:uid="{00000000-0006-0000-0800-000023000000}">
      <text>
        <r>
          <rPr>
            <b/>
            <sz val="9"/>
            <color indexed="81"/>
            <rFont val="Tahoma"/>
            <family val="2"/>
          </rPr>
          <t xml:space="preserve">SCB:
</t>
        </r>
        <r>
          <rPr>
            <sz val="9"/>
            <color indexed="81"/>
            <rFont val="Tahoma"/>
            <family val="2"/>
          </rPr>
          <t xml:space="preserve">Här redovisas kostnader som är gemensamma för kommunen och som ska fördelas på verksamheten. Kostnader som uppkommer hos barn- och ungdomsförvaltningen
eller motsvarande redovisas inte här utan på rad 708 Övrigt.
</t>
        </r>
      </text>
    </comment>
    <comment ref="C93" authorId="4" shapeId="0" xr:uid="{00000000-0006-0000-0800-000024000000}">
      <text>
        <r>
          <rPr>
            <b/>
            <sz val="8"/>
            <color indexed="81"/>
            <rFont val="Tahoma"/>
            <family val="2"/>
          </rPr>
          <t xml:space="preserve">SCB:
</t>
        </r>
        <r>
          <rPr>
            <sz val="8"/>
            <color indexed="81"/>
            <rFont val="Tahoma"/>
            <family val="2"/>
          </rPr>
          <t xml:space="preserve">Beloppet visar differensen mellan Bruttokostnaden (C86) länkat fråni Driften och summan av de i kolumn C utfördelade kostnader (C87:C92) + beloppet för köp av entreprenad och huvudverksamhet (D86) länkat från Motparten.
I cellerna C87 till C92 fördelas bruttokostnaden i C86 minskat med köp av huvudverksamhet i D86.
</t>
        </r>
      </text>
    </comment>
    <comment ref="E93" authorId="4" shapeId="0" xr:uid="{00000000-0006-0000-0800-000025000000}">
      <text>
        <r>
          <rPr>
            <b/>
            <sz val="8"/>
            <color indexed="81"/>
            <rFont val="Tahoma"/>
            <family val="2"/>
          </rPr>
          <t>SCB:</t>
        </r>
        <r>
          <rPr>
            <sz val="8"/>
            <color indexed="81"/>
            <rFont val="Tahoma"/>
            <family val="2"/>
          </rPr>
          <t xml:space="preserve">
Beloppet visar differensen mellan Bruttointäkterna (E86) länkat från Driften och summan av de i kolumn E fördelade intäkterna (E87:E91)+ intäkten för försäljning av huvudverksamhet till andra kommuner(F86)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E87-E91.</t>
        </r>
      </text>
    </comment>
    <comment ref="G93" authorId="4" shapeId="0" xr:uid="{00000000-0006-0000-0800-000026000000}">
      <text>
        <r>
          <rPr>
            <b/>
            <sz val="8"/>
            <color indexed="81"/>
            <rFont val="Tahoma"/>
            <family val="2"/>
          </rPr>
          <t xml:space="preserve">SCB: 
</t>
        </r>
        <r>
          <rPr>
            <sz val="8"/>
            <color indexed="81"/>
            <rFont val="Tahoma"/>
            <family val="2"/>
          </rPr>
          <t xml:space="preserve">Beloppet som visas är differensen mellan de interna intäkterna (G86) länkat från Driften och de här utfördelade. 
</t>
        </r>
      </text>
    </comment>
    <comment ref="P93" authorId="1" shapeId="0" xr:uid="{00000000-0006-0000-0800-000027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470,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95" authorId="1" shapeId="0" xr:uid="{00000000-0006-0000-0800-000028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99" authorId="2" shapeId="0" xr:uid="{C6D92437-6457-46EC-8A79-F6CB0BA994DB}">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00" authorId="0" shapeId="0" xr:uid="{00000000-0006-0000-0800-000029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101" authorId="3" shapeId="0" xr:uid="{00000000-0006-0000-0800-00002A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728 Övrigt.</t>
        </r>
      </text>
    </comment>
    <comment ref="C102" authorId="4" shapeId="0" xr:uid="{00000000-0006-0000-0800-00002B000000}">
      <text>
        <r>
          <rPr>
            <b/>
            <sz val="8"/>
            <color indexed="81"/>
            <rFont val="Tahoma"/>
            <family val="2"/>
          </rPr>
          <t xml:space="preserve">SCB:
</t>
        </r>
        <r>
          <rPr>
            <sz val="8"/>
            <color indexed="81"/>
            <rFont val="Tahoma"/>
            <family val="2"/>
          </rPr>
          <t xml:space="preserve">Beloppet visar differensen mellan Bruttokostnaden länkat från Driften (C95) och summan av de i kolumn C utfördelade kostnader (C96:C101) + beloppet för köp av entreprenad och huvudverksamhet (D95) länkat från Motparten.
I cellerna C96 till C101 fördelas bruttokostnaden i C95 minskat med köp av huvudverksamhet i D95.
</t>
        </r>
      </text>
    </comment>
    <comment ref="E102" authorId="4" shapeId="0" xr:uid="{00000000-0006-0000-0800-00002C000000}">
      <text>
        <r>
          <rPr>
            <b/>
            <sz val="8"/>
            <color indexed="81"/>
            <rFont val="Tahoma"/>
            <family val="2"/>
          </rPr>
          <t>SCB:</t>
        </r>
        <r>
          <rPr>
            <sz val="8"/>
            <color indexed="81"/>
            <rFont val="Tahoma"/>
            <family val="2"/>
          </rPr>
          <t xml:space="preserve">
Beloppet visar differensen mellan Bruttointäkterna (E95) länkat från Driften och summan av de i kolumn E fördelade intäkterna (E96:E100)+ intäkten för försäljning av huvudverksamhet till andra kommuner (F95)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E96-E100.</t>
        </r>
      </text>
    </comment>
    <comment ref="G102" authorId="4" shapeId="0" xr:uid="{00000000-0006-0000-0800-00002D000000}">
      <text>
        <r>
          <rPr>
            <b/>
            <sz val="8"/>
            <color indexed="81"/>
            <rFont val="Tahoma"/>
            <family val="2"/>
          </rPr>
          <t xml:space="preserve">SCB: 
</t>
        </r>
        <r>
          <rPr>
            <sz val="8"/>
            <color indexed="81"/>
            <rFont val="Tahoma"/>
            <family val="2"/>
          </rPr>
          <t xml:space="preserve">Beloppet som visas är differensen mellan de interna intäkterna (G95) länkat från Driften och de här utfördelade. 
</t>
        </r>
      </text>
    </comment>
    <comment ref="P102" authorId="1" shapeId="0" xr:uid="{00000000-0006-0000-0800-00002E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472,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D108" authorId="2" shapeId="0" xr:uid="{D4185DF7-9647-4C18-A18E-D24BCDCB79F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09" authorId="0" shapeId="0" xr:uid="{A692D1F3-14FE-4A2D-9A3E-DCA05D7E7F82}">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110" authorId="3" shapeId="0" xr:uid="{03E5A0F7-E3B3-4811-9641-B786D6AD66A9}">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728 Övrigt.</t>
        </r>
      </text>
    </comment>
    <comment ref="C111" authorId="4" shapeId="0" xr:uid="{84E8A1CC-4B2C-4081-B6E8-6256B5708F79}">
      <text>
        <r>
          <rPr>
            <b/>
            <sz val="8"/>
            <color indexed="81"/>
            <rFont val="Tahoma"/>
            <family val="2"/>
          </rPr>
          <t xml:space="preserve">SCB:
</t>
        </r>
        <r>
          <rPr>
            <sz val="8"/>
            <color indexed="81"/>
            <rFont val="Tahoma"/>
            <family val="2"/>
          </rPr>
          <t xml:space="preserve">Beloppet visar differensen mellan Bruttokostnaden länkat från Driften (C104) och summan av de i kolumn C utfördelade kostnader (C105:C110) + beloppet för köp av entreprenad och huvudverksamhet (D104) länkat från Motparten.
I cellerna C105 till C110 fördelas bruttokostnaden i C104 minskat med köp av huvudverksamhet i D104.
</t>
        </r>
      </text>
    </comment>
    <comment ref="E111" authorId="4" shapeId="0" xr:uid="{9987D756-688E-4AC7-B300-8118763CFC53}">
      <text>
        <r>
          <rPr>
            <b/>
            <sz val="8"/>
            <color indexed="81"/>
            <rFont val="Tahoma"/>
            <family val="2"/>
          </rPr>
          <t>SCB:</t>
        </r>
        <r>
          <rPr>
            <sz val="8"/>
            <color indexed="81"/>
            <rFont val="Tahoma"/>
            <family val="2"/>
          </rPr>
          <t xml:space="preserve">
Beloppet visar differensen mellan Bruttointäkterna (E104) länkat från Driften och summan av de i kolumn E fördelade intäkterna (E104:E109)+ intäkten för försäljning av huvudverksamhet till andra kommuner (F104)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E105-E109.</t>
        </r>
      </text>
    </comment>
    <comment ref="G111" authorId="4" shapeId="0" xr:uid="{056E0B20-2927-425A-B067-E19F8153C308}">
      <text>
        <r>
          <rPr>
            <b/>
            <sz val="8"/>
            <color indexed="81"/>
            <rFont val="Tahoma"/>
            <family val="2"/>
          </rPr>
          <t xml:space="preserve">SCB: 
</t>
        </r>
        <r>
          <rPr>
            <sz val="8"/>
            <color indexed="81"/>
            <rFont val="Tahoma"/>
            <family val="2"/>
          </rPr>
          <t xml:space="preserve">Beloppet som visas är differensen mellan de interna intäkterna (G104) länkat från Driften och de här utfördelade. 
</t>
        </r>
      </text>
    </comment>
    <comment ref="P111" authorId="1" shapeId="0" xr:uid="{BD653342-C5D9-4B0F-8E1C-CDA67510C8D5}">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476, Svenska för invandrare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Henrik Mundt</author>
    <author>scbelin</author>
    <author>scbelie</author>
    <author>Siegrist Elisabeth DFO/OU-Ö</author>
    <author>annelie hallberg</author>
    <author>SCB</author>
  </authors>
  <commentList>
    <comment ref="G6" authorId="0" shapeId="0" xr:uid="{00000000-0006-0000-0900-000001000000}">
      <text>
        <r>
          <rPr>
            <b/>
            <sz val="9"/>
            <color indexed="81"/>
            <rFont val="Tahoma"/>
            <family val="2"/>
          </rPr>
          <t>SCB:</t>
        </r>
        <r>
          <rPr>
            <sz val="9"/>
            <color indexed="81"/>
            <rFont val="Tahoma"/>
            <family val="2"/>
          </rPr>
          <t xml:space="preserve">
Cell G13, G15, G22, G23 och G25 är låsta.
Externa hyresintäkter borde inte förekomma här.</t>
        </r>
      </text>
    </comment>
    <comment ref="S9" authorId="1" shapeId="0" xr:uid="{00000000-0006-0000-0900-000002000000}">
      <text>
        <r>
          <rPr>
            <sz val="8"/>
            <color indexed="81"/>
            <rFont val="Tahoma"/>
            <family val="2"/>
          </rPr>
          <t xml:space="preserve">
</t>
        </r>
      </text>
    </comment>
    <comment ref="B12" authorId="2" shapeId="0" xr:uid="{00000000-0006-0000-0900-000003000000}">
      <text>
        <r>
          <rPr>
            <b/>
            <sz val="8"/>
            <color indexed="81"/>
            <rFont val="Tahoma"/>
            <family val="2"/>
          </rPr>
          <t>SCB:</t>
        </r>
        <r>
          <rPr>
            <sz val="8"/>
            <color indexed="81"/>
            <rFont val="Tahoma"/>
            <family val="2"/>
          </rPr>
          <t xml:space="preserve">
Här redovisas öppna insatser och insatser enl. SoL till alla personer som är 65 år och äldre.</t>
        </r>
      </text>
    </comment>
    <comment ref="B13" authorId="3" shapeId="0" xr:uid="{00000000-0006-0000-0900-000004000000}">
      <text>
        <r>
          <rPr>
            <sz val="9"/>
            <color indexed="81"/>
            <rFont val="Tahoma"/>
            <family val="2"/>
          </rPr>
          <t>SCB: Avser hemtjänst</t>
        </r>
        <r>
          <rPr>
            <b/>
            <sz val="9"/>
            <color indexed="81"/>
            <rFont val="Tahoma"/>
            <family val="2"/>
          </rPr>
          <t xml:space="preserve">insatser. 
</t>
        </r>
        <r>
          <rPr>
            <sz val="9"/>
            <color indexed="81"/>
            <rFont val="Tahoma"/>
            <family val="2"/>
          </rPr>
          <t xml:space="preserve">Eventuella kostnader och intäkter för för boendet (t.ex. trygghetsboendeen) där kommunen har kontraktsinnehav eller är hyresvärd ska redovisas på rad 5109, Övriga insatser i ordinärt boende
</t>
        </r>
      </text>
    </comment>
    <comment ref="P19" authorId="1" shapeId="0" xr:uid="{00000000-0006-0000-0900-000005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P21" authorId="4" shapeId="0" xr:uid="{00000000-0006-0000-0900-000006000000}">
      <text>
        <r>
          <rPr>
            <b/>
            <sz val="8"/>
            <color indexed="81"/>
            <rFont val="Tahoma"/>
            <family val="2"/>
          </rPr>
          <t>SCB:</t>
        </r>
        <r>
          <rPr>
            <sz val="8"/>
            <color indexed="81"/>
            <rFont val="Tahoma"/>
            <family val="2"/>
          </rPr>
          <t xml:space="preserve"> 
Det finns en differens mellan summeringsrad 51099 (som summerar raderna 5101-5109) och beloppet som länkas från avdelning Drift i respektive kolumn.
</t>
        </r>
      </text>
    </comment>
    <comment ref="B22" authorId="2" shapeId="0" xr:uid="{00000000-0006-0000-0900-000007000000}">
      <text>
        <r>
          <rPr>
            <b/>
            <sz val="8"/>
            <color indexed="81"/>
            <rFont val="Tahoma"/>
            <family val="2"/>
          </rPr>
          <t>SCB:</t>
        </r>
        <r>
          <rPr>
            <sz val="8"/>
            <color indexed="81"/>
            <rFont val="Tahoma"/>
            <family val="2"/>
          </rPr>
          <t xml:space="preserve">
Här redovisas öppna insatser och insatser enligt SoL till personer med funktionsnedsättning 0-64 år. Insatserna redovisas under verksamhet 510 Vård och omsorg om äldre för de personer som är 65 år och uppåt.</t>
        </r>
      </text>
    </comment>
    <comment ref="B23" authorId="3" shapeId="0" xr:uid="{00000000-0006-0000-0900-000008000000}">
      <text>
        <r>
          <rPr>
            <b/>
            <sz val="9"/>
            <color indexed="81"/>
            <rFont val="Tahoma"/>
            <family val="2"/>
          </rPr>
          <t xml:space="preserve">SCB: </t>
        </r>
        <r>
          <rPr>
            <sz val="9"/>
            <color indexed="81"/>
            <rFont val="Tahoma"/>
            <family val="2"/>
          </rPr>
          <t>Avser hemtjänst</t>
        </r>
        <r>
          <rPr>
            <b/>
            <sz val="9"/>
            <color indexed="81"/>
            <rFont val="Tahoma"/>
            <family val="2"/>
          </rPr>
          <t>insatser</t>
        </r>
        <r>
          <rPr>
            <sz val="9"/>
            <color indexed="81"/>
            <rFont val="Tahoma"/>
            <family val="2"/>
          </rPr>
          <t xml:space="preserve">
Eventuella kostnader och intäkter för för boendet (t.ex. trygghetsboendeen) där kommunen har kontraktsinnehav eller är hyresvärd ska redovisas på rad 5209, Övriga insatser i ordinärt boende</t>
        </r>
      </text>
    </comment>
    <comment ref="P29" authorId="1" shapeId="0" xr:uid="{00000000-0006-0000-0900-000009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P31" authorId="4" shapeId="0" xr:uid="{00000000-0006-0000-0900-00000A000000}">
      <text>
        <r>
          <rPr>
            <b/>
            <sz val="8"/>
            <color indexed="81"/>
            <rFont val="Tahoma"/>
            <family val="2"/>
          </rPr>
          <t>SCB:</t>
        </r>
        <r>
          <rPr>
            <sz val="8"/>
            <color indexed="81"/>
            <rFont val="Tahoma"/>
            <family val="2"/>
          </rPr>
          <t xml:space="preserve"> 
Det finns en differens mellan summeringsrad 52099 (som summerar raderna 5201-5209) och beloppet som länkas från avdelning Drift i respektive kolumn.
.</t>
        </r>
      </text>
    </comment>
    <comment ref="K32" authorId="3" shapeId="0" xr:uid="{00000000-0006-0000-0900-00000B000000}">
      <text>
        <r>
          <rPr>
            <b/>
            <sz val="9"/>
            <color indexed="81"/>
            <rFont val="Tahoma"/>
            <family val="2"/>
          </rPr>
          <t xml:space="preserve">SCB:
</t>
        </r>
        <r>
          <rPr>
            <sz val="9"/>
            <color indexed="81"/>
            <rFont val="Tahoma"/>
            <family val="2"/>
          </rPr>
          <t>Kostnad för eget åtagande är exklusive ersättning från FK för personlig assistent samt kostnaden för rådgivning m.m. för Jämtlands kommuner.</t>
        </r>
        <r>
          <rPr>
            <sz val="9"/>
            <color indexed="81"/>
            <rFont val="Tahoma"/>
            <family val="2"/>
          </rPr>
          <t xml:space="preserve">
</t>
        </r>
      </text>
    </comment>
    <comment ref="P37" authorId="1" shapeId="0" xr:uid="{00000000-0006-0000-0900-00000C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I39" authorId="4" shapeId="0" xr:uid="{00000000-0006-0000-0900-00000D000000}">
      <text>
        <r>
          <rPr>
            <b/>
            <sz val="8"/>
            <color indexed="81"/>
            <rFont val="Tahoma"/>
            <family val="2"/>
          </rPr>
          <t>SCB:</t>
        </r>
        <r>
          <rPr>
            <sz val="8"/>
            <color indexed="81"/>
            <rFont val="Tahoma"/>
            <family val="2"/>
          </rPr>
          <t xml:space="preserve">
Försäljning av verksamhet för verksamhet 513 överensstämmer inte med beloppen som angetts i avdelning Motpart, rad 519, kolumn Y och Z.
</t>
        </r>
      </text>
    </comment>
    <comment ref="P39" authorId="4" shapeId="0" xr:uid="{00000000-0006-0000-0900-00000E000000}">
      <text>
        <r>
          <rPr>
            <b/>
            <sz val="8"/>
            <color indexed="81"/>
            <rFont val="Tahoma"/>
            <family val="2"/>
          </rPr>
          <t xml:space="preserve">SCB: </t>
        </r>
        <r>
          <rPr>
            <sz val="8"/>
            <color indexed="81"/>
            <rFont val="Tahoma"/>
            <family val="2"/>
          </rPr>
          <t xml:space="preserve">
Det finns en differens mellan summeringsrad 51399 (som summerar raderna 5131-5139) och beloppet som länkas från avdelning Drift i respektive kolumn.
</t>
        </r>
      </text>
    </comment>
    <comment ref="G42" authorId="4" shapeId="0" xr:uid="{00000000-0006-0000-0900-00000F000000}">
      <text>
        <r>
          <rPr>
            <b/>
            <sz val="8"/>
            <color indexed="81"/>
            <rFont val="Tahoma"/>
            <family val="2"/>
          </rPr>
          <t xml:space="preserve">SCB: </t>
        </r>
        <r>
          <rPr>
            <sz val="8"/>
            <color indexed="81"/>
            <rFont val="Tahoma"/>
            <family val="2"/>
          </rPr>
          <t xml:space="preserve">
Beloppet länkas från rad 525 i avdelningen  "Verksamhetens intäkter och kostnader" . Ersättning från och till FK ska bruttoredovisas.
</t>
        </r>
      </text>
    </comment>
    <comment ref="H42" authorId="4" shapeId="0" xr:uid="{00000000-0006-0000-0900-000010000000}">
      <text>
        <r>
          <rPr>
            <b/>
            <sz val="8"/>
            <color indexed="81"/>
            <rFont val="Tahoma"/>
            <family val="2"/>
          </rPr>
          <t>SCB:</t>
        </r>
        <r>
          <rPr>
            <sz val="8"/>
            <color indexed="81"/>
            <rFont val="Tahoma"/>
            <family val="2"/>
          </rPr>
          <t xml:space="preserve"> 
</t>
        </r>
        <r>
          <rPr>
            <b/>
            <sz val="8"/>
            <color indexed="81"/>
            <rFont val="Tahoma"/>
            <family val="2"/>
          </rPr>
          <t>Lågt belopp:</t>
        </r>
        <r>
          <rPr>
            <sz val="8"/>
            <color indexed="81"/>
            <rFont val="Tahoma"/>
            <family val="2"/>
          </rPr>
          <t xml:space="preserve">  Kontrollen visas då beloppet avseende ersättning från FK anses för lågt. Ersättning från och till FK måste bruttoredovisas!
Kontrollera om ersättning från FK stämmer och kommentera i så fall varför beloppet är så lågt.
</t>
        </r>
        <r>
          <rPr>
            <b/>
            <sz val="8"/>
            <color indexed="81"/>
            <rFont val="Tahoma"/>
            <family val="2"/>
          </rPr>
          <t xml:space="preserve">Kontrollera belopp: </t>
        </r>
        <r>
          <rPr>
            <sz val="8"/>
            <color indexed="81"/>
            <rFont val="Tahoma"/>
            <family val="2"/>
          </rPr>
          <t xml:space="preserve">Beloppet här är större än beloppet på rad 5133 i kolumn G där det ska ingå. Ersättning från FK ska bara redovisas på rad 5133 och inte på någon annan rad.
</t>
        </r>
      </text>
    </comment>
    <comment ref="G43" authorId="4" shapeId="0" xr:uid="{00000000-0006-0000-0900-000011000000}">
      <text>
        <r>
          <rPr>
            <b/>
            <sz val="8"/>
            <color indexed="81"/>
            <rFont val="Tahoma"/>
            <family val="2"/>
          </rPr>
          <t xml:space="preserve">SCB: 
</t>
        </r>
        <r>
          <rPr>
            <sz val="8"/>
            <color indexed="81"/>
            <rFont val="Tahoma"/>
            <family val="2"/>
          </rPr>
          <t xml:space="preserve">Beloppet länkas från rad 630 i avdelningen "Verksamhetens intäkter och kostnader". Ersättning från och till FK ska bruttoredovisas.
</t>
        </r>
      </text>
    </comment>
    <comment ref="H43" authorId="4" shapeId="0" xr:uid="{00000000-0006-0000-0900-000012000000}">
      <text>
        <r>
          <rPr>
            <b/>
            <sz val="8"/>
            <color indexed="81"/>
            <rFont val="Tahoma"/>
            <family val="2"/>
          </rPr>
          <t xml:space="preserve">SCB: </t>
        </r>
        <r>
          <rPr>
            <sz val="8"/>
            <color indexed="81"/>
            <rFont val="Tahoma"/>
            <family val="2"/>
          </rPr>
          <t xml:space="preserve">
</t>
        </r>
        <r>
          <rPr>
            <b/>
            <sz val="8"/>
            <color indexed="81"/>
            <rFont val="Tahoma"/>
            <family val="2"/>
          </rPr>
          <t xml:space="preserve">Lågt belopp: </t>
        </r>
        <r>
          <rPr>
            <sz val="8"/>
            <color indexed="81"/>
            <rFont val="Tahoma"/>
            <family val="2"/>
          </rPr>
          <t xml:space="preserve">Kontrollen kan även visas då beloppet avseende ersättning till FK anses för lågt. Ersättning från och till FK måste bruttoredovisas! Kontrollera om ersättning till FK stämmer och kommentera i så fall varför beloppet är så lågt.
</t>
        </r>
        <r>
          <rPr>
            <b/>
            <sz val="8"/>
            <color indexed="81"/>
            <rFont val="Tahoma"/>
            <family val="2"/>
          </rPr>
          <t>Kontrollera belopp:</t>
        </r>
        <r>
          <rPr>
            <sz val="8"/>
            <color indexed="81"/>
            <rFont val="Tahoma"/>
            <family val="2"/>
          </rPr>
          <t xml:space="preserve"> Beloppet här är större än beloppet på rad 5133 i kolumn C, Bruttokostnad, där det ska ingå. Ersättning till FK ska bara redovisas på rad 5133 och inte på någon annan rad. 
</t>
        </r>
      </text>
    </comment>
    <comment ref="H44" authorId="4" shapeId="0" xr:uid="{00000000-0006-0000-0900-000013000000}">
      <text>
        <r>
          <rPr>
            <b/>
            <sz val="8"/>
            <color indexed="81"/>
            <rFont val="Tahoma"/>
            <family val="2"/>
          </rPr>
          <t>SCB:</t>
        </r>
        <r>
          <rPr>
            <sz val="8"/>
            <color indexed="81"/>
            <rFont val="Tahoma"/>
            <family val="2"/>
          </rPr>
          <t xml:space="preserve">
Regionen är vanligtvis huvudman för insatsen Råd och stöd, undantaget Jämtlands län. Kontrollen "Belopp saknas" visas när kommuner i Jämtlands län som har ansvar för insatsen inte fyllt i något belopp. Kontrollen "Kontrollera belopp" visas när kommuner som inte har ansvar för Råd och stöd enligt LSS fyllt i ett belopp.
Kontrollera om det stämmer och skriv i så fall vad avvikelsen beror på.</t>
        </r>
      </text>
    </comment>
    <comment ref="N50" authorId="4" shapeId="0" xr:uid="{00000000-0006-0000-0900-000014000000}">
      <text>
        <r>
          <rPr>
            <b/>
            <sz val="8"/>
            <color indexed="81"/>
            <rFont val="Tahoma"/>
            <family val="2"/>
          </rPr>
          <t>SCB:</t>
        </r>
        <r>
          <rPr>
            <sz val="8"/>
            <color indexed="81"/>
            <rFont val="Tahoma"/>
            <family val="2"/>
          </rPr>
          <t xml:space="preserve">
Kontrollen visas då beloppen på raderna 5101+5103+5105 överskrider beloppet i samma kolumn på rad 510.</t>
        </r>
      </text>
    </comment>
    <comment ref="N51" authorId="4" shapeId="0" xr:uid="{00000000-0006-0000-0900-000015000000}">
      <text>
        <r>
          <rPr>
            <b/>
            <sz val="8"/>
            <color indexed="81"/>
            <rFont val="Tahoma"/>
            <family val="2"/>
          </rPr>
          <t>SCB:</t>
        </r>
        <r>
          <rPr>
            <sz val="8"/>
            <color indexed="81"/>
            <rFont val="Tahoma"/>
            <family val="2"/>
          </rPr>
          <t xml:space="preserve">
Kontrollen visas då beloppen på raderna 5101+5103+5105 överskrider beloppet
i samma kolumn på rad 510.</t>
        </r>
      </text>
    </comment>
    <comment ref="N55" authorId="4" shapeId="0" xr:uid="{00000000-0006-0000-0900-000016000000}">
      <text>
        <r>
          <rPr>
            <b/>
            <sz val="8"/>
            <color indexed="81"/>
            <rFont val="Tahoma"/>
            <family val="2"/>
          </rPr>
          <t>SCB:</t>
        </r>
        <r>
          <rPr>
            <sz val="8"/>
            <color indexed="81"/>
            <rFont val="Tahoma"/>
            <family val="2"/>
          </rPr>
          <t xml:space="preserve">
Kontrollen visas då beloppen på raderna 5201+5203+5205 överskrider beloppet i samma kolumn på rad 520.</t>
        </r>
      </text>
    </comment>
    <comment ref="N56" authorId="2" shapeId="0" xr:uid="{00000000-0006-0000-0900-000017000000}">
      <text>
        <r>
          <rPr>
            <b/>
            <sz val="8"/>
            <color indexed="81"/>
            <rFont val="Tahoma"/>
            <family val="2"/>
          </rPr>
          <t xml:space="preserve">SCB:
</t>
        </r>
        <r>
          <rPr>
            <sz val="8"/>
            <color indexed="81"/>
            <rFont val="Tahoma"/>
            <family val="2"/>
          </rPr>
          <t>Kontrollen visas då beloppen på raderna 5201+5203+5205 överskrider beloppet i samma kolumn på rad 520.</t>
        </r>
      </text>
    </comment>
    <comment ref="N59" authorId="4" shapeId="0" xr:uid="{00000000-0006-0000-0900-000018000000}">
      <text>
        <r>
          <rPr>
            <b/>
            <sz val="8"/>
            <color indexed="81"/>
            <rFont val="Tahoma"/>
            <family val="2"/>
          </rPr>
          <t>SCB:</t>
        </r>
        <r>
          <rPr>
            <sz val="8"/>
            <color indexed="81"/>
            <rFont val="Tahoma"/>
            <family val="2"/>
          </rPr>
          <t xml:space="preserve">
Kontrollen visas då beloppet på rad 5131 i respektive kolumn överskrider beloppet i samma kolumn på rad 513.</t>
        </r>
      </text>
    </comment>
    <comment ref="N60" authorId="2" shapeId="0" xr:uid="{00000000-0006-0000-0900-000019000000}">
      <text>
        <r>
          <rPr>
            <b/>
            <sz val="8"/>
            <color indexed="81"/>
            <rFont val="Tahoma"/>
            <family val="2"/>
          </rPr>
          <t>SCB:</t>
        </r>
        <r>
          <rPr>
            <sz val="8"/>
            <color indexed="81"/>
            <rFont val="Tahoma"/>
            <family val="2"/>
          </rPr>
          <t xml:space="preserve">
Kontrollen visas då beloppet på rad 5131 i respektive kolumn överskrider beloppet i samma kolumn på rad 513.</t>
        </r>
      </text>
    </comment>
    <comment ref="D61" authorId="5" shapeId="0" xr:uid="{00000000-0006-0000-0900-00001A000000}">
      <text>
        <r>
          <rPr>
            <b/>
            <sz val="8"/>
            <color indexed="81"/>
            <rFont val="Tahoma"/>
            <family val="2"/>
          </rPr>
          <t>SCB:</t>
        </r>
        <r>
          <rPr>
            <sz val="8"/>
            <color indexed="81"/>
            <rFont val="Tahoma"/>
            <family val="2"/>
          </rPr>
          <t xml:space="preserve">
Det ska inte finnas några differenser i Differenskolumnen, dvs. mellan de länkade beloppen i kolumn C och summan av de utfördelade beloppen i kolumnerna E - M.</t>
        </r>
      </text>
    </comment>
  </commentList>
</comments>
</file>

<file path=xl/sharedStrings.xml><?xml version="1.0" encoding="utf-8"?>
<sst xmlns="http://schemas.openxmlformats.org/spreadsheetml/2006/main" count="2559" uniqueCount="1892">
  <si>
    <t>i kommunens koncernföretag</t>
  </si>
  <si>
    <t>hos kommunens koncernföretag</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</si>
  <si>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</si>
  <si>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</si>
  <si>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</si>
  <si>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</si>
  <si>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</si>
  <si>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</si>
  <si>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</si>
  <si>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</si>
  <si>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</si>
  <si>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</si>
  <si>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</si>
  <si>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</si>
  <si>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</si>
  <si>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</si>
  <si>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</si>
  <si>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</si>
  <si>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</si>
  <si>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</si>
  <si>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</si>
  <si>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</si>
  <si>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</si>
  <si>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</si>
  <si>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</si>
  <si>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</si>
  <si>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</si>
  <si>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</si>
  <si>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</si>
  <si>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</si>
  <si>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</si>
  <si>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</si>
  <si>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</si>
  <si>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</si>
  <si>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</si>
  <si>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</si>
  <si>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</si>
  <si>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</si>
  <si>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</si>
  <si>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Kostnad</t>
  </si>
  <si>
    <t>Kontroller</t>
  </si>
  <si>
    <t>BRUTTO-</t>
  </si>
  <si>
    <t>intäkter</t>
  </si>
  <si>
    <t>KOSTNAD</t>
  </si>
  <si>
    <t>kostnad</t>
  </si>
  <si>
    <t>[45]</t>
  </si>
  <si>
    <t>[601]</t>
  </si>
  <si>
    <t>[341]</t>
  </si>
  <si>
    <t>Block 1. POLITISK VERKSAMHET</t>
  </si>
  <si>
    <t>Nämnd- och styrelseverksamhet</t>
  </si>
  <si>
    <t>Kommentarer politisk 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</si>
  <si>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</si>
  <si>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</si>
  <si>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</si>
  <si>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</si>
  <si>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</si>
  <si>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</si>
  <si>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</si>
  <si>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</si>
  <si>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</si>
  <si>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</si>
  <si>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</si>
  <si>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</si>
  <si>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</si>
  <si>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</si>
  <si>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</si>
  <si>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</si>
  <si>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</si>
  <si>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</si>
  <si>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</si>
  <si>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</si>
  <si>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</si>
  <si>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</si>
  <si>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</si>
  <si>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</si>
  <si>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</si>
  <si>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</si>
  <si>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</si>
  <si>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</si>
  <si>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</si>
  <si>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</si>
  <si>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</si>
  <si>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</si>
  <si>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</si>
  <si>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</si>
  <si>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</si>
  <si>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</si>
  <si>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Skolväsendet för barn o ungdom totalt</t>
  </si>
  <si>
    <t>Kommunal vuxenutbildning</t>
  </si>
  <si>
    <t>Högskoleutbildning m.m.</t>
  </si>
  <si>
    <t>Kommentarer balanskravsutredningen:</t>
  </si>
  <si>
    <t>Verksamhetens kostnad enligt RR</t>
  </si>
  <si>
    <t>Verksamhetens intäkter enl. RR</t>
  </si>
  <si>
    <t>Verksamhetens kostnader enl. RR</t>
  </si>
  <si>
    <t>Verksamhetens intäkter enl.RR</t>
  </si>
  <si>
    <t>Kommentarer verksamhetens kostnader:</t>
  </si>
  <si>
    <t>Kommentarer verksamhetens intäkter:</t>
  </si>
  <si>
    <t>Kommentarer förskolan:</t>
  </si>
  <si>
    <t>Kommentarer fritidshem:</t>
  </si>
  <si>
    <t>Kommentarer förskoleklass:</t>
  </si>
  <si>
    <t>Kommentarer grundläggande vuxenutbildning:</t>
  </si>
  <si>
    <t>Kommentarer gymnasial vuxen- och påbyggnadsutbildning:</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</si>
  <si>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</si>
  <si>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</si>
  <si>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</si>
  <si>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</si>
  <si>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</si>
  <si>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</si>
  <si>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</si>
  <si>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</si>
  <si>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</si>
  <si>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</si>
  <si>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</si>
  <si>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</si>
  <si>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</si>
  <si>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</si>
  <si>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</si>
  <si>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</si>
  <si>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</si>
  <si>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</si>
  <si>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 xml:space="preserve"> </t>
  </si>
  <si>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</si>
  <si>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</si>
  <si>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</si>
  <si>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</si>
  <si>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</si>
  <si>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</si>
  <si>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</si>
  <si>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</si>
  <si>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</si>
  <si>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</si>
  <si>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</si>
  <si>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</si>
  <si>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</si>
  <si>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</si>
  <si>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</si>
  <si>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</si>
  <si>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</si>
  <si>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</si>
  <si>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</si>
  <si>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</si>
  <si>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</si>
  <si>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</si>
  <si>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</si>
  <si>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</si>
  <si>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 därav  inst. vård för vuxna med missbruksprob.</t>
  </si>
  <si>
    <t>Övrig Ifo + fam.rätt (rad 571+ 575+585)</t>
  </si>
  <si>
    <t>Arbetsmarknadsåtgärder</t>
  </si>
  <si>
    <t>Summa affärsverksamhet</t>
  </si>
  <si>
    <t>Gemensam verksamhet (inkl. lokaler)</t>
  </si>
  <si>
    <t>Kommentarer till köp av huvudverksamhet:</t>
  </si>
  <si>
    <t>Kommentarer till bidrag och transfereringar:</t>
  </si>
  <si>
    <t>Kommentarer till specificering av vissa intäkter: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</si>
  <si>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</si>
  <si>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</si>
  <si>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</si>
  <si>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</si>
  <si>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</si>
  <si>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</si>
  <si>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</si>
  <si>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</si>
  <si>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</si>
  <si>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</si>
  <si>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</si>
  <si>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</si>
  <si>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</si>
  <si>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</si>
  <si>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</si>
  <si>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</si>
  <si>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</si>
  <si>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</si>
  <si>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</si>
  <si>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</si>
  <si>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</si>
  <si>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t>Differens mellan rad 510 (från avd. Drift) och rad 51099</t>
  </si>
  <si>
    <t>Differens mellan rad 520 (från avd. Drift) och rad 52099</t>
  </si>
  <si>
    <t>Differens rad 513 (från avd. Drift) och rad 51399</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</si>
  <si>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</si>
  <si>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</si>
  <si>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</si>
  <si>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</si>
  <si>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</si>
  <si>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</si>
  <si>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</si>
  <si>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Differens familjerätt/familjerådgivning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</si>
  <si>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</si>
  <si>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</si>
  <si>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</si>
  <si>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</si>
  <si>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</si>
  <si>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</si>
  <si>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</si>
  <si>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</si>
  <si>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</si>
  <si>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</si>
  <si>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</si>
  <si>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</si>
  <si>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</si>
  <si>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</si>
  <si>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</si>
  <si>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</si>
  <si>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</si>
  <si>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</si>
  <si>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</si>
  <si>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 xml:space="preserve">Kommentarer driftredovisningen: </t>
  </si>
  <si>
    <t>Ange kommunens kostnad för rådgivning och annat personligt stöd enl 9 § punkt 1 LSS, tkr</t>
  </si>
  <si>
    <t>EU-bidrag (driftbidrag)</t>
  </si>
  <si>
    <t>Löner</t>
  </si>
  <si>
    <t>Boende enl. LSS för vuxna</t>
  </si>
  <si>
    <t>ägda företag</t>
  </si>
  <si>
    <t>Föreningar,</t>
  </si>
  <si>
    <t>Privata</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</si>
  <si>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</si>
  <si>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</si>
  <si>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</si>
  <si>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</si>
  <si>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</si>
  <si>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</si>
  <si>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</si>
  <si>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</si>
  <si>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</si>
  <si>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</si>
  <si>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</si>
  <si>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</si>
  <si>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</si>
  <si>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</si>
  <si>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</si>
  <si>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</si>
  <si>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</si>
  <si>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</si>
  <si>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</si>
  <si>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</si>
  <si>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</si>
  <si>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</si>
  <si>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</si>
  <si>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</si>
  <si>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</si>
  <si>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</si>
  <si>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</si>
  <si>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</si>
  <si>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</si>
  <si>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</si>
  <si>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</si>
  <si>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</si>
  <si>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</si>
  <si>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</si>
  <si>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</si>
  <si>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</si>
  <si>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</si>
  <si>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</si>
  <si>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</si>
  <si>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</si>
  <si>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</si>
  <si>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</si>
  <si>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</si>
  <si>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</si>
  <si>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</si>
  <si>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</si>
  <si>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</si>
  <si>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</si>
  <si>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</si>
  <si>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</si>
  <si>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</si>
  <si>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</si>
  <si>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</si>
  <si>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</si>
  <si>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</si>
  <si>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</si>
  <si>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</si>
  <si>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</si>
  <si>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</si>
  <si>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</si>
  <si>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</si>
  <si>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</si>
  <si>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</si>
  <si>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</si>
  <si>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</si>
  <si>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</si>
  <si>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</si>
  <si>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</si>
  <si>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</si>
  <si>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</si>
  <si>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</si>
  <si>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</si>
  <si>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</si>
  <si>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</si>
  <si>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</si>
  <si>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</si>
  <si>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</si>
  <si>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</si>
  <si>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</si>
  <si>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</si>
  <si>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</si>
  <si>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</si>
  <si>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</si>
  <si>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</si>
  <si>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</si>
  <si>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</si>
  <si>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</si>
  <si>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</si>
  <si>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</si>
  <si>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</si>
  <si>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015</t>
  </si>
  <si>
    <t>021</t>
  </si>
  <si>
    <t>023</t>
  </si>
  <si>
    <t>036</t>
  </si>
  <si>
    <t>037</t>
  </si>
  <si>
    <t>033</t>
  </si>
  <si>
    <t>032</t>
  </si>
  <si>
    <t>031</t>
  </si>
  <si>
    <t>034</t>
  </si>
  <si>
    <t>035</t>
  </si>
  <si>
    <t>039</t>
  </si>
  <si>
    <t>045</t>
  </si>
  <si>
    <t>046</t>
  </si>
  <si>
    <t>051</t>
  </si>
  <si>
    <t>055</t>
  </si>
  <si>
    <t>053</t>
  </si>
  <si>
    <t>054</t>
  </si>
  <si>
    <t>056</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</si>
  <si>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</si>
  <si>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</si>
  <si>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</si>
  <si>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</si>
  <si>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</si>
  <si>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</si>
  <si>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</si>
  <si>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</si>
  <si>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</si>
  <si>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</si>
  <si>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</si>
  <si>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</si>
  <si>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</si>
  <si>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</si>
  <si>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</si>
  <si>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</si>
  <si>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</si>
  <si>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</si>
  <si>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</si>
  <si>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</si>
  <si>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</si>
  <si>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</si>
  <si>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</si>
  <si>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</si>
  <si>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</si>
  <si>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</si>
  <si>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</si>
  <si>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</si>
  <si>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</si>
  <si>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</si>
  <si>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121</t>
  </si>
  <si>
    <t>122</t>
  </si>
  <si>
    <t>140</t>
  </si>
  <si>
    <t>150</t>
  </si>
  <si>
    <t>160</t>
  </si>
  <si>
    <t>088</t>
  </si>
  <si>
    <t>101</t>
  </si>
  <si>
    <t>239</t>
  </si>
  <si>
    <t>269</t>
  </si>
  <si>
    <t>459</t>
  </si>
  <si>
    <t>479</t>
  </si>
  <si>
    <t>580</t>
  </si>
  <si>
    <t>590</t>
  </si>
  <si>
    <t>- Avskrivningar</t>
  </si>
  <si>
    <t>+/- Övriga förändringar</t>
  </si>
  <si>
    <t>990</t>
  </si>
  <si>
    <t>991</t>
  </si>
  <si>
    <t>992</t>
  </si>
  <si>
    <t>993</t>
  </si>
  <si>
    <t>994</t>
  </si>
  <si>
    <t>995</t>
  </si>
  <si>
    <t>Eget kapital, avsättningar och skulder</t>
  </si>
  <si>
    <t>Verksamhetens intäkter</t>
  </si>
  <si>
    <t>Verksamhetens kostnader</t>
  </si>
  <si>
    <t>Kommunal regi</t>
  </si>
  <si>
    <t>Förskola, personalkostnad andel av total kostnad kommunal regi.</t>
  </si>
  <si>
    <t xml:space="preserve">   - Lokalhyror, rad 450</t>
  </si>
  <si>
    <t>Övriga insatser i ordinärt boende</t>
  </si>
  <si>
    <t xml:space="preserve">   - Infriad borgen, rad 477</t>
  </si>
  <si>
    <t xml:space="preserve">   + Markhyror och arrenden mm. rad 420</t>
  </si>
  <si>
    <t xml:space="preserve">   + Hyror och arrenden, övrigt, rad 480</t>
  </si>
  <si>
    <t xml:space="preserve">   + Bidrag, rad 590</t>
  </si>
  <si>
    <t>Verksamhetens intäkter:</t>
  </si>
  <si>
    <t xml:space="preserve">     Löner, rad 950, kol C:</t>
  </si>
  <si>
    <t xml:space="preserve">     Varor, rad 950, kol E:</t>
  </si>
  <si>
    <t xml:space="preserve">     Övriga, rad 950, kol G:</t>
  </si>
  <si>
    <t xml:space="preserve">     Externa lokalhyror, rad 950, kol I:</t>
  </si>
  <si>
    <t xml:space="preserve">     Taxor och avgifter, rad 950, kol R:</t>
  </si>
  <si>
    <t xml:space="preserve">     Ext. bost.- o lokalhyror, rad 950, kol S:</t>
  </si>
  <si>
    <t xml:space="preserve">     Övriga ext. Intäkter, rad 950, kol T:</t>
  </si>
  <si>
    <t>8. Kontroll av att externa bostads- o lokalhyror i driften är lika stora som i verksamhetsintäkter</t>
  </si>
  <si>
    <t>9. Kontroll av att övriga externa intäkter i driften är lika stora som motsvarande i verksamhetsintäkter</t>
  </si>
  <si>
    <t xml:space="preserve">     Driftbidrag fr.staten, statl.mynd.AF, kol AA</t>
  </si>
  <si>
    <t xml:space="preserve">     Markhyror och bidrag, kol. AC</t>
  </si>
  <si>
    <t xml:space="preserve">     Markhyror och arrenden mm., rad 420</t>
  </si>
  <si>
    <t>Pek510</t>
  </si>
  <si>
    <t>Pek513</t>
  </si>
  <si>
    <t>Personalkostnad äldreomsorg, tkr</t>
  </si>
  <si>
    <t>Personalkostnad ordinärt boende äldreomsorg, tkr</t>
  </si>
  <si>
    <t>Personalkostnad särskilt boende äldreomsorg, tkr</t>
  </si>
  <si>
    <t>Personalkostnad insatser för funktionsnedsatta i ordinärt boende, tkr</t>
  </si>
  <si>
    <t>Personalkostnad insatser för funktionsnedsatta i särskilt boende, tkr</t>
  </si>
  <si>
    <t>Personalkostnad insatser enl LSS/LASS, tkr</t>
  </si>
  <si>
    <t>Personalkostnad insatser för funktionsnedsatta enl SoL, tkr</t>
  </si>
  <si>
    <t>Pek520</t>
  </si>
  <si>
    <t>Pek510ord</t>
  </si>
  <si>
    <t>PEK520ord</t>
  </si>
  <si>
    <t>Äldre och personer med funktionsnedsättning</t>
  </si>
  <si>
    <t>IB Anläggningstillgångar</t>
  </si>
  <si>
    <t>UB Anläggningstillgångar</t>
  </si>
  <si>
    <t>Insatser till personer med funktionsnedsättning (ej LSS/SFB)</t>
  </si>
  <si>
    <t>Insatser enligt LSS/SFB</t>
  </si>
  <si>
    <t>3. Kontroll av att entreprenader och köp av huvudverksamhet i driften redovisas på rätt rad i verksamhetskostnader</t>
  </si>
  <si>
    <t>5. Kontroll av att bidrag och transfereringar i driften är lika med bidrag och transfereringar i verksamhetskostnaderna</t>
  </si>
  <si>
    <t>6. Kontroll av att externa lokalhyror i driften är lika med externa lokalhyror i verksamhetskostnaderna</t>
  </si>
  <si>
    <t>7. Kontroll av att externa avgifter i driften är lika stor som i Verksamhetsintäkter:</t>
  </si>
  <si>
    <t>Motpartsredovisning</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</si>
  <si>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</si>
  <si>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</si>
  <si>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</si>
  <si>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</si>
  <si>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</si>
  <si>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</si>
  <si>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</si>
  <si>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</si>
  <si>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</si>
  <si>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</si>
  <si>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</si>
  <si>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</si>
  <si>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</si>
  <si>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</si>
  <si>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</si>
  <si>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</si>
  <si>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</si>
  <si>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</si>
  <si>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</si>
  <si>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</si>
  <si>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</si>
  <si>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</si>
  <si>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</si>
  <si>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</si>
  <si>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VKV-kostnader/nyckeltal:</t>
  </si>
  <si>
    <t>NtalVoO</t>
  </si>
  <si>
    <t>Pek5205</t>
  </si>
  <si>
    <t>Kontroll mot driftrredovisningen</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</si>
  <si>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</si>
  <si>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</si>
  <si>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</si>
  <si>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</si>
  <si>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</si>
  <si>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</si>
  <si>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</si>
  <si>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</si>
  <si>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</si>
  <si>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</si>
  <si>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</si>
  <si>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</si>
  <si>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</si>
  <si>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</si>
  <si>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</si>
  <si>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</si>
  <si>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</si>
  <si>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</si>
  <si>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</si>
  <si>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</si>
  <si>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</si>
  <si>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</si>
  <si>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</si>
  <si>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</si>
  <si>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</si>
  <si>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</si>
  <si>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</si>
  <si>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</si>
  <si>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</si>
  <si>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</si>
  <si>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</si>
  <si>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</si>
  <si>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</si>
  <si>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</si>
  <si>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</si>
  <si>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</si>
  <si>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</si>
  <si>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</si>
  <si>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</si>
  <si>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</si>
  <si>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</si>
  <si>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</si>
  <si>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</si>
  <si>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</si>
  <si>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</si>
  <si>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</si>
  <si>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</si>
  <si>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</si>
  <si>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</si>
  <si>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</si>
  <si>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</si>
  <si>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</si>
  <si>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</si>
  <si>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</si>
  <si>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</si>
  <si>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</si>
  <si>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</si>
  <si>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</si>
  <si>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</si>
  <si>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</si>
  <si>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</si>
  <si>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0799</t>
  </si>
  <si>
    <t>07991</t>
  </si>
  <si>
    <t>Därav avgifter för verksamhet i enskild regi</t>
  </si>
  <si>
    <t>Nyckeltal kr/inv</t>
  </si>
  <si>
    <t>Däravposter till kommunernas tillgångar</t>
  </si>
  <si>
    <t>Värde tkr</t>
  </si>
  <si>
    <t>Externa lokalhyror</t>
  </si>
  <si>
    <t>Interna köp och övriga interna kostnader</t>
  </si>
  <si>
    <t>Fördelad gemensam verksamhet</t>
  </si>
  <si>
    <t>Externa bostadshyror o lokalhyror</t>
  </si>
  <si>
    <t>Övriga externa intäkter</t>
  </si>
  <si>
    <t>Föreningar stiftelser</t>
  </si>
  <si>
    <t>Privata företag</t>
  </si>
  <si>
    <t>Staten och statl. myndigheter</t>
  </si>
  <si>
    <t>Förs.av versamh. till landsting</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</si>
  <si>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</si>
  <si>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</si>
  <si>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</si>
  <si>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</si>
  <si>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</si>
  <si>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</si>
  <si>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</si>
  <si>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</si>
  <si>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</si>
  <si>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</si>
  <si>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</si>
  <si>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</si>
  <si>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</si>
  <si>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</si>
  <si>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</si>
  <si>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</si>
  <si>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</si>
  <si>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</si>
  <si>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</si>
  <si>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</si>
  <si>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</si>
  <si>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</si>
  <si>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</si>
  <si>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</si>
  <si>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 xml:space="preserve"> Avgifter</t>
  </si>
  <si>
    <t>Kalkylerad personal-omkostnad</t>
  </si>
  <si>
    <t>Kalkylerade kapital-kostnader</t>
  </si>
  <si>
    <t>540</t>
  </si>
  <si>
    <t>519</t>
  </si>
  <si>
    <t>Insatser till personer med funktionsnedsättning totalt (inkl LSS)</t>
  </si>
  <si>
    <t>Från driftredovis-ningen</t>
  </si>
  <si>
    <t>Skolskjuts, reseersättning o inackordering</t>
  </si>
  <si>
    <t xml:space="preserve"> Fördelad gemensam verksamhet</t>
  </si>
  <si>
    <t>Undervisning</t>
  </si>
  <si>
    <t>Förändring i %</t>
  </si>
  <si>
    <t>Differens grundskolan</t>
  </si>
  <si>
    <t>Differens gymnasieskolan</t>
  </si>
  <si>
    <t>Differens grundläggande vuxenutbildning</t>
  </si>
  <si>
    <t>Differens gymnasial vuxenutbildning</t>
  </si>
  <si>
    <t>Differens mot drift-  redovisningen</t>
  </si>
  <si>
    <t>Driftredovisning:</t>
  </si>
  <si>
    <t xml:space="preserve">     Löner m.m., rad 100:</t>
  </si>
  <si>
    <t xml:space="preserve">     Lokalhyror, rad 450:</t>
  </si>
  <si>
    <t>=</t>
  </si>
  <si>
    <t xml:space="preserve">     Taxor o avgifter, rad 290</t>
  </si>
  <si>
    <t xml:space="preserve">     Bostads- och lokalhyror, rad 400:</t>
  </si>
  <si>
    <t>Verksamhetskostad</t>
  </si>
  <si>
    <t>Verksamhetskostnader</t>
  </si>
  <si>
    <t xml:space="preserve">     Material, rad 360:</t>
  </si>
  <si>
    <t xml:space="preserve">     Verksamhetskostnader:</t>
  </si>
  <si>
    <t xml:space="preserve">     Tjänster, inkl köp av verksamh, rad 479</t>
  </si>
  <si>
    <t>Verksamhetsintäkter</t>
  </si>
  <si>
    <t>Vård och omsorg om äldre (från motpart)</t>
  </si>
  <si>
    <t>inv 21-64 år</t>
  </si>
  <si>
    <t>Differens rad 559 (från drift) - rad 55999</t>
  </si>
  <si>
    <t>Differens rad 569 (från drift) - rad 56999</t>
  </si>
  <si>
    <t>Summa familjerätt och familjerådgivning</t>
  </si>
  <si>
    <t>inv 0-20 år</t>
  </si>
  <si>
    <t>invånare</t>
  </si>
  <si>
    <t>inv 0-17 år</t>
  </si>
  <si>
    <t>inv 18-69 år</t>
  </si>
  <si>
    <t>Finansiella nyckeltal</t>
  </si>
  <si>
    <t>Försäljn.av anl.tillg. i % av skatteintäkter, generella statsbidrag o utj.</t>
  </si>
  <si>
    <t>Andel investeringar som finansieras med försäljn. av anl.tillg.</t>
  </si>
  <si>
    <t>Måltider</t>
  </si>
  <si>
    <t>Kommuninformation:</t>
  </si>
  <si>
    <t>Pedagogisk verksamhet</t>
  </si>
  <si>
    <t>Kommun:</t>
  </si>
  <si>
    <t>KommunID:</t>
  </si>
  <si>
    <t>Förskola, avgiftsfinansierringsgrad %</t>
  </si>
  <si>
    <t xml:space="preserve">UtVoO </t>
  </si>
  <si>
    <t>F</t>
  </si>
  <si>
    <t>H</t>
  </si>
  <si>
    <t>I</t>
  </si>
  <si>
    <t>Fritidshem, avgiftsfinansieringsgrad</t>
  </si>
  <si>
    <t>Kommentarer personer med funktionsnedsättning:</t>
  </si>
  <si>
    <t>Kommentarer entreprenad och köp av huvudverksamhet:</t>
  </si>
  <si>
    <t>Kommentarer vuxna missbrukare:</t>
  </si>
  <si>
    <t>Kommentarer barn- och ungdomsvård:</t>
  </si>
  <si>
    <t>Kommentarer övriga insatser vuxna och ekonomiskt bistånd:</t>
  </si>
  <si>
    <t>Kommentarer familjerätt- och familjerådgivning:</t>
  </si>
  <si>
    <t>Kommentarer till skatter, bidrag och finansiella poster:</t>
  </si>
  <si>
    <t>Soliditet, % enligt balansräkningen</t>
  </si>
  <si>
    <t>I121</t>
  </si>
  <si>
    <t>NtalSkol</t>
  </si>
  <si>
    <t>Antal</t>
  </si>
  <si>
    <t>I12951</t>
  </si>
  <si>
    <t>I12</t>
  </si>
  <si>
    <t>I00</t>
  </si>
  <si>
    <t>I15</t>
  </si>
  <si>
    <t>Öppen fritidsverksamhet, kostnad totalt</t>
  </si>
  <si>
    <t>I36</t>
  </si>
  <si>
    <t>I37</t>
  </si>
  <si>
    <t>U8211</t>
  </si>
  <si>
    <t>P74</t>
  </si>
  <si>
    <t>Särvux, kostnad per invånare, skolkommun</t>
  </si>
  <si>
    <t>Q76</t>
  </si>
  <si>
    <t>Soliditet, % inkl. pensionsåtaganden före 1998</t>
  </si>
  <si>
    <t>Långfristiga skulder exkl. utlåning till kommunägda bolag</t>
  </si>
  <si>
    <t>Kommentera orsaken till differensen:</t>
  </si>
  <si>
    <t>Verksamhetens självfinansieringsgrad</t>
  </si>
  <si>
    <t xml:space="preserve">Blåttmönster innebär länkning </t>
  </si>
  <si>
    <t xml:space="preserve">Grönmarkering används till beräkning av LSS-utjämningen </t>
  </si>
  <si>
    <t>Förs. expl.fastigheter, tomträtter [37]</t>
  </si>
  <si>
    <t>Interna lokal-kostnader</t>
  </si>
  <si>
    <t>Utlämnade lån till koncernföretag  (rad 088)</t>
  </si>
  <si>
    <t>Kommentarer balansräkning och borgensförbindelser:</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</si>
  <si>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</si>
  <si>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</si>
  <si>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</si>
  <si>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</si>
  <si>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</si>
  <si>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</si>
  <si>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</si>
  <si>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</si>
  <si>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</si>
  <si>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</si>
  <si>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</si>
  <si>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Specificering av vissa intäkter (i kol.övr. externa intäkter)</t>
  </si>
  <si>
    <t>Kommentarer insatser enligt LSS/SFB</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</si>
  <si>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</si>
  <si>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</si>
  <si>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</si>
  <si>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</si>
  <si>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</si>
  <si>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</si>
  <si>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</si>
  <si>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</si>
  <si>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</si>
  <si>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</si>
  <si>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</si>
  <si>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</si>
  <si>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</si>
  <si>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</si>
  <si>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</si>
  <si>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</si>
  <si>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</si>
  <si>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</si>
  <si>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</si>
  <si>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</si>
  <si>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</si>
  <si>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</si>
  <si>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</si>
  <si>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</si>
  <si>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</si>
  <si>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</si>
  <si>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</si>
  <si>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</si>
  <si>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</si>
  <si>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</si>
  <si>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</si>
  <si>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</si>
  <si>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</si>
  <si>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</si>
  <si>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</si>
  <si>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</si>
  <si>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</si>
  <si>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</si>
  <si>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</si>
  <si>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</si>
  <si>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</si>
  <si>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</si>
  <si>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</si>
  <si>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</si>
  <si>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</si>
  <si>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</si>
  <si>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</si>
  <si>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</si>
  <si>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</si>
  <si>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</si>
  <si>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</si>
  <si>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</si>
  <si>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</si>
  <si>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</si>
  <si>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</si>
  <si>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</si>
  <si>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</si>
  <si>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</si>
  <si>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</si>
  <si>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</si>
  <si>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</si>
  <si>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</si>
  <si>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</si>
  <si>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</si>
  <si>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Kommentarer utbildning inkl. förskoleklass:</t>
  </si>
  <si>
    <t xml:space="preserve">Kommentarer äldre: </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</si>
  <si>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</si>
  <si>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</si>
  <si>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</si>
  <si>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</si>
  <si>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</si>
  <si>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1) De bestämmelser om personlig assistans som tidigare fanns i LASS är fr.o.m. år 2011 inordnade i Socialförsäkringsbalken (SFB, 51 kap.).</t>
  </si>
  <si>
    <t>Kontroll av därav-raden 554</t>
  </si>
  <si>
    <t>Kontroll av därav-raden 552</t>
  </si>
  <si>
    <t>Formel</t>
  </si>
  <si>
    <t xml:space="preserve">Text </t>
  </si>
  <si>
    <t xml:space="preserve">Sort </t>
  </si>
  <si>
    <t>Tabell</t>
  </si>
  <si>
    <t>SosK510</t>
  </si>
  <si>
    <t>Sos-kostnad vård och omsorg om äldre totalt</t>
  </si>
  <si>
    <t>Tkr</t>
  </si>
  <si>
    <t>UtSos</t>
  </si>
  <si>
    <t>SosK5101</t>
  </si>
  <si>
    <t>Sos-kostnad hemtjänst äldre</t>
  </si>
  <si>
    <t>SosK5103</t>
  </si>
  <si>
    <t>Sos-kostnad korttidsboende äldre</t>
  </si>
  <si>
    <t>SosK5104</t>
  </si>
  <si>
    <t>Sos-kostnad dagverksamhet äldre</t>
  </si>
  <si>
    <t>SosK5106</t>
  </si>
  <si>
    <t>Sos-kostnad öppen verksamhet äldre</t>
  </si>
  <si>
    <t>SosK5109</t>
  </si>
  <si>
    <t>Sos-kostnad övriga insatser i ordinärt boende äldre</t>
  </si>
  <si>
    <t>SoSK510ord</t>
  </si>
  <si>
    <t>Sos-kostnad i ordinärt boende äldre</t>
  </si>
  <si>
    <t>SosK520</t>
  </si>
  <si>
    <t>Sos-kostnad vård och omsorg om pers. m. funkneds. enl. SoL totalt</t>
  </si>
  <si>
    <t>SosK5201</t>
  </si>
  <si>
    <t>Sos-kostnad hemtjänst pers. m. funkneds.</t>
  </si>
  <si>
    <t>SosK5202</t>
  </si>
  <si>
    <t>Sos-kostnad boendestöd pers. m. funkneds.</t>
  </si>
  <si>
    <t>SosK5203</t>
  </si>
  <si>
    <t>Sos-kostnad korttidsboende pers. m. funkneds.</t>
  </si>
  <si>
    <t>SosK5205</t>
  </si>
  <si>
    <t>Sos-kostnad särskilt/annat boende pers. m. funkneds.</t>
  </si>
  <si>
    <t>SosK5206</t>
  </si>
  <si>
    <t>Sos-kostnad öppen verksamhet pers. m. funkneds.</t>
  </si>
  <si>
    <t>SosK5209</t>
  </si>
  <si>
    <t>Sos-kostnad övriga insatser i ordinärt boende pers. m. funkneds.</t>
  </si>
  <si>
    <t>SosK520ord</t>
  </si>
  <si>
    <t>Sos-kostnad i ordinärt boende pers. m. funkneds.</t>
  </si>
  <si>
    <t>SosK513</t>
  </si>
  <si>
    <t>Sos-kostnad LSS/SFB totalt</t>
  </si>
  <si>
    <t>Sos-kostnad boende LSS totalt</t>
  </si>
  <si>
    <t>SosK5131</t>
  </si>
  <si>
    <t>Sos-kostnad boende LSS vuxna</t>
  </si>
  <si>
    <t>SosK5132</t>
  </si>
  <si>
    <t>Sos-kostnad boende LSS barn</t>
  </si>
  <si>
    <t>SosK5133</t>
  </si>
  <si>
    <t>Sos-kostnad personlig assistans</t>
  </si>
  <si>
    <t>SosK5135</t>
  </si>
  <si>
    <t>Sos-kostnad daglig verksamhet enligt LSS</t>
  </si>
  <si>
    <t>SosK5139</t>
  </si>
  <si>
    <t>Sos-kostnad övriga insatser enligt LSS</t>
  </si>
  <si>
    <t>SosK513520</t>
  </si>
  <si>
    <t>Sos-kostnad insatser till personer med funktionsneds. totalt</t>
  </si>
  <si>
    <t>SosK510520ord</t>
  </si>
  <si>
    <t>Sos-kostnad insatser i ordinärt boende (SoL och HSL)</t>
  </si>
  <si>
    <t>SosKtot</t>
  </si>
  <si>
    <t>Sos-kostnad insatser till äldre och personer med funktionsneds. totalt</t>
  </si>
  <si>
    <t>Sos510</t>
  </si>
  <si>
    <t>Vård och omsorg om äldre per invånare 65-w år enligt Sos</t>
  </si>
  <si>
    <t>Kr/inv 65-w</t>
  </si>
  <si>
    <t>Sos5101</t>
  </si>
  <si>
    <t>Hemtjänst äldre per invånare 65-w år enligt Sos</t>
  </si>
  <si>
    <t>Sos5103</t>
  </si>
  <si>
    <t>Korttidsboende äldre per invånare 65-w år enligt Sos</t>
  </si>
  <si>
    <t>Sos5104</t>
  </si>
  <si>
    <t>Dagverksamhet äldre per invånare 65-w år enligt Sos</t>
  </si>
  <si>
    <t>Särskilt boende äldre per invånare 65-w år enligt Sos</t>
  </si>
  <si>
    <t>Sos5106</t>
  </si>
  <si>
    <t>Öppen verksamhet äldre per invånare 65-w år enligt Sos</t>
  </si>
  <si>
    <t>Sos5109</t>
  </si>
  <si>
    <t>Övriga insatser i ordinärt boende äldre per invånare 65-w år enligt Sos</t>
  </si>
  <si>
    <t>Sos510ord</t>
  </si>
  <si>
    <t>Insatser i ordinärt boende för äldre per invånare 65- w år enligt Sos</t>
  </si>
  <si>
    <t>Sos520</t>
  </si>
  <si>
    <t>Vård och omsorg om pers. m. funkneds. enl. SoL per invånare 0-64 år enligt Sos</t>
  </si>
  <si>
    <t>Kr/inv 0-64</t>
  </si>
  <si>
    <t>Sos5201</t>
  </si>
  <si>
    <t>Hemtjänst pers. m. funkneds. per invånare 0-64 år enligt Sos</t>
  </si>
  <si>
    <t>Sos5202</t>
  </si>
  <si>
    <t>Boendestöd pers. m. funkneds. per invånare 0-64 år enligt Sos</t>
  </si>
  <si>
    <t>Sos5203</t>
  </si>
  <si>
    <t>Korttidsboende pers. m. funkneds. per invånare 0-64 enligt Sos</t>
  </si>
  <si>
    <t>Sos5205</t>
  </si>
  <si>
    <t>Särskilt/annat boende pers. m. funkneds. per invånare 0-64 enligt Sos</t>
  </si>
  <si>
    <t>Sos5206</t>
  </si>
  <si>
    <t>Öppen verksamhet pers. m. funkneds. per invånare 0-64 enligt Sos</t>
  </si>
  <si>
    <t>Sos5209</t>
  </si>
  <si>
    <t>Övriga insatser i ordinärt boende pers. m. funkneds. per inv 0-64 enligt Sos</t>
  </si>
  <si>
    <t>Sos520ord</t>
  </si>
  <si>
    <t>Ordinärt boende pers. m. funkneds. per inv 0-64 enligt Sos</t>
  </si>
  <si>
    <t>Sos513</t>
  </si>
  <si>
    <t>LSS/SFB totalt per invånare totalt enligt Sos</t>
  </si>
  <si>
    <t>Kr/inv</t>
  </si>
  <si>
    <t>LSS-boende totalt per invånare totalt enligt Sos</t>
  </si>
  <si>
    <t>Sos5131</t>
  </si>
  <si>
    <t>LSS-boende för vuxna per invånare 23-w år enligt Sos</t>
  </si>
  <si>
    <t>Kr/inv 23-w</t>
  </si>
  <si>
    <t>Sos5132</t>
  </si>
  <si>
    <t>LSS-boende för barn per invånare 0-22 år enligt Sos</t>
  </si>
  <si>
    <t>Kr/inv 0-22</t>
  </si>
  <si>
    <t>Sos5133</t>
  </si>
  <si>
    <t>Personlig assistans per invånare totalt enligt Sos</t>
  </si>
  <si>
    <t>Sos5135</t>
  </si>
  <si>
    <t>Daglig verksamhet enligt LSS per invånare 23-64 år enligt Sos</t>
  </si>
  <si>
    <t>Kr/inv 23-64</t>
  </si>
  <si>
    <t>Sos510520ord</t>
  </si>
  <si>
    <t>Insatser i ordinärt boende (SoL och HSL)</t>
  </si>
  <si>
    <t>VKVK510520ord</t>
  </si>
  <si>
    <t>VKV-kostnad i ordinärt boende (äldre och personer med funktionsneds.)</t>
  </si>
  <si>
    <t>UtVoO</t>
  </si>
  <si>
    <t>VKVK510ord</t>
  </si>
  <si>
    <r>
      <t>Omsättningstillgångar</t>
    </r>
    <r>
      <rPr>
        <sz val="7"/>
        <rFont val="Helvetica"/>
        <family val="2"/>
      </rPr>
      <t xml:space="preserve">                                       </t>
    </r>
  </si>
  <si>
    <t>VKV-kostnad i ordinärt boende äldre</t>
  </si>
  <si>
    <t>VKVK520ord</t>
  </si>
  <si>
    <t>VKV-kostnad i ordinärt boende pers. m. funkneds.</t>
  </si>
  <si>
    <t>VKVK513inkl</t>
  </si>
  <si>
    <t>Insatser enligt LSS och LASS totalt</t>
  </si>
  <si>
    <t>VKVK513520</t>
  </si>
  <si>
    <t>VKV-kostnad insatser till personer med funktionsneds. totalt</t>
  </si>
  <si>
    <t>Variabelnamn</t>
  </si>
  <si>
    <t>C</t>
  </si>
  <si>
    <t>E</t>
  </si>
  <si>
    <t>G</t>
  </si>
  <si>
    <t>VKV</t>
  </si>
  <si>
    <t>VKVK</t>
  </si>
  <si>
    <t>D</t>
  </si>
  <si>
    <t>Sos513bo</t>
  </si>
  <si>
    <t>SosK513bo</t>
  </si>
  <si>
    <t xml:space="preserve">Insatser i ordinärt boende för äldre per invånare 65- w år </t>
  </si>
  <si>
    <t xml:space="preserve">Insatser i ordinärt boende pers. m. funkneds. per inv 0-64 </t>
  </si>
  <si>
    <t>VKV510ord</t>
  </si>
  <si>
    <t>VKV520ord</t>
  </si>
  <si>
    <t>Lok513</t>
  </si>
  <si>
    <t>Lokalkostnad Insatser enligt LSS och LASS totalt</t>
  </si>
  <si>
    <t>Lok5103</t>
  </si>
  <si>
    <t>Korttidsvård äldre</t>
  </si>
  <si>
    <t>Lok5203</t>
  </si>
  <si>
    <t>Särskilt boende äldre</t>
  </si>
  <si>
    <t>Lok5205</t>
  </si>
  <si>
    <t>Lok5106</t>
  </si>
  <si>
    <t>Öppen verksamhet äldre</t>
  </si>
  <si>
    <t>Lok5206</t>
  </si>
  <si>
    <t>Lok510</t>
  </si>
  <si>
    <t>Lok520</t>
  </si>
  <si>
    <t>Lokalkostnad äldre, totalt</t>
  </si>
  <si>
    <t>Lokalkostnad personer med funktionsnedsättning enl. SoL, totalt</t>
  </si>
  <si>
    <t>Korttidsvård personer med funktionsnedsättning enl. SoL</t>
  </si>
  <si>
    <t>Särskilt boende personer med funktionsnedsättning enl. SoL</t>
  </si>
  <si>
    <t>Öppen verksamhet personer med funktionsnedsättning enl. SoL</t>
  </si>
  <si>
    <t>Kostnader Sos</t>
  </si>
  <si>
    <t>Nyckeltal Sos</t>
  </si>
  <si>
    <t>Rad-</t>
  </si>
  <si>
    <t>Kommunen</t>
  </si>
  <si>
    <t>nr</t>
  </si>
  <si>
    <t>Verksamhetens nettokostnader</t>
  </si>
  <si>
    <t>Skatteintäkter</t>
  </si>
  <si>
    <t>Finansiella intäkter</t>
  </si>
  <si>
    <t>Finansiella kostnader</t>
  </si>
  <si>
    <t>Årets resultat</t>
  </si>
  <si>
    <t>Rad</t>
  </si>
  <si>
    <t>Anläggningstillgångar</t>
  </si>
  <si>
    <t>Immateriella anläggningstillgångar</t>
  </si>
  <si>
    <t>Mark, byggn. och tekn. anläggningar</t>
  </si>
  <si>
    <t>Maskiner och inventarier</t>
  </si>
  <si>
    <t>Aktier och andelar, bostadsrätter</t>
  </si>
  <si>
    <t>Långfristiga fordringar</t>
  </si>
  <si>
    <t>SUMMA ANLÄGGNINGSTILLGÅNGAR</t>
  </si>
  <si>
    <t>15</t>
  </si>
  <si>
    <t>Kundfordringar</t>
  </si>
  <si>
    <t>16</t>
  </si>
  <si>
    <t>Diverse kortfristiga fordringar</t>
  </si>
  <si>
    <t>165</t>
  </si>
  <si>
    <t>182</t>
  </si>
  <si>
    <t>183</t>
  </si>
  <si>
    <t>184</t>
  </si>
  <si>
    <t>Certifikat</t>
  </si>
  <si>
    <t>14-19</t>
  </si>
  <si>
    <t>10-19</t>
  </si>
  <si>
    <t>SUMMA TILLGÅNGAR</t>
  </si>
  <si>
    <t>221</t>
  </si>
  <si>
    <t>222</t>
  </si>
  <si>
    <t>Kommentarer grundskola:</t>
  </si>
  <si>
    <t>Kommentarer gymnasieskola:</t>
  </si>
  <si>
    <t>225</t>
  </si>
  <si>
    <t>228</t>
  </si>
  <si>
    <t>Andra avsättningar</t>
  </si>
  <si>
    <t>2281</t>
  </si>
  <si>
    <t>SUMMA AVSÄTTNINGAR</t>
  </si>
  <si>
    <t>Långfristiga skulder till koncernföretag</t>
  </si>
  <si>
    <t>237</t>
  </si>
  <si>
    <t>Långfristig leasingskuld</t>
  </si>
  <si>
    <t>Långfristiga skulder, totalt</t>
  </si>
  <si>
    <t>24</t>
  </si>
  <si>
    <t>Kortfristiga skulder till kreditinstitut och kunder</t>
  </si>
  <si>
    <t>25</t>
  </si>
  <si>
    <t>Leverantörsskulder</t>
  </si>
  <si>
    <t>292</t>
  </si>
  <si>
    <t>Upplupna semesterlöner</t>
  </si>
  <si>
    <t>2933</t>
  </si>
  <si>
    <t>296</t>
  </si>
  <si>
    <t>Not 1</t>
  </si>
  <si>
    <t>Not 2</t>
  </si>
  <si>
    <t>Övriga kortfristiga skulder</t>
  </si>
  <si>
    <t>24-29</t>
  </si>
  <si>
    <t>Kortfristiga skulder, totalt</t>
  </si>
  <si>
    <t>23-29</t>
  </si>
  <si>
    <t>SUMMA SKULDER</t>
  </si>
  <si>
    <t>20,22-29</t>
  </si>
  <si>
    <t>Borgen o andra förpliktelser gentemot kommunala bostadsföretag</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</si>
  <si>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</si>
  <si>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</si>
  <si>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</si>
  <si>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</si>
  <si>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</si>
  <si>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</si>
  <si>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</si>
  <si>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</si>
  <si>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</si>
  <si>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</si>
  <si>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</si>
  <si>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</si>
  <si>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</si>
  <si>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</si>
  <si>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</si>
  <si>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</si>
  <si>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</si>
  <si>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</si>
  <si>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</si>
  <si>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</si>
  <si>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</si>
  <si>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</si>
  <si>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</si>
  <si>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</si>
  <si>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</si>
  <si>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</si>
  <si>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</si>
  <si>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</si>
  <si>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</si>
  <si>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</si>
  <si>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</si>
  <si>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</si>
  <si>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</si>
  <si>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</si>
  <si>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</si>
  <si>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</si>
  <si>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</si>
  <si>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U</t>
  </si>
  <si>
    <t>V</t>
  </si>
  <si>
    <t>W</t>
  </si>
  <si>
    <t>X</t>
  </si>
  <si>
    <t>Z</t>
  </si>
  <si>
    <t>ZF</t>
  </si>
  <si>
    <t>ZM</t>
  </si>
  <si>
    <t>Y</t>
  </si>
  <si>
    <t>YJ</t>
  </si>
  <si>
    <t>Koncernen</t>
  </si>
  <si>
    <t xml:space="preserve">Orealiserade valutakursvinster  </t>
  </si>
  <si>
    <t>Tillgångar</t>
  </si>
  <si>
    <t>1351</t>
  </si>
  <si>
    <t>246</t>
  </si>
  <si>
    <t>Investeringar i % av skatteintäkter, generella statsbidrag och utj.</t>
  </si>
  <si>
    <t xml:space="preserve">Bidrag från utjämningssystemen och generella </t>
  </si>
  <si>
    <t>statliga bidrag</t>
  </si>
  <si>
    <t xml:space="preserve">Realiserade valutakursförluster </t>
  </si>
  <si>
    <t>Orealiserade valutakursförluster</t>
  </si>
  <si>
    <t xml:space="preserve">Verksamhetens intäkter </t>
  </si>
  <si>
    <t xml:space="preserve">Verksamhetens kostnader </t>
  </si>
  <si>
    <t>Däravposter till verksamhetens kostnader</t>
  </si>
  <si>
    <t>Förändring</t>
  </si>
  <si>
    <t>procent</t>
  </si>
  <si>
    <t>Gråttmönster innebär automatisk beräkning</t>
  </si>
  <si>
    <t>Borgensförbindelser och övriga ansvarsförbindelser</t>
  </si>
  <si>
    <t>Gråttmönster  innebär automatisk beräkning</t>
  </si>
  <si>
    <t>Gråttmönster innebär automatisk beräkning/förprintning</t>
  </si>
  <si>
    <t>Förskola, fritidshem o annan pedagogisk verksamhet, totalt</t>
  </si>
  <si>
    <t>123</t>
  </si>
  <si>
    <t>Observera att jämförelsestörande poster i driften kan leda till kontroller här vilket inte är fel! Kommentera!</t>
  </si>
  <si>
    <t>Förklaring till kontrollerna:</t>
  </si>
  <si>
    <t>Gråttmönster innebär automatisk beräkning / förprintning</t>
  </si>
  <si>
    <t xml:space="preserve">Korttidsboende / Korttidsvård </t>
  </si>
  <si>
    <t>Elevhälsa</t>
  </si>
  <si>
    <t>563 [ej 5635]</t>
  </si>
  <si>
    <t>del av 15</t>
  </si>
  <si>
    <t>del av 25</t>
  </si>
  <si>
    <t>30, 369</t>
  </si>
  <si>
    <t>Övriga hyror och arrenden</t>
  </si>
  <si>
    <t>Däravposter till verksamhetens intäkter</t>
  </si>
  <si>
    <t>Försäljning av verksamhet, motpart kommun</t>
  </si>
  <si>
    <t>4541</t>
  </si>
  <si>
    <t>Försäljn. av verksamheter och tjänster</t>
  </si>
  <si>
    <t>Lämnade bidrag</t>
  </si>
  <si>
    <t>Pensionsförsäkringspremier</t>
  </si>
  <si>
    <t>Köp av huvudverksamhet</t>
  </si>
  <si>
    <t>Reparation och underhåll</t>
  </si>
  <si>
    <t>Avsättning för särskild löneskatt på pensioner</t>
  </si>
  <si>
    <t>Upplupen pensionskostnad avgiftsbestämd ålderspension</t>
  </si>
  <si>
    <t>761</t>
  </si>
  <si>
    <t>Kommunal fastighetsavgift</t>
  </si>
  <si>
    <t>Förbrukningsinventarier</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</si>
  <si>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</si>
  <si>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</si>
  <si>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</si>
  <si>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</si>
  <si>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</si>
  <si>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</si>
  <si>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</si>
  <si>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</si>
  <si>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</si>
  <si>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</si>
  <si>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</si>
  <si>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</si>
  <si>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</si>
  <si>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</si>
  <si>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84</t>
  </si>
  <si>
    <t>[351]                       Motpart 81</t>
  </si>
  <si>
    <t>Köp av huvud-</t>
  </si>
  <si>
    <t>Köp av huvudverks, rad 950, kol F:</t>
  </si>
  <si>
    <t xml:space="preserve">     Köp av huvudverksamhet, rad 401</t>
  </si>
  <si>
    <t xml:space="preserve">   - Köp av huvudverksamhet, rad 401</t>
  </si>
  <si>
    <t xml:space="preserve">     Lämnade bidrag, rad 690:</t>
  </si>
  <si>
    <t xml:space="preserve">     Lämnade bidrag, rad 950, kol H:</t>
  </si>
  <si>
    <t>238</t>
  </si>
  <si>
    <t>232, 239</t>
  </si>
  <si>
    <t>Upplupna sociala avgifter</t>
  </si>
  <si>
    <t>Förklaring till kontroller:</t>
  </si>
  <si>
    <t>Lilamarkering innebär nytt konto eller ny definition</t>
  </si>
  <si>
    <t>Röd triangel visar att det finns en kommentar till cellen</t>
  </si>
  <si>
    <t>361, 363, 365</t>
  </si>
  <si>
    <t>Övriga främmande tjänster</t>
  </si>
  <si>
    <t>781, 782,784</t>
  </si>
  <si>
    <t>Pensionsutbetalningar intjänade fr.o.m.98</t>
  </si>
  <si>
    <t>[46]</t>
  </si>
  <si>
    <t>Köp av huvudverksamhet [46]</t>
  </si>
  <si>
    <t>verksamhet [46]</t>
  </si>
  <si>
    <t>617, 618</t>
  </si>
  <si>
    <t>63, 695</t>
  </si>
  <si>
    <t>361, 363</t>
  </si>
  <si>
    <t>Förs. av verksamh. till annan komm.</t>
  </si>
  <si>
    <t>361</t>
  </si>
  <si>
    <t>Därav köp av huvudverksamhet</t>
  </si>
  <si>
    <t>Motpartsredovisning av köp av huvudverksamhet [46]</t>
  </si>
  <si>
    <t>341</t>
  </si>
  <si>
    <t>651</t>
  </si>
  <si>
    <t>317</t>
  </si>
  <si>
    <t>327</t>
  </si>
  <si>
    <t>087</t>
  </si>
  <si>
    <t>062</t>
  </si>
  <si>
    <t>064</t>
  </si>
  <si>
    <t>Lilamarkering innebär nytt konto, nytt radnummer eller ny definition</t>
  </si>
  <si>
    <t>Lilamarkering innebär förändrad eller ny uppgift</t>
  </si>
  <si>
    <t xml:space="preserve">6192, 692, 696 </t>
  </si>
  <si>
    <t>Differens mellan summan av rad 900-984 och RR rad 070</t>
  </si>
  <si>
    <t>Enskilda personer, hushåll</t>
  </si>
  <si>
    <t>Kommunalförbund och SKL</t>
  </si>
  <si>
    <t>Staten, statl. Myndigheter (inkl.FK)</t>
  </si>
  <si>
    <t xml:space="preserve"> [30, 34 ej 341, 35-36] </t>
  </si>
  <si>
    <t>Externa bostadshyror och lokalhyror</t>
  </si>
  <si>
    <t>inkomster</t>
  </si>
  <si>
    <t>Avsättningar för pensioner och liknande förpliktelser</t>
  </si>
  <si>
    <t>Avsättningar för särskild avtalspens, visstidspens.o liknande</t>
  </si>
  <si>
    <t>138</t>
  </si>
  <si>
    <t>Grundfondskapital</t>
  </si>
  <si>
    <t>133, 134</t>
  </si>
  <si>
    <t>132, 137</t>
  </si>
  <si>
    <t>104</t>
  </si>
  <si>
    <t>[31]</t>
  </si>
  <si>
    <t>Buss, bil och spårbundna persontransporter</t>
  </si>
  <si>
    <t>Väg- och järnvägsnät, parkering</t>
  </si>
  <si>
    <t xml:space="preserve">   + Husbyggnads-,anläggnings- o reparationsentreprenader, rad 345</t>
  </si>
  <si>
    <t xml:space="preserve">   - Husbyggnads-,anläggnings- o reparationsentreprenader, rad 345:</t>
  </si>
  <si>
    <t xml:space="preserve">Lärverktyg </t>
  </si>
  <si>
    <t>Varor m.m.</t>
  </si>
  <si>
    <t>Förklaring till kontroll:</t>
  </si>
  <si>
    <t>Nyckeltal huvudRS</t>
  </si>
  <si>
    <t>nklk_kn</t>
  </si>
  <si>
    <t>nklk_kc</t>
  </si>
  <si>
    <t>Kassalikviditet kommun</t>
  </si>
  <si>
    <t>Kassalikviditet koncern</t>
  </si>
  <si>
    <t>nsgi_kn</t>
  </si>
  <si>
    <t>Självfinaniseringsgrad för investeringar</t>
  </si>
  <si>
    <t>NtalVkv</t>
  </si>
  <si>
    <t>Kommun-                  nyckel</t>
  </si>
  <si>
    <t>SCB-             nyckel</t>
  </si>
  <si>
    <t xml:space="preserve">             Fördelning i kolumnen kommunnyckel </t>
  </si>
  <si>
    <t xml:space="preserve">             Fördelning i kolumnen SCB-nyckel</t>
  </si>
  <si>
    <t>RR!$E$7</t>
  </si>
  <si>
    <t>'Verks int o kostn'!$J$45</t>
  </si>
  <si>
    <t>'Verks int o kostn'!$J$41</t>
  </si>
  <si>
    <t>'Skatter, bidrag o fin poster'!$E$11</t>
  </si>
  <si>
    <t>Investeringar!$C$16</t>
  </si>
  <si>
    <t>Investeringar!$D$16</t>
  </si>
  <si>
    <t>Investeringar!$E$16</t>
  </si>
  <si>
    <t>Investeringar!$F$16</t>
  </si>
  <si>
    <t>Drift!$AD$113</t>
  </si>
  <si>
    <t>Drift!$N$114</t>
  </si>
  <si>
    <t>Drift!$W$123</t>
  </si>
  <si>
    <t>Motpart!$AD$10</t>
  </si>
  <si>
    <t>'Pedagogisk verksamhet'!$P$43</t>
  </si>
  <si>
    <t>'Pedagogisk verksamhet'!$P$53</t>
  </si>
  <si>
    <t>'Pedagogisk verksamhet'!$P$67</t>
  </si>
  <si>
    <t>Kontrollblad!$F$128</t>
  </si>
  <si>
    <t>20</t>
  </si>
  <si>
    <t>Invånarantal 1-5 år</t>
  </si>
  <si>
    <t>Invånarantal 6-12 år</t>
  </si>
  <si>
    <t>Invånarantal 6 år</t>
  </si>
  <si>
    <t>Invånarantal 7-15 år</t>
  </si>
  <si>
    <t>Invånarantal 16-18 år</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</si>
  <si>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</si>
  <si>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</si>
  <si>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</si>
  <si>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</si>
  <si>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</si>
  <si>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</si>
  <si>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</si>
  <si>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</si>
  <si>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</si>
  <si>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</si>
  <si>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</si>
  <si>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</si>
  <si>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</si>
  <si>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</si>
  <si>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</si>
  <si>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</si>
  <si>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</si>
  <si>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</si>
  <si>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</si>
  <si>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</si>
  <si>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</si>
  <si>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</si>
  <si>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</si>
  <si>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</si>
  <si>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</si>
  <si>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</si>
  <si>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</si>
  <si>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</si>
  <si>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</si>
  <si>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</si>
  <si>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</si>
  <si>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</si>
  <si>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</si>
  <si>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</si>
  <si>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</si>
  <si>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</si>
  <si>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</si>
  <si>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</si>
  <si>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</si>
  <si>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</si>
  <si>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</si>
  <si>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</si>
  <si>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</si>
  <si>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</si>
  <si>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</si>
  <si>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</si>
  <si>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</si>
  <si>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</si>
  <si>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Lilamarkering innebär ny rad, nytt konto eller ny definition</t>
  </si>
  <si>
    <t>147</t>
  </si>
  <si>
    <t>+ Inköp / nyanskaffning inklusive pågående arbeten</t>
  </si>
  <si>
    <t>(Reavinst vid) försäljning av anläggningstillgångar</t>
  </si>
  <si>
    <t>Inköp av maskiner o</t>
  </si>
  <si>
    <t>Inköp av mark, byggn.</t>
  </si>
  <si>
    <t>Investerings-</t>
  </si>
  <si>
    <t>utgifter</t>
  </si>
  <si>
    <t>Därav borgensåtaganden för lån</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</si>
  <si>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</si>
  <si>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</si>
  <si>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</si>
  <si>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</si>
  <si>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</si>
  <si>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</si>
  <si>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</si>
  <si>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</si>
  <si>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</si>
  <si>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</si>
  <si>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</si>
  <si>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</si>
  <si>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</si>
  <si>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</si>
  <si>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</si>
  <si>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</si>
  <si>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Kommentarer till resultaträkningen:</t>
  </si>
  <si>
    <t>Pensionsutbetalningar</t>
  </si>
  <si>
    <t>Uppdragsutbildning m.m.</t>
  </si>
  <si>
    <t>Antal invånare 1-12</t>
  </si>
  <si>
    <t>Pedagogisk omsorg kommunal, kostnad per invånare 1-12 år.</t>
  </si>
  <si>
    <t>Pedagogisk omsorg köp i enskild regi kostnad per invånare 1-12 år.</t>
  </si>
  <si>
    <t>Pedagogisk omsorg hemkommun, kostnad per invånare 1-12 år.</t>
  </si>
  <si>
    <t>Fritidshem, förskoleklass och grundskola kostnad i skolkommun per invånare 6-15 år.</t>
  </si>
  <si>
    <t>Fritidshem, förskoleklass och grundskola kostnad exklusive lokaler i skolkommun per invånare 6-15 år.</t>
  </si>
  <si>
    <t>Gymnasieskolan, kostnad hemkommun kommunal huvudman per invånare 16-18 år.</t>
  </si>
  <si>
    <t>Avgifter till utjämningssystemen</t>
  </si>
  <si>
    <t>(Reavinst vid) Försälj. av anl.tillg.[38]</t>
  </si>
  <si>
    <t>Nyckeltal kostnad kr per invånare eller andel av verksamhet</t>
  </si>
  <si>
    <t>Kr/inv 1-12 år</t>
  </si>
  <si>
    <t>Kr/inv 6-15 år</t>
  </si>
  <si>
    <t>Kr/inv 16-18 år</t>
  </si>
  <si>
    <t>I071_exlokaler</t>
  </si>
  <si>
    <t>I251_exlokaler</t>
  </si>
  <si>
    <t>I351_exlokaler</t>
  </si>
  <si>
    <t>J40_exlokaler</t>
  </si>
  <si>
    <t>K43_exlokaler</t>
  </si>
  <si>
    <t>L50_exlokaler</t>
  </si>
  <si>
    <t>M53_exlokaler</t>
  </si>
  <si>
    <t>N70_exlokaler</t>
  </si>
  <si>
    <t>O72_exlokaler</t>
  </si>
  <si>
    <t>Förskola, kostnad exklusive lokaler skolkommun.</t>
  </si>
  <si>
    <t>Fritidshem, kostnad exklusive lokaler skolkommun.</t>
  </si>
  <si>
    <t>Förskoleklass, kostnad exklusive lokaler skolkommun.</t>
  </si>
  <si>
    <t>Grundskola, kostnad exklusive lokaler skolkommun.</t>
  </si>
  <si>
    <t>Gymnasieskola, kostnad exklusive lokaler skolkommun.</t>
  </si>
  <si>
    <t>Grundvux, kostnad exklusive lokaler skolkommun.</t>
  </si>
  <si>
    <t>Gymnasievux, kostnad exklusive lokaler skolkommun.</t>
  </si>
  <si>
    <t>Grund och gymnasievux, kostnad exklusive lokaler skolkommun.</t>
  </si>
  <si>
    <t>N70911</t>
  </si>
  <si>
    <t>N70912</t>
  </si>
  <si>
    <t>N70951</t>
  </si>
  <si>
    <t>O72911</t>
  </si>
  <si>
    <t>O72912</t>
  </si>
  <si>
    <t>O72921</t>
  </si>
  <si>
    <t>O72951</t>
  </si>
  <si>
    <t>Grund och gymnasievux, kostnad skolkommun</t>
  </si>
  <si>
    <t>Grund och gymnasievux, kostnad undervisning</t>
  </si>
  <si>
    <t xml:space="preserve">Grund och gymnasievux, kostnad lärverktyg </t>
  </si>
  <si>
    <t>Grund och gymnasievux, kostnad elevhälsa</t>
  </si>
  <si>
    <t>Grund och gymnasievux, kostnad lokaler</t>
  </si>
  <si>
    <t>Grund och gymnasievux, kostnad övrigt</t>
  </si>
  <si>
    <t xml:space="preserve">Grundvux köp av huvudversamhet från kommuner </t>
  </si>
  <si>
    <t>Grundvux försäljning av verksamhet till annan kommun</t>
  </si>
  <si>
    <t>Grundvux köp av huvudversamhet från privata utförare</t>
  </si>
  <si>
    <t xml:space="preserve">Gymnasievux köp av huvudversamhet från kommuner </t>
  </si>
  <si>
    <t>Gymnasievux försäljning av verksamhet till annan kommun</t>
  </si>
  <si>
    <t>Gymnasievux köp av huvudversamhet från privata utförare</t>
  </si>
  <si>
    <t>Gymnasievux köp av huvudversamhet från landsting</t>
  </si>
  <si>
    <t>Grundvux_inkannan_33</t>
  </si>
  <si>
    <t>Gymnasievux_inkannan_34</t>
  </si>
  <si>
    <t>Vux_inkannan_35</t>
  </si>
  <si>
    <t>Grundvux kostnad för skolkommun inklusive annan utbildningsanordnare</t>
  </si>
  <si>
    <t>Gymnasievux kostnad för skolkommun inklusive annan utbildningsanordnare</t>
  </si>
  <si>
    <t>Grund och gymnasievux kostnad för skolkommun inklusive annan utbildningsanordnare</t>
  </si>
  <si>
    <t>N70921</t>
  </si>
  <si>
    <t>Grundvux köp av huvudversamhet från landsting</t>
  </si>
  <si>
    <t>Grundvux_HK_30</t>
  </si>
  <si>
    <t>Gymnasievux_HK_31</t>
  </si>
  <si>
    <t>Gymnasievux kostnad för hemkommunen</t>
  </si>
  <si>
    <t>Grundvux kostnad för hemkommunen</t>
  </si>
  <si>
    <t>Barnomsorg_SK</t>
  </si>
  <si>
    <t>Barnomsorg_HK</t>
  </si>
  <si>
    <t>Barnomsorg, kostnad totalt för hemkommun</t>
  </si>
  <si>
    <t>Barnomsorg, kostnad totalt för skolkommun</t>
  </si>
  <si>
    <t>Kostnader</t>
  </si>
  <si>
    <t xml:space="preserve">Grund och gymnasievux köp av huvudversamhet från kommuner </t>
  </si>
  <si>
    <t>Grund och gymnasievux köp av huvudversamhet från landsting</t>
  </si>
  <si>
    <t>Grund och gymnasievux köp av huvudversamhet från privata utförare</t>
  </si>
  <si>
    <t>Vux_32_exlokaler</t>
  </si>
  <si>
    <t>Vux_32_00</t>
  </si>
  <si>
    <t>Vux_32_01</t>
  </si>
  <si>
    <t>Vux_32_02</t>
  </si>
  <si>
    <t>Vux_32_06</t>
  </si>
  <si>
    <t>Vux_32_07</t>
  </si>
  <si>
    <t>Vux_32_08</t>
  </si>
  <si>
    <t>Vux_32_70911_72911</t>
  </si>
  <si>
    <t>Vux_32_70921_72921</t>
  </si>
  <si>
    <t>Vux_32_70951_72951</t>
  </si>
  <si>
    <t>SFI, kostnad per invånare, skolkommun inkl privata utförare</t>
  </si>
  <si>
    <t>Föräldraravgift_10</t>
  </si>
  <si>
    <t>Föräldraravgift_15</t>
  </si>
  <si>
    <t>Föräldraravgift, förskolan</t>
  </si>
  <si>
    <t>Föräldraravgift, fritidshem</t>
  </si>
  <si>
    <t>Öppen förskola, kostnad totalt</t>
  </si>
  <si>
    <t>Bidrag till infrastruktur</t>
  </si>
  <si>
    <t>Kostnadsföring bidrag till infrastruktur</t>
  </si>
  <si>
    <t>Upplösning aktiverat bidrag till infrastruktur</t>
  </si>
  <si>
    <t>Däravposter till finansiella intäkter</t>
  </si>
  <si>
    <t>733,734, 765</t>
  </si>
  <si>
    <t>Kostnad för eget åtagande</t>
  </si>
  <si>
    <t>Kostnad för</t>
  </si>
  <si>
    <t xml:space="preserve">Kostnad för </t>
  </si>
  <si>
    <r>
      <t xml:space="preserve">Kontroller 
</t>
    </r>
    <r>
      <rPr>
        <sz val="7"/>
        <rFont val="Helvetica"/>
        <family val="2"/>
      </rPr>
      <t xml:space="preserve">Förklaring till kontroller         </t>
    </r>
    <r>
      <rPr>
        <b/>
        <sz val="7"/>
        <rFont val="Helvetica"/>
        <family val="2"/>
      </rPr>
      <t xml:space="preserve">             </t>
    </r>
  </si>
  <si>
    <t xml:space="preserve">BRUTTO- 
</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</si>
  <si>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</si>
  <si>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</si>
  <si>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</si>
  <si>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</si>
  <si>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</si>
  <si>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</si>
  <si>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</si>
  <si>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</si>
  <si>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 xml:space="preserve">            Nyckeltal </t>
  </si>
  <si>
    <t>808, 809</t>
  </si>
  <si>
    <t>Kostnader för eget åtagande</t>
  </si>
  <si>
    <t>åtagande</t>
  </si>
  <si>
    <t>eget</t>
  </si>
  <si>
    <t>Kommentarer flyktingmott. o arbetsm.åtg:</t>
  </si>
  <si>
    <t>Kommentarer kultur o fritids-verksamhet:</t>
  </si>
  <si>
    <t>Kommentarer förskola, fritids-hem o annan ped.verks.:</t>
  </si>
  <si>
    <t xml:space="preserve">Kommentarer affärs-verksamhet: </t>
  </si>
  <si>
    <t>Kommentarer infrastruktur och skydd:</t>
  </si>
  <si>
    <t>Statsbidrag maxtaxa kolumn AB 
Statsbidrag kvalitetssäkran-de åtgärder kolumn AC</t>
  </si>
  <si>
    <r>
      <t xml:space="preserve">Nyckeltal, kronor / invånare
</t>
    </r>
    <r>
      <rPr>
        <sz val="7"/>
        <rFont val="Helvetica"/>
        <family val="2"/>
      </rPr>
      <t>och Kommentarrutor</t>
    </r>
  </si>
  <si>
    <t>Kommentarer VoO inkl. IFO</t>
  </si>
  <si>
    <t>342</t>
  </si>
  <si>
    <t xml:space="preserve">   - Anskaffningskostnad, försåld exploateringsfastighet, rad 342</t>
  </si>
  <si>
    <t>Avskrivningar, inklusive nedskrivningar</t>
  </si>
  <si>
    <t>Pedagogisk verksamhet'!$P$31</t>
  </si>
  <si>
    <t>Pedagogisk verksamhet'!$P$44</t>
  </si>
  <si>
    <t>Pedagogisk verksamhet'!$P$58</t>
  </si>
  <si>
    <t>Pedagogisk verksamhet'!$P$72</t>
  </si>
  <si>
    <t>Pedagogisk verksamhet'!$P$86</t>
  </si>
  <si>
    <t>Pedagogisk verksamhet'!$P$95</t>
  </si>
  <si>
    <t>Pedagogisk verksamhet'!$P$17</t>
  </si>
  <si>
    <t>Pedagogisk verksamhet'!$P$9</t>
  </si>
  <si>
    <t>Eliminera differens grundskola</t>
  </si>
  <si>
    <t>Pedagogisk verksamhet'!$P$57</t>
  </si>
  <si>
    <t xml:space="preserve">Kommentera gymnasieskola </t>
  </si>
  <si>
    <t>Pedagogisk verksamhet'!$P$71</t>
  </si>
  <si>
    <t>Eliminera differens gymnasieskola</t>
  </si>
  <si>
    <t>Pedagogisk verksamhet'!$P$85</t>
  </si>
  <si>
    <t>Pedagogisk verksamhet'!$P$93</t>
  </si>
  <si>
    <t xml:space="preserve">Eliminera differens grundläggande vuxenutbildning </t>
  </si>
  <si>
    <t>Pedagogisk verksamhet'!$P$102</t>
  </si>
  <si>
    <t xml:space="preserve">Eliminera gymnasial vuxen- och påbyggnadsutbildning </t>
  </si>
  <si>
    <t>Drift!$X$116</t>
  </si>
  <si>
    <t>Drift!$J$118</t>
  </si>
  <si>
    <t>Drift!$P$126</t>
  </si>
  <si>
    <r>
      <t xml:space="preserve">Därav interna intäkter
__________
</t>
    </r>
    <r>
      <rPr>
        <sz val="7"/>
        <color indexed="10"/>
        <rFont val="Helvetica"/>
        <family val="2"/>
      </rPr>
      <t>Röd siffra i kol G, därav</t>
    </r>
    <r>
      <rPr>
        <sz val="7"/>
        <color indexed="10"/>
        <rFont val="Helvetica"/>
        <family val="2"/>
      </rPr>
      <t xml:space="preserve"> interna intäkter om den är större än brutto-intäkten, kol E</t>
    </r>
  </si>
  <si>
    <t>bindelser (inklusive borgens- o förlustansvar                   småhus)</t>
  </si>
  <si>
    <t>Pensionsförplikt.    Inkl. löneskatt på</t>
  </si>
  <si>
    <t xml:space="preserve"> som inte har upptagits bland skulder el. avsättningar                pensionsförpliktelse</t>
  </si>
  <si>
    <t>Landsting/ Regioner</t>
  </si>
  <si>
    <t xml:space="preserve">Entrepren., Konsulter </t>
  </si>
  <si>
    <t>[617,618,74,75]</t>
  </si>
  <si>
    <t>[402]</t>
  </si>
  <si>
    <t>[403]</t>
  </si>
  <si>
    <t>Samtliga invest. entrepr. och  invest.konsulter ingår)</t>
  </si>
  <si>
    <t>067</t>
  </si>
  <si>
    <t>15-17</t>
  </si>
  <si>
    <t>Summa kortfristiga fordringar</t>
  </si>
  <si>
    <t>18</t>
  </si>
  <si>
    <t>131</t>
  </si>
  <si>
    <t>132</t>
  </si>
  <si>
    <t>133</t>
  </si>
  <si>
    <t>134</t>
  </si>
  <si>
    <t>242</t>
  </si>
  <si>
    <r>
      <rPr>
        <b/>
        <sz val="7"/>
        <rFont val="Helvetica"/>
        <family val="2"/>
      </rPr>
      <t>Kommun</t>
    </r>
    <r>
      <rPr>
        <sz val="7"/>
        <rFont val="Helvetica"/>
        <family val="2"/>
      </rPr>
      <t xml:space="preserve">
Maskiner och inventarier [12]</t>
    </r>
  </si>
  <si>
    <t xml:space="preserve">
Därav</t>
  </si>
  <si>
    <r>
      <t xml:space="preserve">Koncern
</t>
    </r>
    <r>
      <rPr>
        <sz val="7"/>
        <color indexed="8"/>
        <rFont val="Helvetica"/>
        <family val="2"/>
      </rPr>
      <t>Materiella anläggningstillg.[11,12]</t>
    </r>
  </si>
  <si>
    <t>Kommentarer till investeringsredovisningen:</t>
  </si>
  <si>
    <t>Rad-nr</t>
  </si>
  <si>
    <t>Inköp och försäljning av mark oavsett bokfört som omsättningstillgång eller anläggningstillgång</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</si>
  <si>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</si>
  <si>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</si>
  <si>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</si>
  <si>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</si>
  <si>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</si>
  <si>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</si>
  <si>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</si>
  <si>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</si>
  <si>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</si>
  <si>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</si>
  <si>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</si>
  <si>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</si>
  <si>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</si>
  <si>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</si>
  <si>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</si>
  <si>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</si>
  <si>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</si>
  <si>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(exkl. förs. av anl.tillgångar)</t>
  </si>
  <si>
    <t>Intäkter till Kolada</t>
  </si>
  <si>
    <t>Bruttointäkt minus Interna intäkter och försäljning till andra kommuner och landsting</t>
  </si>
  <si>
    <t>Därav personal-kostnader</t>
  </si>
  <si>
    <t>Netto-</t>
  </si>
  <si>
    <t>Dagverksamhet, ordinärt boende</t>
  </si>
  <si>
    <t>VKVK5133exkl</t>
  </si>
  <si>
    <t>Personlig assistans enl LSS/SFB exklusive ersättning från försäkringskassan</t>
  </si>
  <si>
    <t>del av 453   [ej 4538]</t>
  </si>
  <si>
    <t>- Försäljningspris / avyttringsbelopp</t>
  </si>
  <si>
    <t>Däravposter till avsättningar och skulder</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</si>
  <si>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</si>
  <si>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</si>
  <si>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</si>
  <si>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</si>
  <si>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Kommentarer till tilläggsuppgifterna avseende kommunens investeringsredovisning:</t>
  </si>
  <si>
    <t>Kommentarer till tilläggsuppgifterna avseende investeringar i den sammanställda redovisningen:</t>
  </si>
  <si>
    <t>del av 238</t>
  </si>
  <si>
    <t>del av 23</t>
  </si>
  <si>
    <t>755</t>
  </si>
  <si>
    <t>lämnas nedan</t>
  </si>
  <si>
    <t xml:space="preserve">Uppgifterna för koncernen </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</si>
  <si>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</si>
  <si>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</si>
  <si>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 Förlust vid avyttring och utrangering av anl.tillgångar</t>
  </si>
  <si>
    <t>Hälso- och sjukvård, övrigt (utöver den hemsjukvård som ingår på radnr 510, 520 eller 513)</t>
  </si>
  <si>
    <t>Investeringar!$I$13</t>
  </si>
  <si>
    <t>Investeringar!$G$66</t>
  </si>
  <si>
    <t>Investeringar!$E$97</t>
  </si>
  <si>
    <t xml:space="preserve"> förskola</t>
  </si>
  <si>
    <t xml:space="preserve"> fritidshem</t>
  </si>
  <si>
    <t xml:space="preserve"> förskoleklass</t>
  </si>
  <si>
    <t xml:space="preserve"> grundskola</t>
  </si>
  <si>
    <t xml:space="preserve"> gymnasieskolan</t>
  </si>
  <si>
    <t xml:space="preserve"> grundläggande vuxenutbildning </t>
  </si>
  <si>
    <t xml:space="preserve"> gymnasial vuxen- och påbyggnadsutbildning </t>
  </si>
  <si>
    <t xml:space="preserve">Kommentera  köp av platser i annan kommun gymnasieskola </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</si>
  <si>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</si>
  <si>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</si>
  <si>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</si>
  <si>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</si>
  <si>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</si>
  <si>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</si>
  <si>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</si>
  <si>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Enligt Verksamhetens intäkter och kostnader</t>
  </si>
  <si>
    <t>Driftbidrag fr. staten, statl. mynd. Inkl.AF</t>
  </si>
  <si>
    <t>Därav                                köp av huvud-verksamhet</t>
  </si>
  <si>
    <t>Differens mellan summan av rad 800-844 och RR rad 060:</t>
  </si>
  <si>
    <t>Självrisker</t>
  </si>
  <si>
    <t>Infriad borgen</t>
  </si>
  <si>
    <t>Avgifter</t>
  </si>
  <si>
    <r>
      <t xml:space="preserve">4. Kontroll av att beloppen i kol. "Övriga" i driften är lika med motsvarande tjänster i verksamhetskostnader:  </t>
    </r>
    <r>
      <rPr>
        <b/>
        <sz val="7"/>
        <color rgb="FFFF0000"/>
        <rFont val="Helvetica"/>
        <family val="2"/>
      </rPr>
      <t/>
    </r>
  </si>
  <si>
    <t>IFO!$L$30</t>
  </si>
  <si>
    <t>IFO!$L$20</t>
  </si>
  <si>
    <t>IFO!$L$28</t>
  </si>
  <si>
    <t>IFO!$L$36</t>
  </si>
  <si>
    <t>RS2017</t>
  </si>
  <si>
    <t>RS2016</t>
  </si>
  <si>
    <t>Interna lokalkostnader, rad 513, kol L:</t>
  </si>
  <si>
    <t>Fördelad gem.verks., Kommun-nyckel, rad 513, kol N</t>
  </si>
  <si>
    <t>Fördelad gem.verks., SCB-nyckel, rad 513, kol O,</t>
  </si>
  <si>
    <t>Bruttokostnad, rad 513, kol P</t>
  </si>
  <si>
    <t>Taxor och avgifter, rad 513, kol R</t>
  </si>
  <si>
    <t>Externa bostadshyror o lokalhyror, rad 513, kol S</t>
  </si>
  <si>
    <t>Övriga externa intäkter, rad 513, kol T</t>
  </si>
  <si>
    <t>Interna intäkter, rad 513, kol V</t>
  </si>
  <si>
    <t>Bruttointäkter, rad 513, kol W</t>
  </si>
  <si>
    <t>Lämnade bidrag, rad 513, kol H:</t>
  </si>
  <si>
    <t>Externa lokalhyror, rad 513, kol I:</t>
  </si>
  <si>
    <t>Kalkylerade kapitalkostnader, rad 513, kol J:</t>
  </si>
  <si>
    <t>Interna köp o övr.interna kostn., rad 513, kol M</t>
  </si>
  <si>
    <t>Förändring i 1000-tal kronor</t>
  </si>
  <si>
    <t>Kontroll</t>
  </si>
  <si>
    <t>Löner, rad 920, kol C:</t>
  </si>
  <si>
    <t>PO, rad 920, kol D:</t>
  </si>
  <si>
    <t>Varor, rad 920, kol E:</t>
  </si>
  <si>
    <t>Köp av huvudverks, rad 920, kol F:</t>
  </si>
  <si>
    <t>Övriga, rad 920, kol G:</t>
  </si>
  <si>
    <t>Lämnade bidrag, rad 920, kol H:</t>
  </si>
  <si>
    <t>Externa lokalhyror, rad 920, kol I:</t>
  </si>
  <si>
    <t>Kalkylerade kapitalkostnader, rad 920, kol J:</t>
  </si>
  <si>
    <t>Interna lokalkostnader, rad 920, kol L:</t>
  </si>
  <si>
    <t>Interna köp o övr.interna kostn., rad 920, kol M</t>
  </si>
  <si>
    <t>Bruttokostnad, rad 920, kol P</t>
  </si>
  <si>
    <t>Taxor och avgifter, rad 920, kol R</t>
  </si>
  <si>
    <t>Externa bostadshyror o lokalhyror, rad 920, kol S</t>
  </si>
  <si>
    <t>Övriga externa intäkter, rad 920, kol T</t>
  </si>
  <si>
    <t>Kontroll av förändringarna av motparter i fliken Motpart</t>
  </si>
  <si>
    <t>Kommentera orsaken till förändringarna i Motparten som leder till kontroll:</t>
  </si>
  <si>
    <t>Specificering av vissa intäkter</t>
  </si>
  <si>
    <t>Kommentera orsaken till förändringarna på rad 513 som leder till kontroll:</t>
  </si>
  <si>
    <t>Kommentera orsaken till förändringarna på rad 920 som leder till kontroll:</t>
  </si>
  <si>
    <t>Driftrad 513</t>
  </si>
  <si>
    <t>Driftrad 920</t>
  </si>
  <si>
    <t>minusbelopp i cellen ska kommenteras</t>
  </si>
  <si>
    <t>beloppet i därav-variabel är större än beloppet i huvud-variabel, ska åtgärdas eller kommenteras</t>
  </si>
  <si>
    <t>Nämnare nyckeltal och kommentar till kontroller</t>
  </si>
  <si>
    <t>Följande jämförelsestörande poster ingår i Resultaträkningen ovan:</t>
  </si>
  <si>
    <t>170</t>
  </si>
  <si>
    <t>175</t>
  </si>
  <si>
    <t>180</t>
  </si>
  <si>
    <t>Kommentarer till jämförelsestörande poster:</t>
  </si>
  <si>
    <t>Sambandskontroller mellan olika avdelningar i blanketten</t>
  </si>
  <si>
    <t>del av 16</t>
  </si>
  <si>
    <t>Fördelad gemensam verksamhet (rad 920)</t>
  </si>
  <si>
    <t>Röda siffror indikerar att ett belopp kan vara fel</t>
  </si>
  <si>
    <t>Investeringar!$I$14</t>
  </si>
  <si>
    <t>735, 736, 738, 739</t>
  </si>
  <si>
    <t>utgifter i mat.</t>
  </si>
  <si>
    <r>
      <t xml:space="preserve">o immat. anl.    tillg.              </t>
    </r>
    <r>
      <rPr>
        <sz val="7"/>
        <rFont val="Helvetica"/>
        <family val="2"/>
      </rPr>
      <t xml:space="preserve">  (före konsolidering)</t>
    </r>
  </si>
  <si>
    <t>2019</t>
  </si>
  <si>
    <t>Generella statsbidrag och utjämning</t>
  </si>
  <si>
    <t>Resultat efter finansiella poster</t>
  </si>
  <si>
    <t>Extraordinära poster (netto)</t>
  </si>
  <si>
    <t>Kommunal borgensavgift</t>
  </si>
  <si>
    <t>Regioner</t>
  </si>
  <si>
    <t>[361]                      Motpart 82 och 83</t>
  </si>
  <si>
    <t>Försälj.av v-het o konsult- o andra tjänster, MP kommun</t>
  </si>
  <si>
    <t>Försälj.av v-het o konsult- o andra tjänster, MP kommunalförbund</t>
  </si>
  <si>
    <t>Försäljning av verksamhet, motpart region</t>
  </si>
  <si>
    <t>Summa kortfristiga placeringar (i värdepapper)</t>
  </si>
  <si>
    <t>Kassa och bank</t>
  </si>
  <si>
    <t>Transporter/resor, ej anställda o förtroendevalda</t>
  </si>
  <si>
    <t>Lokal- och bostadshyror</t>
  </si>
  <si>
    <r>
      <rPr>
        <strike/>
        <sz val="7"/>
        <rFont val="Helvetica"/>
        <family val="2"/>
      </rPr>
      <t>I</t>
    </r>
    <r>
      <rPr>
        <sz val="7"/>
        <rFont val="Helvetica"/>
        <family val="2"/>
      </rPr>
      <t>nhyrd personal</t>
    </r>
  </si>
  <si>
    <r>
      <t>Försäkrings</t>
    </r>
    <r>
      <rPr>
        <sz val="7"/>
        <rFont val="Helvetica"/>
        <family val="2"/>
      </rPr>
      <t>premier</t>
    </r>
  </si>
  <si>
    <t>6192, 692, 696, 73, 76</t>
  </si>
  <si>
    <t>kommunalförb.</t>
  </si>
  <si>
    <t>och regioner</t>
  </si>
  <si>
    <r>
      <t>Därav försäljn. av v-het till kommuner, kommunalförb. och</t>
    </r>
    <r>
      <rPr>
        <strike/>
        <sz val="7"/>
        <color rgb="FFFF0000"/>
        <rFont val="Helvetica"/>
        <family val="2"/>
      </rPr>
      <t xml:space="preserve"> </t>
    </r>
    <r>
      <rPr>
        <sz val="7"/>
        <rFont val="Helvetica"/>
        <family val="2"/>
      </rPr>
      <t>regioner</t>
    </r>
  </si>
  <si>
    <t>intäkter o förs.</t>
  </si>
  <si>
    <t>till andra kommuner</t>
  </si>
  <si>
    <t>361 motpart 82, 83, 84</t>
  </si>
  <si>
    <t>[361] motpart 82, 83, 84</t>
  </si>
  <si>
    <t>Försäljning av verksamhet till andra kommuner, kommunalförb. och regioner</t>
  </si>
  <si>
    <t>Bruttokostnad ./. Interna intäkter o.</t>
  </si>
  <si>
    <t>förs. av v-samhet</t>
  </si>
  <si>
    <t>regioner</t>
  </si>
  <si>
    <t>kommunalförb och</t>
  </si>
  <si>
    <t>Bruttokostnad  ./. Interna intäkter och försäljning till andra kommuner, kommunalförb. och regioner</t>
  </si>
  <si>
    <t>Driftredovisning</t>
  </si>
  <si>
    <t xml:space="preserve"> + Infriad borgen, rad 477</t>
  </si>
  <si>
    <t xml:space="preserve">   Kundförl,, Straffavg. m.m., Förl, på kortfr.fordr,, Övr. riskkostnader,  rad 476</t>
  </si>
  <si>
    <t xml:space="preserve">     Förlust vid avyttring o utrang. av mat. o. immat. anl.tillg., rad 897</t>
  </si>
  <si>
    <t>15. Kontroll av samband mellan motpartsredovisning och verksamhetens intäkter</t>
  </si>
  <si>
    <t>16. Kontroll av samband mellan motpartsredovisning och verksamhetens intäkter</t>
  </si>
  <si>
    <t xml:space="preserve">     Försäljning av verksamhet, motpart kommun, rad 317</t>
  </si>
  <si>
    <t xml:space="preserve">     +Försäljning av verksamhet, motpart kommunalförbund, rad 3xx</t>
  </si>
  <si>
    <t xml:space="preserve">     Förs.av versamh. till region, kol Z</t>
  </si>
  <si>
    <t xml:space="preserve">    Försäljning av verksamhet, motpart region, rad 327</t>
  </si>
  <si>
    <t xml:space="preserve">     Driftbidrag från EU, kol. AB</t>
  </si>
  <si>
    <t xml:space="preserve">     EU-bidrag (driftbidrag), rad 550</t>
  </si>
  <si>
    <t>18. Kontroll av samband mellan motpartsredovisning och verksamhetens intäkter</t>
  </si>
  <si>
    <t>19. Kontroll av samband mellan motpartsredovisning och verksamhetens intäkter</t>
  </si>
  <si>
    <t xml:space="preserve">    Förs. av v-het. till annan komm.o kommunalförb, kol Y</t>
  </si>
  <si>
    <t xml:space="preserve">   + Erhållna ersättningar från FK för personlig assistent, rad 525</t>
  </si>
  <si>
    <t xml:space="preserve">   + Särskild momsers. vid köp av ej skattepliktig verksamhet, rad 527</t>
  </si>
  <si>
    <t xml:space="preserve">     Kostn.ers.o rikt.bidrag MP staten och statliga myndigheter, rad 500</t>
  </si>
  <si>
    <t xml:space="preserve">   + Kostn.ers.o rikt.bidrag MP AF, rad 510</t>
  </si>
  <si>
    <t xml:space="preserve">   + Kostn.ers.o rikt. bidr. MP kommuner, kommunalförb o regioner, rad 520</t>
  </si>
  <si>
    <t xml:space="preserve">     Försäljningsintäkter, övriga ersätt.o intäkter, rad 130:</t>
  </si>
  <si>
    <t>14. Kontroll av belopp mellan Drift och Verksamhetens intäkter och kostnader</t>
  </si>
  <si>
    <t>Differenser som beror på jämförelsestörande poster ska inte åtgärdas utan kommenteras.</t>
  </si>
  <si>
    <t xml:space="preserve">    Diverse förluster och övr. riskkostnader, rad 982, kol P:</t>
  </si>
  <si>
    <t xml:space="preserve">    Reaförluster o div. periodiseringar, rad 985, kol P</t>
  </si>
  <si>
    <t xml:space="preserve"> + Diverse periodiseringar, rad 900</t>
  </si>
  <si>
    <t>Anskaffningskostn, försåld exploat.fastigh., rad 988, kol P</t>
  </si>
  <si>
    <t xml:space="preserve">  Anskaffningskostn, försåld exploat.fastigh., rad 342</t>
  </si>
  <si>
    <t>Förs. expl.fastigheter, tomträtter, rad 982, kol W</t>
  </si>
  <si>
    <t>Försäljning av exploateringsfastigheter, tomträtter, rad 891</t>
  </si>
  <si>
    <t>(Reavinst vid) Försälj. av anl.tillg.[38],rad 985, kol W</t>
  </si>
  <si>
    <t>(Reavinst vid) försäljning av anläggningstillgångar, rad 892</t>
  </si>
  <si>
    <r>
      <t xml:space="preserve">Beloppet i kolumn D på rad 920 ska motsvara personal-omkostnaderna för gemen-samma verksamheter. Eventuella justeringar av för höga eller för låga PO på verksamheterna 100-910 ska </t>
    </r>
    <r>
      <rPr>
        <u/>
        <sz val="8"/>
        <color theme="0"/>
        <rFont val="Arial"/>
        <family val="2"/>
      </rPr>
      <t>göras på respektive verksamhet eftersom verksamheternas personalkostnader annars blir missvisande</t>
    </r>
  </si>
  <si>
    <r>
      <rPr>
        <b/>
        <sz val="7"/>
        <color indexed="10"/>
        <rFont val="Helvetica"/>
        <family val="2"/>
      </rPr>
      <t xml:space="preserve">Kommentera förändringen:   </t>
    </r>
    <r>
      <rPr>
        <sz val="7"/>
        <rFont val="Helvetica"/>
        <family val="2"/>
      </rPr>
      <t>Betyder att nyckeltalet avviker stort från föregående år. Kontrollera om det stämmer och skriv i så fall vad förändringen beror på.</t>
    </r>
  </si>
  <si>
    <t>Övriga finansiella intäkter</t>
  </si>
  <si>
    <t>Övriga finansiella kostnader</t>
  </si>
  <si>
    <t>Förlust vid avyttring o värdering, finansiella oms.tillg.</t>
  </si>
  <si>
    <t>0731</t>
  </si>
  <si>
    <t>524</t>
  </si>
  <si>
    <t>328</t>
  </si>
  <si>
    <t>Försälj.av v-het o konsult- o andra tjänster, MP region</t>
  </si>
  <si>
    <r>
      <t>Därav personal</t>
    </r>
    <r>
      <rPr>
        <sz val="7"/>
        <rFont val="Helvetica"/>
        <family val="2"/>
      </rPr>
      <t>kostnad</t>
    </r>
  </si>
  <si>
    <t>Därav personalkostnad</t>
  </si>
  <si>
    <t>577</t>
  </si>
  <si>
    <t>Likvida medel (kassa, bank)  i % av externa driftkostnader</t>
  </si>
  <si>
    <t>[50-51, 53, 54, 55x2, 5598, 591 samt PO]</t>
  </si>
  <si>
    <t>[50-51, 53, 54, 55x2, 5598, 591] samt PO</t>
  </si>
  <si>
    <t>Skuld för avgifter samt offentliga bidrag (investeringar)</t>
  </si>
  <si>
    <t>Anslutnings- och anläggningsavg. (investeringar)</t>
  </si>
  <si>
    <t>Offentliga bidrag (investeringar)</t>
  </si>
  <si>
    <t>50, 51, 53, 54, 55x2, 5598</t>
  </si>
  <si>
    <t>56 [ej 5635]</t>
  </si>
  <si>
    <t>572, 5635</t>
  </si>
  <si>
    <t xml:space="preserve">   - Aktivering, rad 103</t>
  </si>
  <si>
    <t>2. Kontroll av verksamhetens kostnader för varor i driften överensstämmer mellan flkarna</t>
  </si>
  <si>
    <t xml:space="preserve">     Sociala avgifter, rad 975, kol P:</t>
  </si>
  <si>
    <t xml:space="preserve"> + Sociala avgifter</t>
  </si>
  <si>
    <t xml:space="preserve">     Förändring pens.avs., rad 980, kol P:</t>
  </si>
  <si>
    <t xml:space="preserve"> + Förändring pensionsavs inkl.särsk.lönesk på avs. pens.</t>
  </si>
  <si>
    <t xml:space="preserve"> + Pensionsutbetalningar</t>
  </si>
  <si>
    <t xml:space="preserve"> + Pensionsförsäkringspremier</t>
  </si>
  <si>
    <t xml:space="preserve"> + Pensionskostnad, avgiftsbestämd ålderspension</t>
  </si>
  <si>
    <t xml:space="preserve"> + Förvaltningsavgifter</t>
  </si>
  <si>
    <t>Verksamhetens resultat</t>
  </si>
  <si>
    <t xml:space="preserve">1. Kontroll att verksamhetens personalkostnader överensstämmer mellan flikarna </t>
  </si>
  <si>
    <t>Därav försäljn. av verksamhet till annan kommun/kommunalförbund</t>
  </si>
  <si>
    <t>Försäljning av platser till annan kommun/kommunalförb. per invånare 16-18 år.</t>
  </si>
  <si>
    <t>Köp av platser i annan kommun/kommunalförb. per invånare 16-18 år.</t>
  </si>
  <si>
    <t>Köp av platser från region per invånare 7-15 år.</t>
  </si>
  <si>
    <t>Köp av plater från region per invånare 16-18 år.</t>
  </si>
  <si>
    <t xml:space="preserve">   + Förs.av verksamheter o tjänster rad 390</t>
  </si>
  <si>
    <t xml:space="preserve">   + Summa offentliga bidrag (investeringar), rad 560 och Övr. bidrag, rad 570</t>
  </si>
  <si>
    <t>10. Kontroll att rad 982 i Driften överensstämmer med motsvarande i verksamhetskostnader</t>
  </si>
  <si>
    <t>11. Kontroll av reaförluster och diverse periodiseringar</t>
  </si>
  <si>
    <t>12. Kontroll av anskaffningskostn, försåld exploat.fastigh.</t>
  </si>
  <si>
    <t>13. Kontroll av belopp mellan Drift och Verksamhetens intäkter och kostnader</t>
  </si>
  <si>
    <t>17. Kontroll av samband mellan motpartsredovisning och verksamhetens intäkter</t>
  </si>
  <si>
    <r>
      <t xml:space="preserve">OBS! Omklassificeringar </t>
    </r>
    <r>
      <rPr>
        <b/>
        <sz val="8"/>
        <color theme="0"/>
        <rFont val="Helvetica"/>
        <family val="2"/>
      </rPr>
      <t>inom</t>
    </r>
    <r>
      <rPr>
        <sz val="8"/>
        <color theme="0"/>
        <rFont val="Helvetica"/>
        <family val="2"/>
      </rPr>
      <t xml:space="preserve"> kontogrupp 11, 12 eller 13 ingår inte här.</t>
    </r>
    <r>
      <rPr>
        <b/>
        <sz val="8"/>
        <color theme="0"/>
        <rFont val="Helvetica"/>
        <family val="2"/>
      </rPr>
      <t xml:space="preserve"> Pågående arbeten ska redovisas på rad 987.</t>
    </r>
  </si>
  <si>
    <t>Kommunalförbund och SKR</t>
  </si>
  <si>
    <t>Kostn.ers. o rikt bidrag, MP Arbetsförmedlingen</t>
  </si>
  <si>
    <t>Kostn.ers. o rikt.bidrag, MP kommuner, komm.förb. o region</t>
  </si>
  <si>
    <t>Kostn.ers. o rikt. bidrag, MP staten o statl. myndigh exkl AF, ej invest</t>
  </si>
  <si>
    <t>Förs. av v-het. till region</t>
  </si>
  <si>
    <t>Kontrollblad!$F$14</t>
  </si>
  <si>
    <t>Kontrollblad!$F$25</t>
  </si>
  <si>
    <t>Kontrollblad!$F$33</t>
  </si>
  <si>
    <t>Kontrollblad!$F$50</t>
  </si>
  <si>
    <t>Kontrollblad!$F$58</t>
  </si>
  <si>
    <t>Kontrollblad!$F$66</t>
  </si>
  <si>
    <t>Kontrollblad!$F$74</t>
  </si>
  <si>
    <t>Kontrollblad!$F$82</t>
  </si>
  <si>
    <t>Kontrollblad!$F$95</t>
  </si>
  <si>
    <t>Kontrollblad!$F$103</t>
  </si>
  <si>
    <t>Kontrollblad!$F$112</t>
  </si>
  <si>
    <t>Kontrollblad!$F$120</t>
  </si>
  <si>
    <t>Kontrollblad!$F$136</t>
  </si>
  <si>
    <t>Kontrollblad!$F$145</t>
  </si>
  <si>
    <t>Kontrollblad!$F$153</t>
  </si>
  <si>
    <t>Kontrollblad!$F$162</t>
  </si>
  <si>
    <t>Kontrollblad!$F$170</t>
  </si>
  <si>
    <t xml:space="preserve">Investeringar fördelade på verksamheter </t>
  </si>
  <si>
    <t xml:space="preserve">Tilläggsuppgifter avseende kommunens investeringsredovisning </t>
  </si>
  <si>
    <t xml:space="preserve">Tilläggsuppgifter avseende investeringar i företag/bolag/stiftelser/kommunalförbund som konsolideras i den sammanställda redovisningen </t>
  </si>
  <si>
    <t>Skulder för statsbidrag, fastighetsavgift, fastighetsskatt mm.</t>
  </si>
  <si>
    <t>fordringar för statliga bidrag och kostnadsers.</t>
  </si>
  <si>
    <t>del av 24</t>
  </si>
  <si>
    <t>352</t>
  </si>
  <si>
    <t>352, 359</t>
  </si>
  <si>
    <t>Återvunna, tidigare avskrivna kundfordringar</t>
  </si>
  <si>
    <t>Intäkter från exploateringsverksamhet sam försälj. av OT</t>
  </si>
  <si>
    <t>22</t>
  </si>
  <si>
    <t>231</t>
  </si>
  <si>
    <t>Övriga ersättningar, exploateringsverksamhet</t>
  </si>
  <si>
    <t xml:space="preserve">   därav investeringsinkomster från företag</t>
  </si>
  <si>
    <t xml:space="preserve">   därav övriga investeringsinkomster</t>
  </si>
  <si>
    <t>329</t>
  </si>
  <si>
    <t>105</t>
  </si>
  <si>
    <t>Investeringsinkomster som utbetalats till kommunen eller som kommunen erhållit, under året</t>
  </si>
  <si>
    <t>Bidrag/gåvor från privata aktörer</t>
  </si>
  <si>
    <t xml:space="preserve">På rad 740 borde det finnas ett belopp eller beloppet borde vara högre.
</t>
  </si>
  <si>
    <t>Försäljning och värdering, finans. omsättningstillg.</t>
  </si>
  <si>
    <t>Försäljning och värdering, finans. anläggningstillg.</t>
  </si>
  <si>
    <t>Aktier samt andelar i finansiella instrument</t>
  </si>
  <si>
    <t>Ersättningar från FK för personliga assistenter</t>
  </si>
  <si>
    <t>Bidrag till juridiska personer</t>
  </si>
  <si>
    <t>Ersättning till FK för personliga assistenter</t>
  </si>
  <si>
    <t>Anskaffningskostnad, såld exploateringsfastighet</t>
  </si>
  <si>
    <t>Anskaff.kostnad, såld exploat.fastig [418]</t>
  </si>
  <si>
    <t>[342, 351 [ej mp 81], 352, 354, 356, 357, 359]</t>
  </si>
  <si>
    <t>Obligationer och andra värdepapper (exkl certifikat)</t>
  </si>
  <si>
    <t>Instruktioner</t>
  </si>
  <si>
    <t>Länk till inloggningssidan</t>
  </si>
  <si>
    <t>Tidsplan</t>
  </si>
  <si>
    <t>Övriga information</t>
  </si>
  <si>
    <t>www.scb.se/rskommuner</t>
  </si>
  <si>
    <t>Uppgiftslämnarsida:</t>
  </si>
  <si>
    <t>På uppgiftslämnarsidan finns:</t>
  </si>
  <si>
    <r>
      <rPr>
        <b/>
        <sz val="10"/>
        <color indexed="8"/>
        <rFont val="Helvetica"/>
        <family val="2"/>
      </rPr>
      <t>Insändning:</t>
    </r>
    <r>
      <rPr>
        <sz val="10"/>
        <color indexed="8"/>
        <rFont val="Helvetica"/>
        <family val="2"/>
      </rPr>
      <t xml:space="preserve"> Blanketten skickas in via Uppgiftslämnarportalen som nås efter inloggning.</t>
    </r>
  </si>
  <si>
    <t>[601 (interna poster)]</t>
  </si>
  <si>
    <t xml:space="preserve">Försäljning av mark, brutto </t>
  </si>
  <si>
    <t>79,                  852 (interna poster) ]</t>
  </si>
  <si>
    <t>+/- Omklassificeringar mellan kontogrupper</t>
  </si>
  <si>
    <t>Kontaktuppgifter till SCB</t>
  </si>
  <si>
    <t>2341</t>
  </si>
  <si>
    <t>2342</t>
  </si>
  <si>
    <t>Lån i banker och kreditinstitut utländsk valuta</t>
  </si>
  <si>
    <t>Lagstadgade sociala avgifter och särskild löneskatt</t>
  </si>
  <si>
    <t>Not 1: 26-27 (ej 271-272), 289, 29 (ej 292, 293, 296, 298)</t>
  </si>
  <si>
    <t>Inköp av mark (inköpspris)</t>
  </si>
  <si>
    <t>Nyckeltal kr/inv
Kommunen</t>
  </si>
  <si>
    <t>Rad
nr</t>
  </si>
  <si>
    <t xml:space="preserve">   + Kostn.ers. o rikt.bidrag, MP Föreningar och stiftelser, rad 521</t>
  </si>
  <si>
    <t>102</t>
  </si>
  <si>
    <t>Kostn.ers. o rikt.bidrag, MP föreningar och stiftelser</t>
  </si>
  <si>
    <r>
      <rPr>
        <b/>
        <sz val="7"/>
        <rFont val="Helvetica"/>
        <family val="2"/>
      </rPr>
      <t>Därav</t>
    </r>
    <r>
      <rPr>
        <sz val="7"/>
        <rFont val="Helvetica"/>
        <family val="2"/>
      </rPr>
      <t xml:space="preserve"> jämförelsestörande intäkter </t>
    </r>
    <r>
      <rPr>
        <b/>
        <sz val="7"/>
        <rFont val="Helvetica"/>
        <family val="2"/>
      </rPr>
      <t>på rad 010</t>
    </r>
  </si>
  <si>
    <r>
      <rPr>
        <b/>
        <sz val="7"/>
        <rFont val="Helvetica"/>
        <family val="2"/>
      </rPr>
      <t>Därav</t>
    </r>
    <r>
      <rPr>
        <sz val="7"/>
        <rFont val="Helvetica"/>
        <family val="2"/>
      </rPr>
      <t xml:space="preserve"> jämförelsestörande kostnader </t>
    </r>
    <r>
      <rPr>
        <b/>
        <sz val="7"/>
        <rFont val="Helvetica"/>
        <family val="2"/>
      </rPr>
      <t xml:space="preserve">på rad 020 </t>
    </r>
    <r>
      <rPr>
        <sz val="7"/>
        <rFont val="Helvetica"/>
        <family val="2"/>
      </rPr>
      <t xml:space="preserve"> </t>
    </r>
  </si>
  <si>
    <r>
      <rPr>
        <b/>
        <sz val="7"/>
        <rFont val="Helvetica"/>
        <family val="2"/>
      </rPr>
      <t>Därav</t>
    </r>
    <r>
      <rPr>
        <sz val="7"/>
        <rFont val="Helvetica"/>
        <family val="2"/>
      </rPr>
      <t xml:space="preserve"> jämförelsestörande av-/nedskrivningar </t>
    </r>
    <r>
      <rPr>
        <b/>
        <sz val="7"/>
        <rFont val="Helvetica"/>
        <family val="2"/>
      </rPr>
      <t>på rad 025</t>
    </r>
  </si>
  <si>
    <r>
      <rPr>
        <b/>
        <sz val="7"/>
        <rFont val="Helvetica"/>
        <family val="2"/>
      </rPr>
      <t xml:space="preserve">Därav </t>
    </r>
    <r>
      <rPr>
        <sz val="7"/>
        <rFont val="Helvetica"/>
        <family val="2"/>
      </rPr>
      <t>jämförelsestörande finansiella kostnader</t>
    </r>
    <r>
      <rPr>
        <b/>
        <sz val="7"/>
        <rFont val="Helvetica"/>
        <family val="2"/>
      </rPr>
      <t xml:space="preserve"> på rad 070</t>
    </r>
  </si>
  <si>
    <r>
      <rPr>
        <b/>
        <sz val="7"/>
        <rFont val="Helvetica"/>
        <family val="2"/>
      </rPr>
      <t>Därav</t>
    </r>
    <r>
      <rPr>
        <sz val="7"/>
        <rFont val="Helvetica"/>
        <family val="2"/>
      </rPr>
      <t xml:space="preserve"> jämförelsestörande finansiella intäkter</t>
    </r>
    <r>
      <rPr>
        <b/>
        <sz val="7"/>
        <rFont val="Helvetica"/>
        <family val="2"/>
      </rPr>
      <t xml:space="preserve"> på rad 060</t>
    </r>
  </si>
  <si>
    <t>Summa materiella anläggningstillgångar</t>
  </si>
  <si>
    <t>Summa finansiella anläggningstillgångar</t>
  </si>
  <si>
    <t>Förråd, lager, exploateringsfastigheter</t>
  </si>
  <si>
    <t>Förutbet. kost. o upplupna intäkter, exkl. upplupna skatteint.</t>
  </si>
  <si>
    <t>exploateringsfastigheter (avser kommun)</t>
  </si>
  <si>
    <t>SUMMA OMSÄTTNINGSTILLGÅNGAR</t>
  </si>
  <si>
    <t>Lån i banker och kreditinstitut svenska kronor</t>
  </si>
  <si>
    <t>Justering av eget kapital, ingående värde</t>
  </si>
  <si>
    <t>SKULDER, AVSÄTTNINGAR O. EGET KAPITAL</t>
  </si>
  <si>
    <t>avsättning för återställ. av deponier/soptippar</t>
  </si>
  <si>
    <t>avsättning bidrag till infrastruktur</t>
  </si>
  <si>
    <t>uppbokade offentliga bidrag (investeringar)</t>
  </si>
  <si>
    <t>nyupptagna långfristiga lån</t>
  </si>
  <si>
    <t xml:space="preserve">kortfristiga skulder till koncernföretag </t>
  </si>
  <si>
    <t>kortfristig del av långfristig skuld</t>
  </si>
  <si>
    <t>lev.skulder till kommunens koncernföretag</t>
  </si>
  <si>
    <t>för vidareutlåning till koncernföretag</t>
  </si>
  <si>
    <t>lån för vidarutlåning till koncernföretag</t>
  </si>
  <si>
    <t>upplupen särsk. löneskatt avgiftsbest. ålderspension</t>
  </si>
  <si>
    <t xml:space="preserve">                                varav kortfristig del av långfristig skuld</t>
  </si>
  <si>
    <r>
      <rPr>
        <b/>
        <sz val="7"/>
        <rFont val="Helvetica"/>
        <family val="2"/>
      </rPr>
      <t xml:space="preserve">koncern: </t>
    </r>
    <r>
      <rPr>
        <sz val="7"/>
        <rFont val="Helvetica"/>
        <family val="2"/>
      </rPr>
      <t>kortfristiga skulder till kreditinstitut och kunder</t>
    </r>
  </si>
  <si>
    <t>Borgen o andra förplikt. gentemot övriga bostadsföretag och bostadsrättsför.</t>
  </si>
  <si>
    <t>Övr. ansvarsför-  för egnahem o</t>
  </si>
  <si>
    <t>Bidrag/gåvor från privata aktörer och övriga bidrag</t>
  </si>
  <si>
    <t>SUMMERING AV VERKSAMHETENS INTÄKTER</t>
  </si>
  <si>
    <t>SUMMERING AV VERKSAMHETENS KOSTNADER</t>
  </si>
  <si>
    <t>Försäljning av verksamhet, motpart kommunalför.</t>
  </si>
  <si>
    <t>Förs. intäkter,  övriga ersättningar och intäkter</t>
  </si>
  <si>
    <t>Försälj.av v-het o konsult- o andra tjänster, MP övr., återv. kundfo.</t>
  </si>
  <si>
    <t>Aktivering av eget arbete vid utveckling av anläggningstillgångar</t>
  </si>
  <si>
    <t>Förändring pensionsavs. inkl. särskild löneskatt på avsättning pens.</t>
  </si>
  <si>
    <t>Bränsle, energi och vatten, drivmedel</t>
  </si>
  <si>
    <t>Fastighets-, anläggnings- och reparationsentreprenader</t>
  </si>
  <si>
    <t>Operationell leasing/hyra av mask., invent., bilar o transp.medel</t>
  </si>
  <si>
    <t>Tele-, IT-kommunikation o. postbefordran</t>
  </si>
  <si>
    <t>Fastighetsskatt och fastighetsavgift, fordons- o trängselskatt, försäkringspremier o riskkostnader, diverse kostnader</t>
  </si>
  <si>
    <t>Förlust vid avyttring o utrangering av mat. o. immat. anl.tillgångar</t>
  </si>
  <si>
    <t>Kostnadsers.o.rikt. bidrag motpart regioner</t>
  </si>
  <si>
    <t>Pensionsutbetalningar intjänade före 98</t>
  </si>
  <si>
    <t>Pensionsutbet. särsk. avtalspens., visstidspens.</t>
  </si>
  <si>
    <t>Larm o bevakning, brandskydd, avgifter för kurser m.m.</t>
  </si>
  <si>
    <t>Kundförluster, straffavgifter m.m., förluster på kortfr.fordringar, övr. riskkostnader</t>
  </si>
  <si>
    <t>Fastighetsskatt o -avgift, fordons- o. trängselskatt</t>
  </si>
  <si>
    <t>Verksamhetens nettokostnader / Skatteintäkter, generella statsbidrag och utjämning</t>
  </si>
  <si>
    <t>Finansnetto / Skatteintäkter, generella statsbidrag och utjämning</t>
  </si>
  <si>
    <t>Resultat efter finansiella poster / Skatteintäkter, generella statsbidrag och utjämning</t>
  </si>
  <si>
    <t>Årets resultat / Skatteintäkter, generella statsbidrag och utjämning</t>
  </si>
  <si>
    <t>Särsk. löneskatt, exkl. särsk.löneskatt på avs. pens.</t>
  </si>
  <si>
    <t>Finansiell kostnad, förändring av pensionsavs.</t>
  </si>
  <si>
    <t>Förlust vid avyttring o värdering, finansiella anl.tillg</t>
  </si>
  <si>
    <t>Utdeln.aktier, andelar i konc.ftg.</t>
  </si>
  <si>
    <t xml:space="preserve">Mellankommunal kostn.utj., övriga skatter </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</si>
  <si>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</si>
  <si>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Finansiella anläggnings-tillgångar              [13 ej 139]</t>
    </r>
  </si>
  <si>
    <r>
      <t xml:space="preserve">Koncern
</t>
    </r>
    <r>
      <rPr>
        <sz val="7"/>
        <color indexed="8"/>
        <rFont val="Helvetica"/>
        <family val="2"/>
      </rPr>
      <t>Finansiella anläggningstillg. [13, ej 139]</t>
    </r>
  </si>
  <si>
    <t>Kommentarer till spec. av förändring av anl.tillgångar:</t>
  </si>
  <si>
    <r>
      <t xml:space="preserve">till 50 % av kommunen, anges på raden för fastighetsverksamhet. I beloppet ska bolagets samtliga investeringsutgifter/inkomster </t>
    </r>
    <r>
      <rPr>
        <i/>
        <sz val="8"/>
        <color rgb="FFFF0000"/>
        <rFont val="Helvetica"/>
        <family val="2"/>
      </rPr>
      <t>avseende materiella och immateriella anläggningstillgångar</t>
    </r>
    <r>
      <rPr>
        <sz val="8"/>
        <rFont val="Helvetica"/>
        <family val="2"/>
      </rPr>
      <t xml:space="preserve"> ingå, dvs. inte enbart fastighetsinvesteringar.</t>
    </r>
  </si>
  <si>
    <r>
      <rPr>
        <b/>
        <sz val="7"/>
        <rFont val="Helvetica"/>
        <family val="2"/>
      </rPr>
      <t xml:space="preserve">AFFÄRSVERKSAMHET  </t>
    </r>
    <r>
      <rPr>
        <sz val="7"/>
        <rFont val="Helvetica"/>
        <family val="2"/>
      </rPr>
      <t xml:space="preserve">                          
</t>
    </r>
    <r>
      <rPr>
        <b/>
        <sz val="7"/>
        <rFont val="Helvetica"/>
        <family val="2"/>
      </rPr>
      <t xml:space="preserve">Näringsliv och bostäder                                 </t>
    </r>
    <r>
      <rPr>
        <sz val="7"/>
        <rFont val="Helvetica"/>
        <family val="2"/>
      </rPr>
      <t>Arbetsområden och lokaler</t>
    </r>
  </si>
  <si>
    <t>Förskola, fritidshem o annan ped.verksamhet tot.</t>
  </si>
  <si>
    <r>
      <t>Därav utdebiterat till verksamheterna (raderna)</t>
    </r>
    <r>
      <rPr>
        <sz val="7"/>
        <color rgb="FFFFFFCC"/>
        <rFont val="Helvetica"/>
        <family val="2"/>
      </rPr>
      <t xml:space="preserve"> …………..</t>
    </r>
    <r>
      <rPr>
        <sz val="7"/>
        <rFont val="Helvetica"/>
        <family val="2"/>
      </rPr>
      <t xml:space="preserve">100-910 i regel i kol.M </t>
    </r>
  </si>
  <si>
    <t>Div. förluster, övr.risk. [735,736,737,738,739]</t>
  </si>
  <si>
    <t>Förs. av v-het. till annan kommun o kom.förbund</t>
  </si>
  <si>
    <t>Driftbidrag fr. staten, statl. mynd. inkl. AF</t>
  </si>
  <si>
    <t>Nedan fördelas summan av beloppen i kol. C och D på rad 987, inköp/nyansk. inkl. pågående arbeten och nyanskaffad finansiell leasing. Investeringar i immateriella anl.tillg. ska ingå. Finansiella anläggningstillgångar ska ej ingå.</t>
  </si>
  <si>
    <t>Anpassad grundskola, totalt</t>
  </si>
  <si>
    <t>Anpassad gymnasieskola, totalt</t>
  </si>
  <si>
    <t>Anpassad grundskola</t>
  </si>
  <si>
    <t>Anpassad gymnasieskola</t>
  </si>
  <si>
    <t>Differens anpassad grundskola</t>
  </si>
  <si>
    <t>Kommentarer anpassad grundskola:</t>
  </si>
  <si>
    <t>Kommentarer anpassad gymnasieskola:</t>
  </si>
  <si>
    <t>Differens anpassad gymnasieskolan</t>
  </si>
  <si>
    <r>
      <rPr>
        <b/>
        <sz val="7"/>
        <rFont val="Helvetica"/>
        <family val="2"/>
      </rPr>
      <t>Not 1:</t>
    </r>
    <r>
      <rPr>
        <sz val="7"/>
        <rFont val="Helvetica"/>
        <family val="2"/>
      </rPr>
      <t xml:space="preserve"> 41, 43, 64 ej 644, 654, 655  </t>
    </r>
  </si>
  <si>
    <r>
      <rPr>
        <b/>
        <sz val="7"/>
        <rFont val="Helvetica"/>
        <family val="2"/>
      </rPr>
      <t>Not 2</t>
    </r>
    <r>
      <rPr>
        <sz val="7"/>
        <rFont val="Helvetica"/>
        <family val="2"/>
      </rPr>
      <t>: 55x1, 5597, 61 ej [617, 618, 6192], 699, 705, 71-72</t>
    </r>
  </si>
  <si>
    <t>Räntekostnader för leverantörsskulder</t>
  </si>
  <si>
    <t>Kommentera köp av platser i annan kommun anpassad grundskola</t>
  </si>
  <si>
    <t>Eliminera differens anpassad grundskola</t>
  </si>
  <si>
    <t>Kommenetra köp av platser i annan kommun  anpassad gymnasieskola</t>
  </si>
  <si>
    <t>Eliminera differens anpassad gymnasieskola</t>
  </si>
  <si>
    <t xml:space="preserve"> anpassad grundskola</t>
  </si>
  <si>
    <t>Anpassad grundskola, kostnad exklusive lokaler skolkommun.</t>
  </si>
  <si>
    <t>Anpassad gymnasieskola, kostnad exklusive lokaler skolkommun.</t>
  </si>
  <si>
    <t>Komvux, anpassad utbildning</t>
  </si>
  <si>
    <t>Grundskola inkl förskoleklass och anpassad grundskola</t>
  </si>
  <si>
    <t>Gymnasieskola inkl anpassad gymnasieskola</t>
  </si>
  <si>
    <r>
      <rPr>
        <b/>
        <sz val="7"/>
        <color rgb="FFFF0000"/>
        <rFont val="Helvetica"/>
        <family val="2"/>
      </rPr>
      <t>Kontrollera förändringen</t>
    </r>
    <r>
      <rPr>
        <sz val="7"/>
        <rFont val="Helvetica"/>
        <family val="2"/>
      </rPr>
      <t>: Betyder att nyckeltalet avviker från föregående år. Kontrollera om det stämmer.Inga kommentarer behöver anges.</t>
    </r>
  </si>
  <si>
    <r>
      <rPr>
        <b/>
        <sz val="7"/>
        <color rgb="FFFF0000"/>
        <rFont val="Helvetica"/>
        <family val="2"/>
      </rPr>
      <t>Kontrollera förändringen</t>
    </r>
    <r>
      <rPr>
        <sz val="7"/>
        <rFont val="Helvetica"/>
        <family val="2"/>
      </rPr>
      <t>: Betyder att nyckeltalet avviker från föregående år. Kontrollera om det stämmer.Inga kommentarer behöver anges.</t>
    </r>
    <r>
      <rPr>
        <b/>
        <sz val="7"/>
        <color rgb="FFFF0000"/>
        <rFont val="Helvetica"/>
        <family val="2"/>
      </rPr>
      <t xml:space="preserve"> </t>
    </r>
  </si>
  <si>
    <r>
      <rPr>
        <b/>
        <sz val="7"/>
        <color indexed="10"/>
        <rFont val="Helvetica"/>
        <family val="2"/>
      </rPr>
      <t xml:space="preserve">Kommentera förändringen:   </t>
    </r>
    <r>
      <rPr>
        <sz val="7"/>
        <rFont val="Helvetica"/>
        <family val="2"/>
      </rPr>
      <t xml:space="preserve">Betyder att nyckeltalet avviker stort från föregående år. Kontrollera om det stämmer och skriv i så fall vad förändringen beror på.                                </t>
    </r>
    <r>
      <rPr>
        <sz val="7"/>
        <color indexed="10"/>
        <rFont val="Helvetica"/>
        <family val="2"/>
      </rPr>
      <t xml:space="preserve">
</t>
    </r>
  </si>
  <si>
    <r>
      <rPr>
        <b/>
        <sz val="7"/>
        <color rgb="FFFF0000"/>
        <rFont val="Helvetica"/>
        <family val="2"/>
      </rPr>
      <t>Kommentera förändringen</t>
    </r>
    <r>
      <rPr>
        <sz val="7"/>
        <rFont val="Helvetica"/>
        <family val="2"/>
      </rPr>
      <t xml:space="preserve">:   Betyder att nyckeltalet avviker stort från föregående år. Kontrollera om det stämmer och skriv i så fall vad förändringen beror på.                                
</t>
    </r>
  </si>
  <si>
    <r>
      <rPr>
        <b/>
        <sz val="7"/>
        <color rgb="FFFF0000"/>
        <rFont val="Helvetica"/>
        <family val="2"/>
      </rPr>
      <t>Kontrollera förändringen</t>
    </r>
    <r>
      <rPr>
        <sz val="7"/>
        <rFont val="Helvetica"/>
        <family val="2"/>
      </rPr>
      <t xml:space="preserve">: Betyder att nyckeltalet avviker från föregående år. Kontrollera om det stämmer.Inga kommentarer behöver anges. </t>
    </r>
  </si>
  <si>
    <r>
      <rPr>
        <b/>
        <sz val="7"/>
        <color rgb="FFFF0000"/>
        <rFont val="Helvetica"/>
        <family val="2"/>
      </rPr>
      <t xml:space="preserve">                                           Kontrollera förändringen</t>
    </r>
    <r>
      <rPr>
        <sz val="7"/>
        <rFont val="Helvetica"/>
        <family val="2"/>
      </rPr>
      <t xml:space="preserve">: Betyder att nyckeltalet avviker från föregående år. Kontrollera om det stämmer.Inga kommentarer behöver anges. </t>
    </r>
  </si>
  <si>
    <t>Svenska för invandrare</t>
  </si>
  <si>
    <t>Differens svenska för invandrare</t>
  </si>
  <si>
    <t xml:space="preserve">Särskilt boende </t>
  </si>
  <si>
    <t>Annat boende</t>
  </si>
  <si>
    <t>Kommentarer svenska för invandrare</t>
  </si>
  <si>
    <t>476</t>
  </si>
  <si>
    <t>4761</t>
  </si>
  <si>
    <t>4762</t>
  </si>
  <si>
    <t>4766</t>
  </si>
  <si>
    <t>4767</t>
  </si>
  <si>
    <t>4768</t>
  </si>
  <si>
    <t>47681</t>
  </si>
  <si>
    <t>59 [ej 591]</t>
  </si>
  <si>
    <t>Övriga lönejusteringar</t>
  </si>
  <si>
    <t>Särskilt boende</t>
  </si>
  <si>
    <t>Obligationsprogram och förlagslån</t>
  </si>
  <si>
    <t>2282</t>
  </si>
  <si>
    <t>Generella bidrag från staten.</t>
  </si>
  <si>
    <t>Reaförluster o div. period. [78]</t>
  </si>
  <si>
    <t>varav för lån</t>
  </si>
  <si>
    <t xml:space="preserve">Rad nr </t>
  </si>
  <si>
    <t xml:space="preserve">        varav resultatreserv </t>
  </si>
  <si>
    <t xml:space="preserve">        varav resultatutjämningsreserv</t>
  </si>
  <si>
    <t>Förändr.pens.avs.[572] o.särsk.lönesk.pens.avs.[5635], del av 59</t>
  </si>
  <si>
    <t>Invånarantal 16 - w</t>
  </si>
  <si>
    <t>Kostnad per invånare 16-w år kommunal regi</t>
  </si>
  <si>
    <t>Kostnad per invånare 16-w år för undervisning.</t>
  </si>
  <si>
    <t>Kostnad per invånare 16-w år för lärverktyg</t>
  </si>
  <si>
    <t>Kostnad per invånare 16-w år för elevhälsa.</t>
  </si>
  <si>
    <t>Kostnad per invånare 16-w år för lokaler.</t>
  </si>
  <si>
    <t>Kostnad per invånare 16-w år för övigt.</t>
  </si>
  <si>
    <t>Kostnad per invånare 16-w år för hemkommunen, svenska för invandrare.</t>
  </si>
  <si>
    <t>Verks int o kostn'!$E$21</t>
  </si>
  <si>
    <t>Verks int o kostn'!$E$22</t>
  </si>
  <si>
    <t>Verks int o kostn'!$D$37</t>
  </si>
  <si>
    <t>Verks int o kostn'!$D$77</t>
  </si>
  <si>
    <t>Motpart!$AD$41</t>
  </si>
  <si>
    <t>Motpart!$M$43</t>
  </si>
  <si>
    <t>Motpart!$F$46</t>
  </si>
  <si>
    <t>Motpart!$F$47</t>
  </si>
  <si>
    <t>Motpart!$T$46</t>
  </si>
  <si>
    <t>Motpart!$T$47</t>
  </si>
  <si>
    <t>Motpart!$K$46</t>
  </si>
  <si>
    <t>Motpart!$K$47</t>
  </si>
  <si>
    <t>Motpart!$Q$46</t>
  </si>
  <si>
    <t>Motpart!$Q$47</t>
  </si>
  <si>
    <t>Motpart!$X$43</t>
  </si>
  <si>
    <t>Motpart!$U$44</t>
  </si>
  <si>
    <t>Motpart!$AA$45</t>
  </si>
  <si>
    <t>Motpart!$AB$45</t>
  </si>
  <si>
    <t>Motpart!$AC$45</t>
  </si>
  <si>
    <t>Motpart!$V$45</t>
  </si>
  <si>
    <t>Motpart!$Y$45</t>
  </si>
  <si>
    <t>Motpart!$Z$45</t>
  </si>
  <si>
    <t>Motpart!$D$46</t>
  </si>
  <si>
    <t>Motpart!$D$47</t>
  </si>
  <si>
    <t>Motpart!$I$46</t>
  </si>
  <si>
    <t>Motpart!$I$47</t>
  </si>
  <si>
    <t>Motpart!$O$46</t>
  </si>
  <si>
    <t>Motpart!$O$47</t>
  </si>
  <si>
    <t>Motpart!$S$46</t>
  </si>
  <si>
    <t>Motpart!$S$47</t>
  </si>
  <si>
    <t>Pedagogisk verksamhet'!$P$25</t>
  </si>
  <si>
    <t>Äldre o personer funktionsn'!$P$21</t>
  </si>
  <si>
    <t>Äldre o personer funktionsn'!$P$31</t>
  </si>
  <si>
    <t>Äldre o personer funktionsn'!$P$39</t>
  </si>
  <si>
    <t>Äldre o personer funktionsn'!$D$61</t>
  </si>
  <si>
    <t>Kontrollblad!$F$183</t>
  </si>
  <si>
    <t xml:space="preserve">   - Övriga lönejusteringar</t>
  </si>
  <si>
    <t>061</t>
  </si>
  <si>
    <t>0732</t>
  </si>
  <si>
    <t>0733</t>
  </si>
  <si>
    <t xml:space="preserve">   - Kundförl.,straffavg.,förl.på kortfr.fordr.övr.riskkost.rad 476</t>
  </si>
  <si>
    <t>Övriga kortfristiga placeringar</t>
  </si>
  <si>
    <t>057</t>
  </si>
  <si>
    <t xml:space="preserve">        varav resultatreserv</t>
  </si>
  <si>
    <t>Eget kapital vid årets början</t>
  </si>
  <si>
    <t>EGET KAPITAL VID ÅRETS SLUT</t>
  </si>
  <si>
    <t>Åberopar synnerliga skäl för att inte återställa hela eller delar av årets negativa balanskravsresultat - ange belopp!</t>
  </si>
  <si>
    <t>Ackumulerat negativt balanskravsresultat att återställa</t>
  </si>
  <si>
    <t>Åberopar synnerliga skäl för att återställa årets negativa balanskravsresultat på fler än tre år - ange antal år!</t>
  </si>
  <si>
    <t>Årets balanskravsresultat att återställa, efter synnerliga skäl</t>
  </si>
  <si>
    <t>Synnerliga skäl (årets balanskravsresultat)</t>
  </si>
  <si>
    <t>Negativt balanskravsresultat att återställa från tidigare år</t>
  </si>
  <si>
    <t>Ackumulerat ej återställt negativt balanskravsresultat (från tidigare år inkl. årets ev negativa balanskravsresultat)</t>
  </si>
  <si>
    <t>Övriga justeringar i eget kapital</t>
  </si>
  <si>
    <t>SosK5102</t>
  </si>
  <si>
    <t>Sos-kostnad särskilt boende äldre</t>
  </si>
  <si>
    <t>SosK5107</t>
  </si>
  <si>
    <t>Sos-kostnad annat boende äldre</t>
  </si>
  <si>
    <t>Sos5102</t>
  </si>
  <si>
    <t>Sos5107</t>
  </si>
  <si>
    <t>Annat boende äldre per invånare 65-w år enligt Sos</t>
  </si>
  <si>
    <t>Soc.avg o pens.utbet./kostn. [56 "ej 5635", del av 59, 57 "ej 572"]</t>
  </si>
  <si>
    <t>Lok5102</t>
  </si>
  <si>
    <t>Lok5107</t>
  </si>
  <si>
    <t>Annat boende äldre</t>
  </si>
  <si>
    <t>Pek5102</t>
  </si>
  <si>
    <t>Pek5107</t>
  </si>
  <si>
    <t>Personalkostnad annat boende äldreomsorg, tkr</t>
  </si>
  <si>
    <t>BR!$F$86</t>
  </si>
  <si>
    <t>BR!$F$69</t>
  </si>
  <si>
    <t>[50-51, 53, 54, 55x2, 5598, del av 59]</t>
  </si>
  <si>
    <t>Investeringar diff mot BR</t>
  </si>
  <si>
    <t>BR ej balans tillgånger/skulder</t>
  </si>
  <si>
    <t>Differenser Motpart</t>
  </si>
  <si>
    <t>Differenser i äldre flik</t>
  </si>
  <si>
    <t>Differenser i IFO flik</t>
  </si>
  <si>
    <t>FK i verks int o kostn</t>
  </si>
  <si>
    <t>LSS i drift</t>
  </si>
  <si>
    <t>Kontokredit, långfristig del, övriga långfristiga skulder</t>
  </si>
  <si>
    <t>Särskild momsersättning</t>
  </si>
  <si>
    <t>62, 691, 697</t>
  </si>
  <si>
    <t>[41"ej 418", 43, 617, 618, 62, 64-65, 691, 697]</t>
  </si>
  <si>
    <t>[55x1, 5597, 60,"ej 601", 61"ej 617,618", 63, 66, 68, 69"ej 691 och 697", 70-72, 731-734, 74, 75, 76]</t>
  </si>
  <si>
    <t>Nej</t>
  </si>
  <si>
    <t>Pensionsförsäkringslösningar för pensionsförmåner intjänade före 1998</t>
  </si>
  <si>
    <t>Har fullmäktige tagit beslut om att avveckla RER?</t>
  </si>
  <si>
    <t>Har fullmäktige tagit beslut om att avveckla RUR?</t>
  </si>
  <si>
    <t>181</t>
  </si>
  <si>
    <t>0610</t>
  </si>
  <si>
    <t>0620</t>
  </si>
  <si>
    <t>Olåst blankettexempel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</si>
</sst>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kr&quot;;[Red]\-#,##0\ &quot;kr&quot;"/>
    <numFmt numFmtId="43" formatCode="_-* #,##0.00_-;\-* #,##0.00_-;_-* &quot;-&quot;??_-;_-@_-"/>
    <numFmt numFmtId="164" formatCode="000"/>
    <numFmt numFmtId="165" formatCode="###,###,###"/>
    <numFmt numFmtId="166" formatCode=";;;"/>
    <numFmt numFmtId="167" formatCode="#,##0.0000"/>
    <numFmt numFmtId="168" formatCode="###,##0"/>
    <numFmt numFmtId="169" formatCode="#,###"/>
    <numFmt numFmtId="170" formatCode="#,##0.0000000"/>
  </numFmts>
  <fonts count="184">
    <font>
      <sz val="10"/>
      <name val="Arial"/>
    </font>
    <font>
      <sz val="11"/>
      <color theme="1"/>
      <name val="Calibri"/>
      <family val="2"/>
      <scheme val="minor"/>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8"/>
      <color indexed="81"/>
      <name val="Tahoma"/>
      <family val="2"/>
    </font>
    <font>
      <sz val="8"/>
      <color indexed="81"/>
      <name val="Tahom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10"/>
      <color indexed="47"/>
      <name val="Arial"/>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8"/>
      <color indexed="47"/>
      <name val="Arial"/>
      <family val="2"/>
    </font>
    <font>
      <sz val="8"/>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7"/>
      <color indexed="39"/>
      <name val="Arial"/>
      <family val="2"/>
    </font>
    <font>
      <sz val="8"/>
      <color indexed="12"/>
      <name val="Helvetica"/>
      <family val="2"/>
    </font>
    <font>
      <sz val="8"/>
      <color indexed="39"/>
      <name val="Arial"/>
      <family val="2"/>
    </font>
    <font>
      <sz val="7"/>
      <color indexed="47"/>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10"/>
      <color indexed="47"/>
      <name val="Helvetica"/>
      <family val="2"/>
    </font>
    <font>
      <sz val="7"/>
      <color indexed="4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u/>
      <sz val="10"/>
      <color indexed="12"/>
      <name val="Arial"/>
      <family val="2"/>
    </font>
    <font>
      <b/>
      <sz val="12"/>
      <color indexed="8"/>
      <name val="Helvetica"/>
      <family val="2"/>
    </font>
    <font>
      <b/>
      <sz val="11"/>
      <color indexed="8"/>
      <name val="Helvetica"/>
      <family val="2"/>
    </font>
    <font>
      <b/>
      <sz val="10"/>
      <color indexed="8"/>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b/>
      <sz val="8"/>
      <color indexed="10"/>
      <name val="Helvetica"/>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7"/>
      <color indexed="12"/>
      <name val="Helvetica"/>
      <family val="2"/>
    </font>
    <font>
      <sz val="7"/>
      <name val="MS Sans Serif"/>
      <family val="2"/>
    </font>
    <font>
      <sz val="7"/>
      <color indexed="12"/>
      <name val="Helvetica"/>
      <family val="2"/>
    </font>
    <font>
      <sz val="7"/>
      <color indexed="39"/>
      <name val="Helvetica"/>
      <family val="2"/>
    </font>
    <font>
      <b/>
      <sz val="8"/>
      <name val="Arial"/>
      <family val="2"/>
    </font>
    <font>
      <sz val="7"/>
      <color indexed="10"/>
      <name val="Arial"/>
      <family val="2"/>
    </font>
    <font>
      <sz val="8"/>
      <name val="Arial"/>
      <family val="2"/>
    </font>
    <font>
      <sz val="7"/>
      <color indexed="9"/>
      <name val="Arial"/>
      <family val="2"/>
    </font>
    <font>
      <sz val="10"/>
      <color indexed="39"/>
      <name val="Helvetica"/>
      <family val="2"/>
    </font>
    <font>
      <b/>
      <sz val="9"/>
      <name val="Arial"/>
      <family val="2"/>
    </font>
    <font>
      <sz val="10"/>
      <color indexed="9"/>
      <name val="Arial"/>
      <family val="2"/>
    </font>
    <font>
      <b/>
      <u/>
      <sz val="10"/>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sz val="6"/>
      <color indexed="10"/>
      <name val="Arial"/>
      <family val="2"/>
    </font>
    <font>
      <b/>
      <sz val="8"/>
      <color indexed="25"/>
      <name val="Arial"/>
      <family val="2"/>
    </font>
    <font>
      <b/>
      <sz val="10"/>
      <color indexed="25"/>
      <name val="Arial"/>
      <family val="2"/>
    </font>
    <font>
      <sz val="7"/>
      <name val="Helvetica "/>
    </font>
    <font>
      <b/>
      <sz val="7"/>
      <name val="MS Sans Serif"/>
      <family val="2"/>
    </font>
    <font>
      <sz val="8"/>
      <color indexed="9"/>
      <name val="Helvetica"/>
      <family val="2"/>
    </font>
    <font>
      <sz val="7"/>
      <color indexed="9"/>
      <name val="Cambria"/>
      <family val="1"/>
    </font>
    <font>
      <sz val="8"/>
      <color indexed="9"/>
      <name val="Cambria"/>
      <family val="1"/>
    </font>
    <font>
      <sz val="10"/>
      <color indexed="9"/>
      <name val="Cambria"/>
      <family val="1"/>
    </font>
    <font>
      <sz val="7"/>
      <name val="Cambria"/>
      <family val="1"/>
    </font>
    <font>
      <u/>
      <sz val="10"/>
      <name val="Arial"/>
      <family val="2"/>
    </font>
    <font>
      <b/>
      <u/>
      <sz val="10"/>
      <color indexed="12"/>
      <name val="Arial"/>
      <family val="2"/>
    </font>
    <font>
      <u/>
      <sz val="8"/>
      <color indexed="81"/>
      <name val="Tahoma"/>
      <family val="2"/>
    </font>
    <font>
      <sz val="10"/>
      <name val="Cambria"/>
      <family val="1"/>
    </font>
    <font>
      <sz val="6.5"/>
      <name val="Helvetica"/>
      <family val="2"/>
    </font>
    <font>
      <sz val="9"/>
      <color indexed="81"/>
      <name val="Tahoma"/>
      <family val="2"/>
    </font>
    <font>
      <b/>
      <sz val="9"/>
      <color indexed="81"/>
      <name val="Tahoma"/>
      <family val="2"/>
    </font>
    <font>
      <sz val="10"/>
      <color indexed="12"/>
      <name val="Arial"/>
      <family val="2"/>
    </font>
    <font>
      <sz val="11"/>
      <color theme="1"/>
      <name val="Calibri"/>
      <family val="2"/>
      <scheme val="minor"/>
    </font>
    <font>
      <sz val="11"/>
      <color rgb="FF9C0006"/>
      <name val="Calibri"/>
      <family val="2"/>
      <scheme val="minor"/>
    </font>
    <font>
      <b/>
      <sz val="7"/>
      <color rgb="FFFF0000"/>
      <name val="Helvetica"/>
      <family val="2"/>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rgb="FFFFFFCC"/>
      <name val="Helvetica"/>
      <family val="2"/>
    </font>
    <font>
      <sz val="10"/>
      <color rgb="FFFFFFCC"/>
      <name val="Arial"/>
      <family val="2"/>
    </font>
    <font>
      <sz val="2"/>
      <color theme="0"/>
      <name val="Helvetica"/>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amily val="2"/>
    </font>
    <font>
      <sz val="7"/>
      <color indexed="10"/>
      <name val="Helvetica"/>
      <family val="2"/>
    </font>
    <font>
      <sz val="7"/>
      <name val="Helvetica"/>
      <family val="2"/>
    </font>
    <font>
      <b/>
      <sz val="7"/>
      <name val="Helvetica"/>
      <family val="2"/>
    </font>
    <font>
      <b/>
      <sz val="7"/>
      <color rgb="FFFFFFCC"/>
      <name val="Helvetica"/>
      <family val="2"/>
    </font>
    <font>
      <sz val="7"/>
      <color rgb="FFFFFFCC"/>
      <name val="Helvetica"/>
      <family val="2"/>
    </font>
    <font>
      <sz val="7"/>
      <color rgb="FFFFFFCC"/>
      <name val="Arial"/>
      <family val="2"/>
    </font>
    <font>
      <b/>
      <sz val="10"/>
      <color rgb="FFC00000"/>
      <name val="Arial"/>
      <family val="2"/>
    </font>
    <font>
      <sz val="7"/>
      <color rgb="FFFFFFCC"/>
      <name val="Helvetia"/>
    </font>
    <font>
      <sz val="7"/>
      <name val="Helvetia"/>
    </font>
    <font>
      <sz val="8"/>
      <color theme="0"/>
      <name val="Arial"/>
      <family val="2"/>
    </font>
    <font>
      <i/>
      <sz val="8"/>
      <color rgb="FFFF0000"/>
      <name val="Helvetica"/>
      <family val="2"/>
    </font>
    <font>
      <sz val="10"/>
      <color theme="0"/>
      <name val="Arial"/>
      <family val="2"/>
    </font>
    <font>
      <sz val="8"/>
      <color theme="0"/>
      <name val="Helvetica"/>
      <family val="2"/>
    </font>
    <font>
      <strike/>
      <sz val="7"/>
      <color rgb="FFFF0000"/>
      <name val="Helvetica"/>
      <family val="2"/>
    </font>
    <font>
      <strike/>
      <sz val="7"/>
      <name val="Helvetica"/>
      <family val="2"/>
    </font>
    <font>
      <b/>
      <sz val="8"/>
      <color theme="0"/>
      <name val="Helvetica"/>
      <family val="2"/>
    </font>
    <font>
      <sz val="7"/>
      <color theme="0"/>
      <name val="Arial"/>
      <family val="2"/>
    </font>
    <font>
      <u/>
      <sz val="8"/>
      <color theme="0"/>
      <name val="Arial"/>
      <family val="2"/>
    </font>
    <font>
      <b/>
      <sz val="7"/>
      <color theme="0"/>
      <name val="Helvetica"/>
      <family val="2"/>
    </font>
    <font>
      <b/>
      <sz val="8"/>
      <color indexed="10"/>
      <name val="Tahoma"/>
      <family val="2"/>
    </font>
    <font>
      <sz val="8"/>
      <color rgb="FFFFFFCC"/>
      <name val="Arial"/>
      <family val="2"/>
    </font>
    <font>
      <sz val="7"/>
      <color rgb="FFFF0000"/>
      <name val="Helvetica"/>
      <family val="2"/>
    </font>
    <font>
      <sz val="7"/>
      <color rgb="FFFF0000"/>
      <name val="Calibri"/>
      <family val="2"/>
      <scheme val="minor"/>
    </font>
    <font>
      <sz val="10"/>
      <name val="Arial"/>
      <family val="2"/>
    </font>
    <font>
      <sz val="6"/>
      <color rgb="FFFF0000"/>
      <name val="Helvetica"/>
      <family val="2"/>
    </font>
    <font>
      <sz val="7"/>
      <name val="Helvetica"/>
      <family val="2"/>
    </font>
    <font>
      <b/>
      <sz val="7"/>
      <name val="Helvetica"/>
      <family val="2"/>
    </font>
    <font>
      <i/>
      <sz val="10"/>
      <name val="Arial"/>
      <family val="2"/>
    </font>
    <font>
      <sz val="9"/>
      <color indexed="81"/>
      <name val="Tahoma"/>
      <charset val="1"/>
    </font>
    <font>
      <b/>
      <sz val="9"/>
      <color indexed="81"/>
      <name val="Tahoma"/>
      <charset val="1"/>
    </font>
    <font>
      <sz val="7"/>
      <color rgb="FFFF0000"/>
      <name val="Helvetia"/>
    </font>
  </fonts>
  <fills count="45">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lightGray">
        <fgColor indexed="22"/>
      </patternFill>
    </fill>
    <fill>
      <patternFill patternType="solid">
        <fgColor indexed="11"/>
        <bgColor indexed="22"/>
      </patternFill>
    </fill>
    <fill>
      <patternFill patternType="gray125">
        <fgColor indexed="22"/>
      </patternFill>
    </fill>
    <fill>
      <patternFill patternType="solid">
        <fgColor indexed="11"/>
        <bgColor indexed="64"/>
      </patternFill>
    </fill>
    <fill>
      <patternFill patternType="solid">
        <fgColor indexed="9"/>
        <bgColor indexed="40"/>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indexed="65"/>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solid">
        <fgColor rgb="FFFFFF00"/>
        <bgColor indexed="64"/>
      </patternFill>
    </fill>
    <fill>
      <patternFill patternType="gray125">
        <fgColor indexed="22"/>
        <bgColor theme="0"/>
      </patternFill>
    </fill>
    <fill>
      <patternFill patternType="solid">
        <fgColor theme="0"/>
        <bgColor indexed="64"/>
      </patternFill>
    </fill>
    <fill>
      <patternFill patternType="solid">
        <fgColor theme="7" tint="0.59999389629810485"/>
        <bgColor indexed="64"/>
      </patternFill>
    </fill>
    <fill>
      <patternFill patternType="solid">
        <fgColor rgb="FFFFFFE5"/>
        <bgColor indexed="64"/>
      </patternFill>
    </fill>
    <fill>
      <patternFill patternType="lightGray">
        <fgColor rgb="FF00CCFF"/>
        <bgColor indexed="11"/>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solid">
        <fgColor theme="9" tint="0.399975585192419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gray125">
        <fgColor rgb="FFC0C0C0"/>
        <bgColor indexed="9"/>
      </patternFill>
    </fill>
    <fill>
      <patternFill patternType="solid">
        <fgColor rgb="FFCCC0DA"/>
        <bgColor indexed="64"/>
      </patternFill>
    </fill>
  </fills>
  <borders count="248">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hair">
        <color indexed="64"/>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dotted">
        <color indexed="64"/>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s>
  <cellStyleXfs count="25">
    <xf numFmtId="0" fontId="0" fillId="0" borderId="0"/>
    <xf numFmtId="0" fontId="134" fillId="21" borderId="236" applyNumberFormat="0" applyFont="0" applyAlignment="0" applyProtection="0"/>
    <xf numFmtId="0" fontId="134" fillId="21" borderId="236" applyNumberFormat="0" applyFont="0" applyAlignment="0" applyProtection="0"/>
    <xf numFmtId="0" fontId="135" fillId="22" borderId="0" applyNumberFormat="0" applyBorder="0" applyAlignment="0" applyProtection="0"/>
    <xf numFmtId="0" fontId="64"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25" fillId="0" borderId="0"/>
    <xf numFmtId="0" fontId="25" fillId="0" borderId="0"/>
    <xf numFmtId="0" fontId="134" fillId="0" borderId="0"/>
    <xf numFmtId="0" fontId="134" fillId="0" borderId="0"/>
    <xf numFmtId="0" fontId="20" fillId="0" borderId="0"/>
    <xf numFmtId="0" fontId="24" fillId="0" borderId="0"/>
    <xf numFmtId="0" fontId="36" fillId="0" borderId="0"/>
    <xf numFmtId="0" fontId="2" fillId="0" borderId="0"/>
    <xf numFmtId="9" fontId="35" fillId="0" borderId="0" applyFont="0" applyFill="0" applyBorder="0" applyAlignment="0" applyProtection="0"/>
    <xf numFmtId="9" fontId="25" fillId="0" borderId="0" applyFont="0" applyFill="0" applyBorder="0" applyAlignment="0" applyProtection="0"/>
    <xf numFmtId="38" fontId="24" fillId="0" borderId="0" applyFont="0" applyFill="0" applyBorder="0" applyAlignment="0" applyProtection="0"/>
    <xf numFmtId="6" fontId="24" fillId="0" borderId="0" applyFont="0" applyFill="0" applyBorder="0" applyAlignment="0" applyProtection="0"/>
    <xf numFmtId="43" fontId="176" fillId="0" borderId="0" applyFont="0" applyFill="0" applyBorder="0" applyAlignment="0" applyProtection="0"/>
    <xf numFmtId="0" fontId="1" fillId="21" borderId="236" applyNumberFormat="0" applyFont="0" applyAlignment="0" applyProtection="0"/>
    <xf numFmtId="0" fontId="1" fillId="21" borderId="236" applyNumberFormat="0" applyFont="0" applyAlignment="0" applyProtection="0"/>
    <xf numFmtId="0" fontId="1" fillId="0" borderId="0"/>
    <xf numFmtId="0" fontId="1" fillId="0" borderId="0"/>
    <xf numFmtId="43" fontId="25" fillId="0" borderId="0" applyFont="0" applyFill="0" applyBorder="0" applyAlignment="0" applyProtection="0"/>
    <xf numFmtId="0" fontId="1" fillId="0" borderId="0"/>
  </cellStyleXfs>
  <cellXfs count="3150">
    <xf numFmtId="0" fontId="0" fillId="0" borderId="0" xfId="0"/>
    <xf numFmtId="0" fontId="2" fillId="0" borderId="0" xfId="0" applyFont="1" applyProtection="1"/>
    <xf numFmtId="0" fontId="21"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0" fillId="2" borderId="0" xfId="0" applyFill="1"/>
    <xf numFmtId="0" fontId="0" fillId="2" borderId="0" xfId="0" applyFill="1" applyProtection="1"/>
    <xf numFmtId="0" fontId="2" fillId="2" borderId="0" xfId="0" applyFont="1" applyFill="1" applyProtection="1"/>
    <xf numFmtId="1" fontId="4" fillId="2" borderId="0" xfId="0" applyNumberFormat="1" applyFont="1" applyFill="1" applyBorder="1" applyAlignment="1" applyProtection="1">
      <alignment horizontal="left"/>
    </xf>
    <xf numFmtId="0" fontId="4" fillId="2" borderId="0" xfId="0" applyFont="1" applyFill="1" applyBorder="1" applyProtection="1"/>
    <xf numFmtId="0" fontId="8" fillId="2" borderId="0" xfId="0" applyFont="1" applyFill="1" applyBorder="1" applyProtection="1"/>
    <xf numFmtId="0" fontId="9" fillId="2" borderId="0" xfId="0" applyFont="1" applyFill="1" applyBorder="1" applyProtection="1"/>
    <xf numFmtId="0" fontId="2" fillId="2" borderId="0" xfId="0" applyFont="1" applyFill="1" applyBorder="1" applyProtection="1"/>
    <xf numFmtId="0" fontId="9" fillId="2" borderId="0" xfId="0" applyFont="1" applyFill="1" applyProtection="1"/>
    <xf numFmtId="3" fontId="5" fillId="2" borderId="0" xfId="0" applyNumberFormat="1" applyFont="1" applyFill="1" applyBorder="1" applyProtection="1"/>
    <xf numFmtId="164" fontId="12" fillId="0" borderId="1" xfId="0" applyNumberFormat="1" applyFont="1" applyFill="1" applyBorder="1" applyAlignment="1" applyProtection="1">
      <alignment horizontal="center" vertical="center"/>
    </xf>
    <xf numFmtId="0" fontId="14" fillId="2" borderId="0" xfId="0" applyFont="1" applyFill="1" applyBorder="1" applyAlignment="1" applyProtection="1">
      <alignment horizontal="left"/>
    </xf>
    <xf numFmtId="1" fontId="17" fillId="0" borderId="0" xfId="0" applyNumberFormat="1" applyFont="1" applyFill="1" applyBorder="1" applyAlignment="1" applyProtection="1">
      <alignment horizontal="center"/>
    </xf>
    <xf numFmtId="0" fontId="17" fillId="0" borderId="0" xfId="0" applyFont="1" applyFill="1" applyBorder="1" applyProtection="1"/>
    <xf numFmtId="3" fontId="14" fillId="0" borderId="0" xfId="0" applyNumberFormat="1" applyFont="1" applyFill="1" applyBorder="1" applyProtection="1"/>
    <xf numFmtId="3" fontId="14" fillId="2" borderId="2" xfId="0" applyNumberFormat="1" applyFont="1" applyFill="1" applyBorder="1" applyAlignment="1" applyProtection="1">
      <alignment horizontal="right"/>
      <protection locked="0"/>
    </xf>
    <xf numFmtId="3" fontId="14" fillId="2" borderId="3" xfId="0" applyNumberFormat="1" applyFont="1" applyFill="1" applyBorder="1" applyAlignment="1" applyProtection="1">
      <alignment horizontal="right"/>
      <protection locked="0"/>
    </xf>
    <xf numFmtId="3" fontId="14" fillId="2" borderId="4" xfId="0" applyNumberFormat="1" applyFont="1" applyFill="1" applyBorder="1" applyAlignment="1" applyProtection="1">
      <alignment horizontal="right"/>
      <protection locked="0"/>
    </xf>
    <xf numFmtId="3" fontId="14" fillId="2" borderId="5" xfId="0" applyNumberFormat="1" applyFont="1" applyFill="1" applyBorder="1" applyAlignment="1" applyProtection="1">
      <alignment horizontal="right"/>
      <protection locked="0"/>
    </xf>
    <xf numFmtId="3" fontId="14" fillId="2" borderId="6" xfId="0" applyNumberFormat="1" applyFont="1" applyFill="1" applyBorder="1" applyAlignment="1" applyProtection="1">
      <alignment horizontal="right"/>
      <protection locked="0"/>
    </xf>
    <xf numFmtId="3" fontId="14" fillId="2" borderId="7" xfId="0" applyNumberFormat="1" applyFont="1" applyFill="1" applyBorder="1" applyAlignment="1" applyProtection="1">
      <alignment horizontal="right"/>
      <protection locked="0"/>
    </xf>
    <xf numFmtId="3" fontId="14" fillId="3" borderId="6" xfId="0" applyNumberFormat="1" applyFont="1" applyFill="1" applyBorder="1" applyAlignment="1" applyProtection="1">
      <alignment horizontal="right"/>
    </xf>
    <xf numFmtId="3" fontId="14" fillId="2" borderId="8" xfId="0" applyNumberFormat="1" applyFont="1" applyFill="1" applyBorder="1" applyAlignment="1" applyProtection="1">
      <alignment horizontal="right"/>
      <protection locked="0"/>
    </xf>
    <xf numFmtId="3" fontId="14" fillId="2" borderId="9" xfId="0" applyNumberFormat="1" applyFont="1" applyFill="1" applyBorder="1" applyAlignment="1" applyProtection="1">
      <alignment horizontal="right"/>
      <protection locked="0"/>
    </xf>
    <xf numFmtId="3" fontId="14" fillId="2" borderId="10" xfId="0" applyNumberFormat="1" applyFont="1" applyFill="1" applyBorder="1" applyAlignment="1" applyProtection="1">
      <alignment horizontal="right"/>
      <protection locked="0"/>
    </xf>
    <xf numFmtId="3" fontId="14" fillId="2" borderId="0" xfId="0" applyNumberFormat="1" applyFont="1" applyFill="1" applyBorder="1" applyProtection="1"/>
    <xf numFmtId="3" fontId="14" fillId="2" borderId="0" xfId="0" applyNumberFormat="1" applyFont="1" applyFill="1" applyBorder="1" applyAlignment="1" applyProtection="1">
      <alignment horizontal="right"/>
    </xf>
    <xf numFmtId="0" fontId="26" fillId="2" borderId="0" xfId="0" applyFont="1" applyFill="1" applyBorder="1" applyProtection="1"/>
    <xf numFmtId="3" fontId="9" fillId="2" borderId="0" xfId="0" applyNumberFormat="1" applyFont="1" applyFill="1" applyBorder="1" applyProtection="1"/>
    <xf numFmtId="3" fontId="9" fillId="2" borderId="0" xfId="0" applyNumberFormat="1" applyFont="1" applyFill="1" applyBorder="1" applyAlignment="1" applyProtection="1"/>
    <xf numFmtId="0" fontId="26" fillId="2" borderId="0" xfId="0" applyFont="1" applyFill="1" applyProtection="1"/>
    <xf numFmtId="0" fontId="62" fillId="2" borderId="0" xfId="0" applyFont="1" applyFill="1" applyBorder="1" applyAlignment="1" applyProtection="1">
      <alignment vertical="top"/>
    </xf>
    <xf numFmtId="166" fontId="9" fillId="2" borderId="0" xfId="0" applyNumberFormat="1" applyFont="1" applyFill="1" applyBorder="1" applyProtection="1"/>
    <xf numFmtId="3" fontId="14" fillId="2" borderId="0" xfId="0" applyNumberFormat="1" applyFont="1" applyFill="1" applyBorder="1" applyAlignment="1" applyProtection="1">
      <alignment horizontal="left"/>
    </xf>
    <xf numFmtId="3" fontId="6" fillId="2" borderId="0" xfId="0" applyNumberFormat="1" applyFont="1" applyFill="1" applyBorder="1" applyProtection="1"/>
    <xf numFmtId="0" fontId="14" fillId="2" borderId="0" xfId="0" applyFont="1" applyFill="1" applyBorder="1" applyProtection="1"/>
    <xf numFmtId="1" fontId="41" fillId="2" borderId="0" xfId="0" applyNumberFormat="1" applyFont="1" applyFill="1" applyBorder="1" applyAlignment="1" applyProtection="1">
      <alignment horizontal="left"/>
    </xf>
    <xf numFmtId="165" fontId="50" fillId="2" borderId="0" xfId="0" applyNumberFormat="1" applyFont="1" applyFill="1" applyBorder="1" applyProtection="1"/>
    <xf numFmtId="3" fontId="38" fillId="2" borderId="0" xfId="0" applyNumberFormat="1" applyFont="1" applyFill="1" applyProtection="1"/>
    <xf numFmtId="0" fontId="8" fillId="2" borderId="0" xfId="0" applyFont="1" applyFill="1" applyProtection="1"/>
    <xf numFmtId="0" fontId="54" fillId="2" borderId="0" xfId="0" applyNumberFormat="1" applyFont="1" applyFill="1" applyProtection="1"/>
    <xf numFmtId="0" fontId="60" fillId="2" borderId="0" xfId="0" applyNumberFormat="1" applyFont="1" applyFill="1" applyProtection="1"/>
    <xf numFmtId="0" fontId="4" fillId="2" borderId="0" xfId="0" applyFont="1" applyFill="1" applyProtection="1"/>
    <xf numFmtId="3" fontId="55" fillId="2" borderId="0" xfId="0" applyNumberFormat="1" applyFont="1" applyFill="1" applyProtection="1"/>
    <xf numFmtId="3" fontId="55" fillId="2" borderId="0" xfId="0" applyNumberFormat="1" applyFont="1" applyFill="1" applyBorder="1" applyAlignment="1" applyProtection="1">
      <alignment horizontal="left"/>
    </xf>
    <xf numFmtId="3" fontId="8" fillId="2" borderId="11" xfId="0" applyNumberFormat="1" applyFont="1" applyFill="1" applyBorder="1" applyProtection="1"/>
    <xf numFmtId="3" fontId="8" fillId="2" borderId="0" xfId="0" applyNumberFormat="1" applyFont="1" applyFill="1" applyBorder="1" applyProtection="1"/>
    <xf numFmtId="3" fontId="9" fillId="4" borderId="0" xfId="0" applyNumberFormat="1" applyFont="1" applyFill="1" applyBorder="1" applyProtection="1"/>
    <xf numFmtId="3" fontId="14" fillId="5"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left"/>
    </xf>
    <xf numFmtId="3" fontId="14" fillId="5" borderId="0" xfId="0" applyNumberFormat="1" applyFont="1" applyFill="1" applyBorder="1" applyAlignment="1" applyProtection="1"/>
    <xf numFmtId="3" fontId="3" fillId="2" borderId="5" xfId="0" applyNumberFormat="1" applyFont="1" applyFill="1" applyBorder="1" applyAlignment="1" applyProtection="1">
      <alignment horizontal="right"/>
      <protection locked="0"/>
    </xf>
    <xf numFmtId="3" fontId="3" fillId="2" borderId="12" xfId="0" applyNumberFormat="1" applyFont="1" applyFill="1" applyBorder="1" applyAlignment="1" applyProtection="1">
      <alignment horizontal="right"/>
      <protection locked="0"/>
    </xf>
    <xf numFmtId="3" fontId="57" fillId="2" borderId="0" xfId="0" applyNumberFormat="1" applyFont="1" applyFill="1" applyBorder="1" applyProtection="1"/>
    <xf numFmtId="3" fontId="14" fillId="6" borderId="0" xfId="0" applyNumberFormat="1" applyFont="1" applyFill="1" applyBorder="1" applyAlignment="1" applyProtection="1">
      <alignment horizontal="right"/>
    </xf>
    <xf numFmtId="3" fontId="14" fillId="6" borderId="0" xfId="0" applyNumberFormat="1" applyFont="1" applyFill="1" applyBorder="1" applyAlignment="1" applyProtection="1"/>
    <xf numFmtId="0" fontId="68" fillId="2" borderId="0" xfId="0" applyFont="1" applyFill="1" applyProtection="1"/>
    <xf numFmtId="0" fontId="70" fillId="2" borderId="0" xfId="0" applyFont="1" applyFill="1" applyBorder="1" applyAlignment="1" applyProtection="1"/>
    <xf numFmtId="0" fontId="72" fillId="2" borderId="0" xfId="0" quotePrefix="1" applyFont="1" applyFill="1" applyBorder="1" applyAlignment="1" applyProtection="1"/>
    <xf numFmtId="0" fontId="73" fillId="2" borderId="0" xfId="0" applyNumberFormat="1" applyFont="1" applyFill="1" applyProtection="1">
      <protection hidden="1"/>
    </xf>
    <xf numFmtId="0" fontId="73" fillId="2" borderId="0" xfId="0" applyNumberFormat="1" applyFont="1" applyFill="1" applyProtection="1"/>
    <xf numFmtId="0" fontId="74" fillId="2" borderId="0" xfId="0" applyNumberFormat="1" applyFont="1" applyFill="1" applyProtection="1"/>
    <xf numFmtId="0" fontId="74" fillId="2" borderId="0" xfId="0" applyFont="1" applyFill="1" applyProtection="1"/>
    <xf numFmtId="3" fontId="4" fillId="2" borderId="0" xfId="0" applyNumberFormat="1" applyFont="1" applyFill="1" applyBorder="1" applyProtection="1"/>
    <xf numFmtId="3" fontId="3" fillId="2" borderId="2" xfId="0" applyNumberFormat="1" applyFont="1" applyFill="1" applyBorder="1" applyAlignment="1" applyProtection="1">
      <alignment horizontal="right"/>
      <protection locked="0"/>
    </xf>
    <xf numFmtId="3" fontId="19" fillId="2" borderId="0" xfId="0" applyNumberFormat="1" applyFont="1" applyFill="1" applyBorder="1" applyProtection="1"/>
    <xf numFmtId="3" fontId="39" fillId="2" borderId="0" xfId="0" applyNumberFormat="1" applyFont="1" applyFill="1" applyBorder="1" applyAlignment="1" applyProtection="1">
      <alignment horizontal="left"/>
    </xf>
    <xf numFmtId="0" fontId="10" fillId="2" borderId="0" xfId="0" applyFont="1" applyFill="1" applyProtection="1"/>
    <xf numFmtId="166" fontId="10" fillId="2" borderId="0" xfId="0" applyNumberFormat="1" applyFont="1" applyFill="1" applyProtection="1"/>
    <xf numFmtId="0" fontId="39" fillId="2" borderId="0" xfId="0" applyFont="1" applyFill="1" applyProtection="1"/>
    <xf numFmtId="0" fontId="75" fillId="2" borderId="0" xfId="0" applyFont="1" applyFill="1" applyProtection="1"/>
    <xf numFmtId="0" fontId="38" fillId="2" borderId="0" xfId="0" applyFont="1" applyFill="1" applyBorder="1" applyAlignment="1" applyProtection="1">
      <alignment horizontal="left" vertical="top"/>
    </xf>
    <xf numFmtId="0" fontId="34" fillId="0" borderId="0" xfId="0" applyFont="1" applyFill="1" applyBorder="1" applyAlignment="1" applyProtection="1">
      <alignment horizontal="left"/>
    </xf>
    <xf numFmtId="0" fontId="31" fillId="0" borderId="0" xfId="0" applyFont="1" applyFill="1" applyBorder="1" applyAlignment="1" applyProtection="1">
      <alignment horizontal="left"/>
    </xf>
    <xf numFmtId="3" fontId="3" fillId="0" borderId="0" xfId="0" applyNumberFormat="1" applyFont="1" applyFill="1" applyBorder="1" applyAlignment="1" applyProtection="1">
      <alignment horizontal="right"/>
    </xf>
    <xf numFmtId="3" fontId="6" fillId="4" borderId="0" xfId="0" applyNumberFormat="1" applyFont="1" applyFill="1" applyBorder="1" applyProtection="1"/>
    <xf numFmtId="0" fontId="62" fillId="2" borderId="0" xfId="0" applyFont="1" applyFill="1" applyAlignment="1" applyProtection="1">
      <alignment vertical="top"/>
    </xf>
    <xf numFmtId="0" fontId="56" fillId="2" borderId="0" xfId="0" applyFont="1" applyFill="1" applyAlignment="1" applyProtection="1"/>
    <xf numFmtId="0" fontId="56" fillId="2" borderId="0" xfId="0" applyFont="1" applyFill="1" applyAlignment="1" applyProtection="1">
      <alignment vertical="top"/>
    </xf>
    <xf numFmtId="0" fontId="34" fillId="7" borderId="0" xfId="0" applyFont="1" applyFill="1" applyBorder="1" applyAlignment="1" applyProtection="1">
      <alignment horizontal="left"/>
    </xf>
    <xf numFmtId="0" fontId="31" fillId="7" borderId="0" xfId="0" applyFont="1" applyFill="1" applyBorder="1" applyAlignment="1" applyProtection="1">
      <alignment horizontal="left"/>
    </xf>
    <xf numFmtId="0" fontId="4" fillId="0" borderId="0" xfId="0" applyFont="1" applyFill="1" applyProtection="1"/>
    <xf numFmtId="3" fontId="3" fillId="8" borderId="13" xfId="0" applyNumberFormat="1" applyFont="1" applyFill="1" applyBorder="1" applyAlignment="1" applyProtection="1">
      <alignment horizontal="right"/>
    </xf>
    <xf numFmtId="3" fontId="3" fillId="9" borderId="14" xfId="0" applyNumberFormat="1" applyFont="1" applyFill="1" applyBorder="1" applyAlignment="1" applyProtection="1">
      <alignment horizontal="right"/>
    </xf>
    <xf numFmtId="3" fontId="3" fillId="9" borderId="9" xfId="0" applyNumberFormat="1" applyFont="1" applyFill="1" applyBorder="1" applyAlignment="1" applyProtection="1">
      <alignment horizontal="right"/>
    </xf>
    <xf numFmtId="3" fontId="3" fillId="9" borderId="7" xfId="0" applyNumberFormat="1" applyFont="1" applyFill="1" applyBorder="1" applyAlignment="1" applyProtection="1">
      <alignment horizontal="right"/>
    </xf>
    <xf numFmtId="3" fontId="3" fillId="9" borderId="15" xfId="0" applyNumberFormat="1" applyFont="1" applyFill="1" applyBorder="1" applyAlignment="1" applyProtection="1">
      <alignment horizontal="right"/>
    </xf>
    <xf numFmtId="3" fontId="3" fillId="9" borderId="17" xfId="0" applyNumberFormat="1" applyFont="1" applyFill="1" applyBorder="1" applyAlignment="1" applyProtection="1">
      <alignment horizontal="right"/>
    </xf>
    <xf numFmtId="3" fontId="3" fillId="9" borderId="5" xfId="0" applyNumberFormat="1" applyFont="1" applyFill="1" applyBorder="1" applyAlignment="1" applyProtection="1">
      <alignment horizontal="right"/>
    </xf>
    <xf numFmtId="0" fontId="6" fillId="0" borderId="0" xfId="0" applyFont="1" applyFill="1" applyBorder="1" applyAlignment="1" applyProtection="1">
      <alignment horizontal="left"/>
    </xf>
    <xf numFmtId="0" fontId="6" fillId="0" borderId="0" xfId="0" applyFont="1" applyFill="1" applyBorder="1" applyProtection="1"/>
    <xf numFmtId="0" fontId="4" fillId="0" borderId="0" xfId="0" applyFont="1" applyFill="1" applyBorder="1" applyAlignment="1" applyProtection="1">
      <alignment horizontal="left"/>
    </xf>
    <xf numFmtId="0" fontId="34" fillId="7" borderId="0" xfId="0" applyFont="1" applyFill="1" applyAlignment="1" applyProtection="1">
      <alignment vertical="top"/>
    </xf>
    <xf numFmtId="0" fontId="32" fillId="7" borderId="0" xfId="0" applyFont="1" applyFill="1" applyProtection="1"/>
    <xf numFmtId="0" fontId="33" fillId="7" borderId="0" xfId="0" applyFont="1" applyFill="1" applyProtection="1"/>
    <xf numFmtId="0" fontId="34" fillId="7" borderId="0" xfId="0" quotePrefix="1" applyFont="1" applyFill="1" applyBorder="1" applyAlignment="1" applyProtection="1">
      <alignment horizontal="left"/>
    </xf>
    <xf numFmtId="0" fontId="67" fillId="7" borderId="0" xfId="0" applyFont="1" applyFill="1" applyProtection="1"/>
    <xf numFmtId="0" fontId="68" fillId="7" borderId="0" xfId="0" applyFont="1" applyFill="1" applyProtection="1"/>
    <xf numFmtId="166" fontId="68" fillId="7" borderId="0" xfId="0" applyNumberFormat="1" applyFont="1" applyFill="1" applyProtection="1"/>
    <xf numFmtId="3" fontId="3" fillId="9" borderId="9" xfId="0" applyNumberFormat="1" applyFont="1" applyFill="1" applyBorder="1" applyProtection="1"/>
    <xf numFmtId="3" fontId="3" fillId="9" borderId="5" xfId="0" applyNumberFormat="1" applyFont="1" applyFill="1" applyBorder="1" applyProtection="1"/>
    <xf numFmtId="3" fontId="3" fillId="2" borderId="18" xfId="0" applyNumberFormat="1" applyFont="1" applyFill="1" applyBorder="1" applyAlignment="1" applyProtection="1">
      <alignment horizontal="right"/>
      <protection locked="0"/>
    </xf>
    <xf numFmtId="3" fontId="14" fillId="2" borderId="18" xfId="0" applyNumberFormat="1" applyFont="1" applyFill="1" applyBorder="1" applyAlignment="1" applyProtection="1">
      <alignment horizontal="right"/>
      <protection locked="0"/>
    </xf>
    <xf numFmtId="3" fontId="14" fillId="2" borderId="19" xfId="0" applyNumberFormat="1" applyFont="1" applyFill="1" applyBorder="1" applyAlignment="1" applyProtection="1">
      <alignment horizontal="right"/>
      <protection locked="0"/>
    </xf>
    <xf numFmtId="3" fontId="14" fillId="2" borderId="20" xfId="0" applyNumberFormat="1" applyFont="1" applyFill="1" applyBorder="1" applyAlignment="1" applyProtection="1">
      <alignment horizontal="right"/>
      <protection locked="0"/>
    </xf>
    <xf numFmtId="3" fontId="14" fillId="2" borderId="21" xfId="0" applyNumberFormat="1" applyFont="1" applyFill="1" applyBorder="1" applyAlignment="1" applyProtection="1">
      <alignment horizontal="right"/>
      <protection locked="0"/>
    </xf>
    <xf numFmtId="3" fontId="14" fillId="2" borderId="22" xfId="0" applyNumberFormat="1" applyFont="1" applyFill="1" applyBorder="1" applyAlignment="1" applyProtection="1">
      <alignment horizontal="right"/>
      <protection locked="0"/>
    </xf>
    <xf numFmtId="3" fontId="14" fillId="3" borderId="19" xfId="0" applyNumberFormat="1" applyFont="1" applyFill="1" applyBorder="1" applyAlignment="1" applyProtection="1">
      <alignment horizontal="right"/>
    </xf>
    <xf numFmtId="3" fontId="14" fillId="2" borderId="23" xfId="0" applyNumberFormat="1" applyFont="1" applyFill="1" applyBorder="1" applyAlignment="1" applyProtection="1">
      <alignment horizontal="right"/>
      <protection locked="0"/>
    </xf>
    <xf numFmtId="3" fontId="14" fillId="2" borderId="24" xfId="0" applyNumberFormat="1" applyFont="1" applyFill="1" applyBorder="1" applyAlignment="1" applyProtection="1">
      <alignment horizontal="right"/>
      <protection locked="0"/>
    </xf>
    <xf numFmtId="3" fontId="14" fillId="2" borderId="25" xfId="0" applyNumberFormat="1" applyFont="1" applyFill="1" applyBorder="1" applyAlignment="1" applyProtection="1">
      <alignment horizontal="right"/>
      <protection locked="0"/>
    </xf>
    <xf numFmtId="3" fontId="14" fillId="2" borderId="26" xfId="0" applyNumberFormat="1" applyFont="1" applyFill="1" applyBorder="1" applyAlignment="1" applyProtection="1">
      <alignment horizontal="right"/>
      <protection locked="0"/>
    </xf>
    <xf numFmtId="0" fontId="6" fillId="2" borderId="0" xfId="0" applyFont="1" applyFill="1" applyBorder="1" applyProtection="1"/>
    <xf numFmtId="0" fontId="9" fillId="4" borderId="0" xfId="0" applyFont="1" applyFill="1" applyBorder="1" applyProtection="1"/>
    <xf numFmtId="3" fontId="14" fillId="5" borderId="27" xfId="0" applyNumberFormat="1" applyFont="1" applyFill="1" applyBorder="1" applyAlignment="1" applyProtection="1">
      <alignment horizontal="right"/>
    </xf>
    <xf numFmtId="3" fontId="14" fillId="2" borderId="28" xfId="0" applyNumberFormat="1" applyFont="1" applyFill="1" applyBorder="1" applyAlignment="1" applyProtection="1">
      <alignment horizontal="right"/>
      <protection locked="0"/>
    </xf>
    <xf numFmtId="3" fontId="14" fillId="2" borderId="29" xfId="0" applyNumberFormat="1" applyFont="1" applyFill="1" applyBorder="1" applyAlignment="1" applyProtection="1">
      <alignment horizontal="right"/>
      <protection locked="0"/>
    </xf>
    <xf numFmtId="3" fontId="14" fillId="2" borderId="30" xfId="0" applyNumberFormat="1" applyFont="1" applyFill="1" applyBorder="1" applyAlignment="1" applyProtection="1">
      <alignment horizontal="right"/>
      <protection locked="0"/>
    </xf>
    <xf numFmtId="3" fontId="14" fillId="3" borderId="31" xfId="0" applyNumberFormat="1" applyFont="1" applyFill="1" applyBorder="1" applyAlignment="1" applyProtection="1">
      <alignment horizontal="right"/>
    </xf>
    <xf numFmtId="3" fontId="14" fillId="3" borderId="29" xfId="0" applyNumberFormat="1" applyFont="1" applyFill="1" applyBorder="1" applyAlignment="1" applyProtection="1">
      <alignment horizontal="right"/>
    </xf>
    <xf numFmtId="3" fontId="14" fillId="3" borderId="32" xfId="0" applyNumberFormat="1" applyFont="1" applyFill="1" applyBorder="1" applyAlignment="1" applyProtection="1">
      <alignment horizontal="right"/>
    </xf>
    <xf numFmtId="3" fontId="14" fillId="2" borderId="32" xfId="0" applyNumberFormat="1" applyFont="1" applyFill="1" applyBorder="1" applyAlignment="1" applyProtection="1">
      <alignment horizontal="right"/>
      <protection locked="0"/>
    </xf>
    <xf numFmtId="3" fontId="3" fillId="9" borderId="33" xfId="0" applyNumberFormat="1" applyFont="1" applyFill="1" applyBorder="1" applyProtection="1"/>
    <xf numFmtId="3" fontId="3" fillId="9" borderId="34" xfId="0" applyNumberFormat="1" applyFont="1" applyFill="1" applyBorder="1" applyAlignment="1" applyProtection="1">
      <alignment horizontal="right"/>
    </xf>
    <xf numFmtId="3" fontId="3" fillId="9" borderId="35" xfId="0" applyNumberFormat="1" applyFont="1" applyFill="1" applyBorder="1" applyAlignment="1" applyProtection="1">
      <alignment horizontal="right"/>
    </xf>
    <xf numFmtId="0" fontId="4" fillId="10" borderId="37" xfId="0" applyFont="1" applyFill="1" applyBorder="1" applyAlignment="1" applyProtection="1">
      <alignment horizontal="center"/>
    </xf>
    <xf numFmtId="0" fontId="38" fillId="2" borderId="0" xfId="0" applyFont="1" applyFill="1" applyBorder="1" applyProtection="1"/>
    <xf numFmtId="0" fontId="54" fillId="2" borderId="0" xfId="0" applyNumberFormat="1" applyFont="1" applyFill="1" applyBorder="1" applyProtection="1"/>
    <xf numFmtId="3" fontId="8" fillId="2" borderId="38" xfId="0" applyNumberFormat="1" applyFont="1" applyFill="1" applyBorder="1" applyProtection="1"/>
    <xf numFmtId="3" fontId="40" fillId="2" borderId="38" xfId="0" applyNumberFormat="1" applyFont="1" applyFill="1" applyBorder="1" applyAlignment="1" applyProtection="1">
      <alignment horizontal="left"/>
    </xf>
    <xf numFmtId="3" fontId="3" fillId="9" borderId="39" xfId="0" applyNumberFormat="1" applyFont="1" applyFill="1" applyBorder="1" applyAlignment="1" applyProtection="1">
      <alignment horizontal="right"/>
    </xf>
    <xf numFmtId="3" fontId="3" fillId="9" borderId="20" xfId="0" applyNumberFormat="1" applyFont="1" applyFill="1" applyBorder="1" applyAlignment="1" applyProtection="1">
      <alignment horizontal="right"/>
    </xf>
    <xf numFmtId="3" fontId="3" fillId="9" borderId="40" xfId="0" applyNumberFormat="1" applyFont="1" applyFill="1" applyBorder="1" applyAlignment="1" applyProtection="1">
      <alignment horizontal="right"/>
    </xf>
    <xf numFmtId="0" fontId="34" fillId="7" borderId="0" xfId="6" applyFont="1" applyFill="1" applyBorder="1" applyAlignment="1" applyProtection="1">
      <alignment horizontal="left"/>
    </xf>
    <xf numFmtId="0" fontId="31" fillId="7" borderId="0" xfId="6" applyFont="1" applyFill="1" applyBorder="1" applyAlignment="1" applyProtection="1">
      <alignment horizontal="left"/>
    </xf>
    <xf numFmtId="0" fontId="4" fillId="0" borderId="0" xfId="6" applyFont="1" applyFill="1" applyProtection="1"/>
    <xf numFmtId="3" fontId="3" fillId="2" borderId="5" xfId="6" applyNumberFormat="1" applyFont="1" applyFill="1" applyBorder="1" applyAlignment="1" applyProtection="1">
      <alignment horizontal="right"/>
      <protection locked="0"/>
    </xf>
    <xf numFmtId="3" fontId="3" fillId="9" borderId="5" xfId="6" applyNumberFormat="1" applyFont="1" applyFill="1" applyBorder="1" applyAlignment="1" applyProtection="1">
      <alignment horizontal="right"/>
    </xf>
    <xf numFmtId="3" fontId="39" fillId="8" borderId="5" xfId="6" applyNumberFormat="1" applyFont="1" applyFill="1" applyBorder="1" applyProtection="1"/>
    <xf numFmtId="3" fontId="39" fillId="8" borderId="2" xfId="6" applyNumberFormat="1" applyFont="1" applyFill="1" applyBorder="1" applyProtection="1"/>
    <xf numFmtId="3" fontId="39" fillId="8" borderId="41" xfId="6" applyNumberFormat="1" applyFont="1" applyFill="1" applyBorder="1" applyProtection="1"/>
    <xf numFmtId="0" fontId="84" fillId="10" borderId="0" xfId="0" applyFont="1" applyFill="1" applyBorder="1" applyAlignment="1">
      <alignment wrapText="1"/>
    </xf>
    <xf numFmtId="0" fontId="82" fillId="10" borderId="0" xfId="0" applyFont="1" applyFill="1" applyBorder="1" applyAlignment="1">
      <alignment wrapText="1"/>
    </xf>
    <xf numFmtId="0" fontId="79" fillId="10" borderId="0" xfId="0" applyFont="1" applyFill="1" applyBorder="1" applyAlignment="1">
      <alignment horizontal="center" wrapText="1"/>
    </xf>
    <xf numFmtId="0" fontId="86" fillId="7" borderId="0" xfId="0" applyFont="1" applyFill="1" applyBorder="1" applyAlignment="1" applyProtection="1">
      <alignment horizontal="left"/>
    </xf>
    <xf numFmtId="3" fontId="65" fillId="2" borderId="0" xfId="0" applyNumberFormat="1" applyFont="1" applyFill="1" applyBorder="1" applyAlignment="1" applyProtection="1"/>
    <xf numFmtId="3" fontId="38" fillId="0" borderId="0" xfId="0" applyNumberFormat="1" applyFont="1" applyFill="1" applyBorder="1" applyProtection="1"/>
    <xf numFmtId="49" fontId="6" fillId="0" borderId="0" xfId="0" applyNumberFormat="1" applyFont="1" applyFill="1" applyBorder="1" applyAlignment="1" applyProtection="1">
      <alignment horizontal="left"/>
    </xf>
    <xf numFmtId="0" fontId="2" fillId="0" borderId="0" xfId="0" applyFont="1" applyFill="1" applyBorder="1" applyProtection="1"/>
    <xf numFmtId="0" fontId="8" fillId="0" borderId="0" xfId="0" applyFont="1" applyFill="1" applyBorder="1" applyProtection="1"/>
    <xf numFmtId="3" fontId="4" fillId="0" borderId="0" xfId="0" applyNumberFormat="1" applyFont="1" applyFill="1" applyBorder="1" applyProtection="1"/>
    <xf numFmtId="0" fontId="4" fillId="0" borderId="0" xfId="0" applyFont="1" applyFill="1" applyBorder="1" applyProtection="1"/>
    <xf numFmtId="3" fontId="14" fillId="0" borderId="0" xfId="0" applyNumberFormat="1" applyFont="1" applyFill="1" applyBorder="1" applyAlignment="1" applyProtection="1">
      <alignment horizontal="right"/>
    </xf>
    <xf numFmtId="3" fontId="14" fillId="0" borderId="0" xfId="0" applyNumberFormat="1" applyFont="1" applyFill="1" applyBorder="1" applyAlignment="1" applyProtection="1"/>
    <xf numFmtId="49" fontId="3" fillId="10" borderId="43" xfId="0" applyNumberFormat="1" applyFont="1" applyFill="1" applyBorder="1" applyAlignment="1" applyProtection="1"/>
    <xf numFmtId="49" fontId="3" fillId="10" borderId="28" xfId="0" applyNumberFormat="1" applyFont="1" applyFill="1" applyBorder="1" applyAlignment="1" applyProtection="1"/>
    <xf numFmtId="49" fontId="3" fillId="10" borderId="29" xfId="0" applyNumberFormat="1" applyFont="1" applyFill="1" applyBorder="1" applyAlignment="1" applyProtection="1"/>
    <xf numFmtId="49" fontId="3" fillId="10" borderId="44" xfId="0" applyNumberFormat="1" applyFont="1" applyFill="1" applyBorder="1" applyAlignment="1" applyProtection="1"/>
    <xf numFmtId="49" fontId="3" fillId="10" borderId="45" xfId="0" applyNumberFormat="1" applyFont="1" applyFill="1" applyBorder="1" applyAlignment="1" applyProtection="1"/>
    <xf numFmtId="49" fontId="3" fillId="10" borderId="46" xfId="0" applyNumberFormat="1" applyFont="1" applyFill="1" applyBorder="1" applyAlignment="1" applyProtection="1"/>
    <xf numFmtId="49" fontId="3" fillId="10" borderId="30" xfId="0" applyNumberFormat="1" applyFont="1" applyFill="1" applyBorder="1" applyAlignment="1" applyProtection="1"/>
    <xf numFmtId="3" fontId="90" fillId="0" borderId="0" xfId="0" applyNumberFormat="1" applyFont="1" applyFill="1" applyBorder="1" applyProtection="1"/>
    <xf numFmtId="0" fontId="69" fillId="2" borderId="0" xfId="0" applyFont="1" applyFill="1" applyProtection="1"/>
    <xf numFmtId="0" fontId="92" fillId="7" borderId="0" xfId="0" applyFont="1" applyFill="1" applyProtection="1"/>
    <xf numFmtId="0" fontId="92" fillId="2" borderId="0" xfId="0" applyFont="1" applyFill="1" applyProtection="1"/>
    <xf numFmtId="0" fontId="69" fillId="2" borderId="0" xfId="0" applyNumberFormat="1" applyFont="1" applyFill="1" applyBorder="1" applyProtection="1"/>
    <xf numFmtId="168" fontId="90" fillId="2" borderId="0" xfId="0" applyNumberFormat="1" applyFont="1" applyFill="1" applyBorder="1" applyAlignment="1" applyProtection="1">
      <alignment horizontal="left"/>
    </xf>
    <xf numFmtId="3" fontId="90" fillId="2" borderId="0" xfId="0" applyNumberFormat="1" applyFont="1" applyFill="1" applyBorder="1" applyProtection="1"/>
    <xf numFmtId="0" fontId="90" fillId="2" borderId="0" xfId="0" applyFont="1" applyFill="1" applyProtection="1"/>
    <xf numFmtId="3" fontId="3" fillId="9" borderId="47" xfId="0" applyNumberFormat="1" applyFont="1" applyFill="1" applyBorder="1" applyAlignment="1" applyProtection="1">
      <alignment horizontal="right"/>
    </xf>
    <xf numFmtId="3" fontId="3" fillId="9" borderId="48" xfId="0" applyNumberFormat="1" applyFont="1" applyFill="1" applyBorder="1" applyAlignment="1" applyProtection="1">
      <alignment horizontal="right"/>
    </xf>
    <xf numFmtId="49" fontId="3" fillId="10" borderId="0" xfId="0" applyNumberFormat="1" applyFont="1" applyFill="1" applyBorder="1" applyAlignment="1" applyProtection="1"/>
    <xf numFmtId="49" fontId="3" fillId="10" borderId="49" xfId="0" applyNumberFormat="1" applyFont="1" applyFill="1" applyBorder="1" applyAlignment="1" applyProtection="1"/>
    <xf numFmtId="49" fontId="3" fillId="10" borderId="50" xfId="0" applyNumberFormat="1" applyFont="1" applyFill="1" applyBorder="1" applyAlignment="1" applyProtection="1"/>
    <xf numFmtId="3" fontId="55" fillId="2" borderId="0" xfId="0" applyNumberFormat="1" applyFont="1" applyFill="1" applyBorder="1" applyProtection="1"/>
    <xf numFmtId="3" fontId="8" fillId="0" borderId="0" xfId="0" applyNumberFormat="1" applyFont="1" applyFill="1" applyBorder="1" applyProtection="1"/>
    <xf numFmtId="3" fontId="40" fillId="2" borderId="0" xfId="0" applyNumberFormat="1" applyFont="1" applyFill="1" applyBorder="1" applyAlignment="1" applyProtection="1">
      <alignment horizontal="left"/>
    </xf>
    <xf numFmtId="0" fontId="0" fillId="7" borderId="0" xfId="0" applyFill="1" applyProtection="1"/>
    <xf numFmtId="0" fontId="0" fillId="0" borderId="0" xfId="0" applyFill="1" applyBorder="1" applyProtection="1"/>
    <xf numFmtId="0" fontId="0" fillId="0" borderId="0" xfId="0" applyProtection="1"/>
    <xf numFmtId="0" fontId="0" fillId="2" borderId="0" xfId="0" applyFill="1" applyBorder="1" applyProtection="1"/>
    <xf numFmtId="0" fontId="3" fillId="2" borderId="0" xfId="0" applyFont="1" applyFill="1" applyBorder="1" applyProtection="1"/>
    <xf numFmtId="0" fontId="0" fillId="0" borderId="0" xfId="0" applyBorder="1" applyAlignment="1" applyProtection="1"/>
    <xf numFmtId="3" fontId="3" fillId="0" borderId="5" xfId="0" applyNumberFormat="1" applyFont="1" applyFill="1" applyBorder="1" applyAlignment="1" applyProtection="1">
      <alignment horizontal="right"/>
      <protection locked="0"/>
    </xf>
    <xf numFmtId="3" fontId="3" fillId="0" borderId="51" xfId="0" applyNumberFormat="1" applyFont="1" applyFill="1" applyBorder="1" applyAlignment="1" applyProtection="1">
      <alignment horizontal="right"/>
      <protection locked="0"/>
    </xf>
    <xf numFmtId="3" fontId="3" fillId="2" borderId="52" xfId="0" applyNumberFormat="1" applyFont="1" applyFill="1" applyBorder="1" applyAlignment="1" applyProtection="1">
      <alignment horizontal="right"/>
      <protection locked="0"/>
    </xf>
    <xf numFmtId="3" fontId="3" fillId="2" borderId="19" xfId="0" applyNumberFormat="1" applyFont="1" applyFill="1" applyBorder="1" applyAlignment="1" applyProtection="1">
      <alignment horizontal="right"/>
      <protection locked="0"/>
    </xf>
    <xf numFmtId="165" fontId="38" fillId="0" borderId="0" xfId="0" applyNumberFormat="1" applyFont="1" applyFill="1" applyBorder="1" applyProtection="1"/>
    <xf numFmtId="0" fontId="38" fillId="2" borderId="0" xfId="0" applyFont="1" applyFill="1" applyProtection="1"/>
    <xf numFmtId="0" fontId="38" fillId="2" borderId="0" xfId="0" applyFont="1" applyFill="1" applyBorder="1" applyAlignment="1" applyProtection="1">
      <alignment horizontal="left"/>
    </xf>
    <xf numFmtId="0" fontId="4" fillId="2" borderId="0" xfId="0" applyFont="1" applyFill="1" applyAlignment="1" applyProtection="1"/>
    <xf numFmtId="0" fontId="56" fillId="2" borderId="0" xfId="0" applyFont="1" applyFill="1" applyProtection="1"/>
    <xf numFmtId="0" fontId="56" fillId="0" borderId="0" xfId="0" applyFont="1" applyFill="1" applyBorder="1" applyProtection="1"/>
    <xf numFmtId="49" fontId="0" fillId="2" borderId="0" xfId="0" applyNumberFormat="1" applyFill="1" applyProtection="1"/>
    <xf numFmtId="0" fontId="91" fillId="2" borderId="0" xfId="0" applyFont="1" applyFill="1" applyProtection="1"/>
    <xf numFmtId="0" fontId="25" fillId="2" borderId="0" xfId="0" applyFont="1" applyFill="1" applyProtection="1"/>
    <xf numFmtId="3" fontId="3" fillId="2" borderId="53" xfId="0" applyNumberFormat="1" applyFont="1" applyFill="1" applyBorder="1" applyAlignment="1" applyProtection="1">
      <alignment horizontal="right"/>
      <protection locked="0"/>
    </xf>
    <xf numFmtId="3" fontId="3" fillId="6" borderId="18" xfId="0" applyNumberFormat="1" applyFont="1" applyFill="1" applyBorder="1" applyAlignment="1" applyProtection="1">
      <alignment horizontal="right"/>
      <protection locked="0"/>
    </xf>
    <xf numFmtId="3" fontId="3" fillId="2" borderId="54" xfId="0" applyNumberFormat="1" applyFont="1" applyFill="1" applyBorder="1" applyAlignment="1" applyProtection="1">
      <alignment horizontal="right"/>
      <protection locked="0"/>
    </xf>
    <xf numFmtId="3" fontId="3" fillId="6" borderId="19" xfId="0" applyNumberFormat="1" applyFont="1" applyFill="1" applyBorder="1" applyAlignment="1" applyProtection="1">
      <alignment horizontal="right"/>
      <protection locked="0"/>
    </xf>
    <xf numFmtId="3" fontId="3" fillId="11" borderId="18" xfId="0" applyNumberFormat="1" applyFont="1" applyFill="1" applyBorder="1" applyAlignment="1" applyProtection="1">
      <alignment horizontal="right"/>
      <protection locked="0"/>
    </xf>
    <xf numFmtId="3" fontId="3" fillId="6" borderId="53" xfId="0" applyNumberFormat="1" applyFont="1" applyFill="1" applyBorder="1" applyAlignment="1" applyProtection="1">
      <alignment horizontal="right"/>
      <protection locked="0"/>
    </xf>
    <xf numFmtId="3" fontId="3" fillId="6" borderId="12" xfId="0" applyNumberFormat="1" applyFont="1" applyFill="1" applyBorder="1" applyAlignment="1" applyProtection="1">
      <alignment horizontal="right"/>
      <protection locked="0"/>
    </xf>
    <xf numFmtId="3" fontId="3" fillId="6" borderId="55" xfId="0" applyNumberFormat="1" applyFont="1" applyFill="1" applyBorder="1" applyAlignment="1" applyProtection="1">
      <alignment horizontal="right"/>
      <protection locked="0"/>
    </xf>
    <xf numFmtId="0" fontId="0" fillId="7" borderId="0" xfId="0" applyFill="1" applyBorder="1" applyProtection="1"/>
    <xf numFmtId="0" fontId="42" fillId="2" borderId="0" xfId="0" applyFont="1" applyFill="1" applyProtection="1"/>
    <xf numFmtId="0" fontId="0" fillId="4" borderId="0" xfId="0" applyFill="1" applyProtection="1"/>
    <xf numFmtId="0" fontId="25" fillId="2" borderId="0" xfId="0" applyFont="1" applyFill="1" applyBorder="1" applyProtection="1"/>
    <xf numFmtId="0" fontId="61" fillId="2" borderId="0" xfId="0" quotePrefix="1" applyFont="1" applyFill="1" applyAlignment="1" applyProtection="1">
      <alignment horizontal="left"/>
    </xf>
    <xf numFmtId="0" fontId="43" fillId="2" borderId="0" xfId="0" applyFont="1" applyFill="1" applyAlignment="1" applyProtection="1">
      <alignment horizontal="center"/>
    </xf>
    <xf numFmtId="0" fontId="43" fillId="4" borderId="0" xfId="0" applyFont="1" applyFill="1" applyBorder="1" applyAlignment="1" applyProtection="1">
      <alignment horizontal="center"/>
    </xf>
    <xf numFmtId="0" fontId="43" fillId="2" borderId="0" xfId="0" applyFont="1" applyFill="1" applyBorder="1" applyAlignment="1" applyProtection="1">
      <alignment horizontal="center"/>
    </xf>
    <xf numFmtId="0" fontId="44" fillId="2" borderId="0" xfId="0" applyFont="1" applyFill="1" applyBorder="1" applyAlignment="1" applyProtection="1">
      <alignment horizontal="center"/>
    </xf>
    <xf numFmtId="0" fontId="42" fillId="0" borderId="0" xfId="0" applyFont="1" applyFill="1" applyBorder="1" applyProtection="1"/>
    <xf numFmtId="0" fontId="56" fillId="0" borderId="0" xfId="0" applyFont="1" applyFill="1" applyProtection="1"/>
    <xf numFmtId="0" fontId="0" fillId="0" borderId="0" xfId="0" applyFill="1" applyProtection="1"/>
    <xf numFmtId="0" fontId="12" fillId="4" borderId="0" xfId="0" applyFont="1" applyFill="1" applyBorder="1" applyProtection="1"/>
    <xf numFmtId="49" fontId="12" fillId="0" borderId="57" xfId="0" applyNumberFormat="1" applyFont="1" applyFill="1" applyBorder="1" applyProtection="1"/>
    <xf numFmtId="0" fontId="25" fillId="0" borderId="0" xfId="0" applyFont="1" applyFill="1" applyBorder="1" applyProtection="1"/>
    <xf numFmtId="0" fontId="26" fillId="4" borderId="0" xfId="0" applyFont="1" applyFill="1" applyBorder="1" applyProtection="1"/>
    <xf numFmtId="3" fontId="14" fillId="4" borderId="0" xfId="0" applyNumberFormat="1" applyFont="1" applyFill="1" applyBorder="1" applyProtection="1"/>
    <xf numFmtId="0" fontId="56" fillId="2" borderId="0" xfId="0" applyFont="1" applyFill="1" applyBorder="1" applyProtection="1"/>
    <xf numFmtId="0" fontId="22" fillId="2" borderId="0" xfId="0" applyFont="1" applyFill="1" applyBorder="1" applyProtection="1"/>
    <xf numFmtId="0" fontId="12" fillId="2" borderId="0" xfId="0" applyFont="1" applyFill="1" applyBorder="1" applyProtection="1"/>
    <xf numFmtId="49" fontId="12" fillId="2" borderId="0" xfId="0" applyNumberFormat="1" applyFont="1" applyFill="1" applyBorder="1" applyAlignment="1" applyProtection="1">
      <alignment horizontal="center"/>
    </xf>
    <xf numFmtId="0" fontId="0" fillId="2" borderId="0" xfId="0" applyFill="1" applyBorder="1" applyAlignment="1" applyProtection="1"/>
    <xf numFmtId="3" fontId="19" fillId="0" borderId="0" xfId="0" applyNumberFormat="1" applyFont="1" applyFill="1" applyBorder="1" applyProtection="1"/>
    <xf numFmtId="0" fontId="25" fillId="0" borderId="0" xfId="0" applyFont="1" applyProtection="1"/>
    <xf numFmtId="0" fontId="25" fillId="0" borderId="0" xfId="0" applyFont="1" applyBorder="1" applyProtection="1"/>
    <xf numFmtId="0" fontId="88" fillId="0" borderId="0" xfId="0" applyFont="1" applyFill="1" applyBorder="1" applyProtection="1"/>
    <xf numFmtId="3" fontId="3" fillId="0" borderId="32" xfId="0" applyNumberFormat="1" applyFont="1" applyFill="1" applyBorder="1" applyAlignment="1" applyProtection="1">
      <alignment horizontal="right"/>
      <protection locked="0"/>
    </xf>
    <xf numFmtId="0" fontId="10" fillId="2" borderId="0" xfId="0" applyFont="1" applyFill="1" applyBorder="1" applyProtection="1"/>
    <xf numFmtId="0" fontId="10" fillId="2" borderId="1" xfId="0" applyFont="1" applyFill="1" applyBorder="1" applyProtection="1"/>
    <xf numFmtId="0" fontId="22" fillId="2" borderId="0" xfId="0" applyFont="1" applyFill="1" applyProtection="1"/>
    <xf numFmtId="0" fontId="10" fillId="0" borderId="0" xfId="0" applyFont="1" applyFill="1" applyBorder="1" applyProtection="1"/>
    <xf numFmtId="3" fontId="3" fillId="2" borderId="58" xfId="0" applyNumberFormat="1" applyFont="1" applyFill="1" applyBorder="1" applyAlignment="1" applyProtection="1">
      <alignment horizontal="right"/>
      <protection locked="0"/>
    </xf>
    <xf numFmtId="3" fontId="14" fillId="2" borderId="52" xfId="0" applyNumberFormat="1" applyFont="1" applyFill="1" applyBorder="1" applyAlignment="1" applyProtection="1">
      <alignment horizontal="right"/>
      <protection locked="0"/>
    </xf>
    <xf numFmtId="3" fontId="14" fillId="0" borderId="20" xfId="0" applyNumberFormat="1" applyFont="1" applyFill="1" applyBorder="1" applyAlignment="1" applyProtection="1">
      <alignment horizontal="right"/>
      <protection locked="0"/>
    </xf>
    <xf numFmtId="3" fontId="14" fillId="0" borderId="19" xfId="0" applyNumberFormat="1" applyFont="1" applyFill="1" applyBorder="1" applyAlignment="1" applyProtection="1">
      <alignment horizontal="right"/>
      <protection locked="0"/>
    </xf>
    <xf numFmtId="3" fontId="3" fillId="2" borderId="59" xfId="0" applyNumberFormat="1" applyFont="1" applyFill="1" applyBorder="1" applyAlignment="1" applyProtection="1">
      <alignment horizontal="right"/>
      <protection locked="0"/>
    </xf>
    <xf numFmtId="3" fontId="11" fillId="2" borderId="18" xfId="0" applyNumberFormat="1" applyFont="1" applyFill="1" applyBorder="1" applyAlignment="1" applyProtection="1">
      <alignment horizontal="right"/>
      <protection locked="0"/>
    </xf>
    <xf numFmtId="3" fontId="14" fillId="0" borderId="18" xfId="0" applyNumberFormat="1" applyFont="1" applyFill="1" applyBorder="1" applyAlignment="1" applyProtection="1">
      <alignment horizontal="right"/>
      <protection locked="0"/>
    </xf>
    <xf numFmtId="3" fontId="14" fillId="0" borderId="26" xfId="0" applyNumberFormat="1" applyFont="1" applyFill="1" applyBorder="1" applyAlignment="1" applyProtection="1">
      <alignment horizontal="right"/>
      <protection locked="0"/>
    </xf>
    <xf numFmtId="3" fontId="14" fillId="2" borderId="60" xfId="0" applyNumberFormat="1" applyFont="1" applyFill="1" applyBorder="1" applyAlignment="1" applyProtection="1">
      <alignment horizontal="right"/>
      <protection locked="0"/>
    </xf>
    <xf numFmtId="3" fontId="14" fillId="0" borderId="61" xfId="0" applyNumberFormat="1" applyFont="1" applyFill="1" applyBorder="1" applyAlignment="1" applyProtection="1">
      <alignment horizontal="right"/>
      <protection locked="0"/>
    </xf>
    <xf numFmtId="0" fontId="9" fillId="2" borderId="0" xfId="0" applyFont="1" applyFill="1" applyAlignment="1" applyProtection="1"/>
    <xf numFmtId="0" fontId="38" fillId="0" borderId="0" xfId="0" applyFont="1" applyProtection="1"/>
    <xf numFmtId="0" fontId="38" fillId="0" borderId="0" xfId="0" applyFont="1" applyFill="1" applyProtection="1"/>
    <xf numFmtId="0" fontId="12" fillId="0" borderId="0" xfId="0" applyFont="1" applyFill="1" applyBorder="1" applyAlignment="1" applyProtection="1">
      <alignment horizontal="center"/>
    </xf>
    <xf numFmtId="3" fontId="14" fillId="0" borderId="62" xfId="0" applyNumberFormat="1" applyFont="1" applyFill="1" applyBorder="1" applyAlignment="1" applyProtection="1">
      <alignment horizontal="right"/>
      <protection locked="0"/>
    </xf>
    <xf numFmtId="0" fontId="66" fillId="0" borderId="0" xfId="0" applyFont="1" applyFill="1" applyBorder="1" applyProtection="1"/>
    <xf numFmtId="0" fontId="66" fillId="0" borderId="0" xfId="0" applyFont="1" applyFill="1" applyProtection="1"/>
    <xf numFmtId="0" fontId="66" fillId="2" borderId="0" xfId="0" applyFont="1" applyFill="1" applyProtection="1"/>
    <xf numFmtId="0" fontId="71" fillId="2" borderId="0" xfId="0" applyFont="1" applyFill="1" applyAlignment="1" applyProtection="1"/>
    <xf numFmtId="0" fontId="71" fillId="0" borderId="0" xfId="0" applyFont="1" applyFill="1" applyBorder="1" applyAlignment="1" applyProtection="1"/>
    <xf numFmtId="0" fontId="0" fillId="2" borderId="0" xfId="0" applyFont="1" applyFill="1" applyProtection="1"/>
    <xf numFmtId="0" fontId="0" fillId="0" borderId="0" xfId="0" applyFont="1" applyFill="1" applyBorder="1" applyProtection="1"/>
    <xf numFmtId="0" fontId="0" fillId="2" borderId="0" xfId="0" applyFill="1" applyBorder="1" applyAlignment="1" applyProtection="1">
      <alignment horizontal="left"/>
    </xf>
    <xf numFmtId="49" fontId="4" fillId="0" borderId="0" xfId="0" applyNumberFormat="1" applyFont="1" applyFill="1" applyBorder="1" applyProtection="1"/>
    <xf numFmtId="3" fontId="11" fillId="2" borderId="8" xfId="0" applyNumberFormat="1" applyFont="1" applyFill="1" applyBorder="1" applyAlignment="1" applyProtection="1">
      <alignment horizontal="right"/>
      <protection locked="0"/>
    </xf>
    <xf numFmtId="3" fontId="11" fillId="2" borderId="5" xfId="0" applyNumberFormat="1" applyFont="1" applyFill="1" applyBorder="1" applyAlignment="1" applyProtection="1">
      <alignment horizontal="right"/>
      <protection locked="0"/>
    </xf>
    <xf numFmtId="3" fontId="11" fillId="2" borderId="5" xfId="0" quotePrefix="1" applyNumberFormat="1" applyFont="1" applyFill="1" applyBorder="1" applyAlignment="1" applyProtection="1">
      <alignment horizontal="right"/>
      <protection locked="0"/>
    </xf>
    <xf numFmtId="3" fontId="11" fillId="0" borderId="8" xfId="0" applyNumberFormat="1" applyFont="1" applyFill="1" applyBorder="1" applyAlignment="1" applyProtection="1">
      <alignment horizontal="right"/>
      <protection locked="0"/>
    </xf>
    <xf numFmtId="3" fontId="11" fillId="0" borderId="5" xfId="0" applyNumberFormat="1" applyFont="1" applyFill="1" applyBorder="1" applyAlignment="1" applyProtection="1">
      <alignment horizontal="right"/>
      <protection locked="0"/>
    </xf>
    <xf numFmtId="3" fontId="14" fillId="2" borderId="41" xfId="0" applyNumberFormat="1" applyFont="1" applyFill="1" applyBorder="1" applyAlignment="1" applyProtection="1">
      <alignment horizontal="right"/>
      <protection locked="0"/>
    </xf>
    <xf numFmtId="3" fontId="14" fillId="6" borderId="41" xfId="0" applyNumberFormat="1" applyFont="1" applyFill="1" applyBorder="1" applyAlignment="1" applyProtection="1">
      <alignment horizontal="right"/>
      <protection locked="0"/>
    </xf>
    <xf numFmtId="3" fontId="14" fillId="2" borderId="13" xfId="0" applyNumberFormat="1" applyFont="1" applyFill="1" applyBorder="1" applyAlignment="1" applyProtection="1">
      <alignment horizontal="right"/>
      <protection locked="0"/>
    </xf>
    <xf numFmtId="0" fontId="8" fillId="2" borderId="38" xfId="0" applyFont="1" applyFill="1" applyBorder="1" applyProtection="1"/>
    <xf numFmtId="0" fontId="89" fillId="0" borderId="38" xfId="13" applyFont="1" applyFill="1" applyBorder="1" applyProtection="1"/>
    <xf numFmtId="0" fontId="89" fillId="0" borderId="0" xfId="13" applyFont="1" applyFill="1" applyBorder="1" applyProtection="1"/>
    <xf numFmtId="49" fontId="8" fillId="2" borderId="0" xfId="0" applyNumberFormat="1" applyFont="1" applyFill="1" applyBorder="1" applyAlignment="1" applyProtection="1">
      <alignment vertical="top" wrapText="1"/>
    </xf>
    <xf numFmtId="3" fontId="3" fillId="9" borderId="19" xfId="0" applyNumberFormat="1" applyFont="1" applyFill="1" applyBorder="1" applyAlignment="1" applyProtection="1">
      <alignment horizontal="right"/>
    </xf>
    <xf numFmtId="3" fontId="10" fillId="2" borderId="0" xfId="0" applyNumberFormat="1" applyFont="1" applyFill="1" applyBorder="1" applyProtection="1"/>
    <xf numFmtId="3" fontId="88" fillId="2" borderId="0" xfId="0" applyNumberFormat="1" applyFont="1" applyFill="1" applyBorder="1" applyProtection="1"/>
    <xf numFmtId="49" fontId="25" fillId="7" borderId="0" xfId="0" applyNumberFormat="1" applyFont="1" applyFill="1" applyProtection="1"/>
    <xf numFmtId="49" fontId="25" fillId="2" borderId="0" xfId="0" applyNumberFormat="1" applyFont="1" applyFill="1" applyAlignment="1" applyProtection="1">
      <alignment horizontal="left"/>
    </xf>
    <xf numFmtId="0" fontId="37" fillId="2" borderId="0" xfId="0" applyNumberFormat="1" applyFont="1" applyFill="1" applyAlignment="1" applyProtection="1">
      <alignment horizontal="center"/>
    </xf>
    <xf numFmtId="49" fontId="25" fillId="2" borderId="0" xfId="0" applyNumberFormat="1" applyFont="1" applyFill="1" applyAlignment="1" applyProtection="1">
      <alignment horizontal="center"/>
    </xf>
    <xf numFmtId="0" fontId="37" fillId="2" borderId="38" xfId="0" applyNumberFormat="1" applyFont="1" applyFill="1" applyBorder="1" applyAlignment="1" applyProtection="1">
      <alignment horizontal="center"/>
    </xf>
    <xf numFmtId="49" fontId="4" fillId="10" borderId="46" xfId="0" applyNumberFormat="1" applyFont="1" applyFill="1" applyBorder="1" applyAlignment="1" applyProtection="1">
      <alignment vertical="top" wrapText="1"/>
    </xf>
    <xf numFmtId="0" fontId="45" fillId="0" borderId="0" xfId="0" applyFont="1" applyFill="1" applyBorder="1" applyAlignment="1" applyProtection="1">
      <alignment horizontal="left"/>
    </xf>
    <xf numFmtId="0" fontId="3" fillId="0" borderId="0" xfId="0" applyFont="1" applyFill="1" applyBorder="1" applyProtection="1"/>
    <xf numFmtId="0" fontId="4" fillId="0" borderId="0" xfId="0" applyFont="1" applyFill="1" applyBorder="1" applyAlignment="1" applyProtection="1">
      <alignment vertical="top"/>
    </xf>
    <xf numFmtId="49" fontId="25" fillId="0" borderId="0" xfId="0" applyNumberFormat="1" applyFont="1" applyAlignment="1" applyProtection="1">
      <alignment horizontal="left"/>
    </xf>
    <xf numFmtId="49" fontId="25" fillId="0" borderId="0" xfId="0" applyNumberFormat="1" applyFont="1" applyProtection="1"/>
    <xf numFmtId="0" fontId="87" fillId="0" borderId="0" xfId="0" applyFont="1" applyProtection="1"/>
    <xf numFmtId="3" fontId="11" fillId="0" borderId="19" xfId="0" applyNumberFormat="1" applyFont="1" applyFill="1" applyBorder="1" applyAlignment="1" applyProtection="1">
      <alignment horizontal="right"/>
      <protection locked="0"/>
    </xf>
    <xf numFmtId="3" fontId="11" fillId="0" borderId="4" xfId="0" applyNumberFormat="1" applyFont="1" applyFill="1" applyBorder="1" applyAlignment="1" applyProtection="1">
      <alignment horizontal="right"/>
      <protection locked="0"/>
    </xf>
    <xf numFmtId="0" fontId="25" fillId="7" borderId="0" xfId="6" applyFill="1" applyProtection="1"/>
    <xf numFmtId="1" fontId="25" fillId="7" borderId="0" xfId="6" applyNumberFormat="1" applyFill="1" applyProtection="1"/>
    <xf numFmtId="0" fontId="25" fillId="0" borderId="0" xfId="6" applyFill="1" applyBorder="1" applyProtection="1"/>
    <xf numFmtId="0" fontId="25" fillId="0" borderId="0" xfId="6" applyFill="1" applyProtection="1"/>
    <xf numFmtId="0" fontId="25" fillId="2" borderId="0" xfId="6" applyFill="1" applyProtection="1"/>
    <xf numFmtId="0" fontId="44" fillId="2" borderId="0" xfId="6" applyFont="1" applyFill="1" applyBorder="1" applyAlignment="1" applyProtection="1">
      <alignment horizontal="center"/>
    </xf>
    <xf numFmtId="1" fontId="59" fillId="2" borderId="0" xfId="6" applyNumberFormat="1" applyFont="1" applyFill="1" applyAlignment="1" applyProtection="1">
      <alignment horizontal="center"/>
    </xf>
    <xf numFmtId="0" fontId="25" fillId="0" borderId="0" xfId="6" applyProtection="1"/>
    <xf numFmtId="1" fontId="58" fillId="2" borderId="0" xfId="6" applyNumberFormat="1" applyFont="1" applyFill="1" applyAlignment="1" applyProtection="1">
      <alignment horizontal="left"/>
    </xf>
    <xf numFmtId="0" fontId="25" fillId="0" borderId="0" xfId="6" applyBorder="1" applyProtection="1"/>
    <xf numFmtId="1" fontId="58" fillId="2" borderId="0" xfId="13" applyNumberFormat="1" applyFont="1" applyFill="1" applyBorder="1" applyAlignment="1" applyProtection="1">
      <alignment horizontal="left"/>
    </xf>
    <xf numFmtId="0" fontId="25" fillId="2" borderId="0" xfId="6" applyFont="1" applyFill="1" applyProtection="1"/>
    <xf numFmtId="0" fontId="56" fillId="2" borderId="0" xfId="6" applyFont="1" applyFill="1" applyProtection="1"/>
    <xf numFmtId="1" fontId="25" fillId="0" borderId="0" xfId="6" applyNumberFormat="1" applyProtection="1"/>
    <xf numFmtId="0" fontId="25" fillId="0" borderId="0" xfId="6" applyFont="1" applyProtection="1"/>
    <xf numFmtId="3" fontId="3" fillId="2" borderId="2" xfId="6" applyNumberFormat="1" applyFont="1" applyFill="1" applyBorder="1" applyAlignment="1" applyProtection="1">
      <alignment horizontal="right"/>
      <protection locked="0"/>
    </xf>
    <xf numFmtId="0" fontId="4" fillId="0" borderId="0" xfId="6" applyFont="1" applyProtection="1"/>
    <xf numFmtId="0" fontId="4" fillId="0" borderId="0" xfId="6" applyFont="1" applyBorder="1" applyProtection="1"/>
    <xf numFmtId="0" fontId="25" fillId="0" borderId="0" xfId="0" applyFont="1" applyFill="1" applyProtection="1"/>
    <xf numFmtId="49" fontId="25" fillId="0" borderId="0" xfId="0" applyNumberFormat="1" applyFont="1" applyFill="1" applyBorder="1" applyAlignment="1" applyProtection="1">
      <alignment horizontal="left"/>
    </xf>
    <xf numFmtId="0" fontId="0" fillId="7" borderId="0" xfId="0" applyFill="1" applyAlignment="1" applyProtection="1"/>
    <xf numFmtId="0" fontId="0" fillId="0" borderId="0" xfId="0" applyFill="1" applyAlignment="1" applyProtection="1"/>
    <xf numFmtId="0" fontId="0" fillId="0" borderId="0" xfId="0" applyFill="1" applyBorder="1" applyAlignment="1" applyProtection="1"/>
    <xf numFmtId="0" fontId="0" fillId="0" borderId="0" xfId="0" applyAlignment="1" applyProtection="1"/>
    <xf numFmtId="3" fontId="3" fillId="2" borderId="60" xfId="0" applyNumberFormat="1" applyFont="1" applyFill="1" applyBorder="1" applyAlignment="1" applyProtection="1">
      <alignment horizontal="right"/>
      <protection locked="0"/>
    </xf>
    <xf numFmtId="3" fontId="3" fillId="2" borderId="61" xfId="0" applyNumberFormat="1" applyFont="1" applyFill="1" applyBorder="1" applyAlignment="1" applyProtection="1">
      <alignment horizontal="right"/>
      <protection locked="0"/>
    </xf>
    <xf numFmtId="3" fontId="3" fillId="2" borderId="63" xfId="0" applyNumberFormat="1" applyFont="1" applyFill="1" applyBorder="1" applyAlignment="1" applyProtection="1">
      <alignment horizontal="right"/>
      <protection locked="0"/>
    </xf>
    <xf numFmtId="3" fontId="3" fillId="2" borderId="64" xfId="0" applyNumberFormat="1" applyFont="1" applyFill="1" applyBorder="1" applyAlignment="1" applyProtection="1">
      <alignment horizontal="right"/>
      <protection locked="0"/>
    </xf>
    <xf numFmtId="3" fontId="14" fillId="2" borderId="61" xfId="0" applyNumberFormat="1" applyFont="1" applyFill="1" applyBorder="1" applyAlignment="1" applyProtection="1">
      <alignment horizontal="right"/>
      <protection locked="0"/>
    </xf>
    <xf numFmtId="3" fontId="3" fillId="6" borderId="62" xfId="0" applyNumberFormat="1" applyFont="1" applyFill="1" applyBorder="1" applyAlignment="1" applyProtection="1">
      <alignment horizontal="right"/>
      <protection locked="0"/>
    </xf>
    <xf numFmtId="169" fontId="38" fillId="0" borderId="0" xfId="6" applyNumberFormat="1" applyFont="1" applyFill="1" applyBorder="1" applyAlignment="1" applyProtection="1">
      <alignment vertical="top" wrapText="1"/>
    </xf>
    <xf numFmtId="3" fontId="3" fillId="9" borderId="65" xfId="0" applyNumberFormat="1" applyFont="1" applyFill="1" applyBorder="1" applyAlignment="1" applyProtection="1"/>
    <xf numFmtId="3" fontId="3" fillId="9" borderId="13" xfId="0" applyNumberFormat="1" applyFont="1" applyFill="1" applyBorder="1" applyAlignment="1" applyProtection="1"/>
    <xf numFmtId="0" fontId="40" fillId="2" borderId="0" xfId="0" applyFont="1" applyFill="1" applyProtection="1"/>
    <xf numFmtId="20" fontId="97" fillId="2" borderId="0" xfId="10" quotePrefix="1" applyNumberFormat="1" applyFont="1" applyFill="1" applyProtection="1"/>
    <xf numFmtId="20" fontId="97" fillId="2" borderId="0" xfId="10" quotePrefix="1" applyNumberFormat="1" applyFont="1" applyFill="1" applyAlignment="1" applyProtection="1"/>
    <xf numFmtId="0" fontId="97" fillId="2" borderId="0" xfId="10" applyFont="1" applyFill="1" applyAlignment="1" applyProtection="1">
      <alignment horizontal="center"/>
    </xf>
    <xf numFmtId="0" fontId="97" fillId="2" borderId="0" xfId="10" applyFont="1" applyFill="1" applyAlignment="1" applyProtection="1"/>
    <xf numFmtId="0" fontId="97" fillId="2" borderId="0" xfId="10" applyFont="1" applyFill="1" applyProtection="1"/>
    <xf numFmtId="166" fontId="4" fillId="2" borderId="0" xfId="10" applyNumberFormat="1" applyFont="1" applyFill="1" applyProtection="1"/>
    <xf numFmtId="0" fontId="4" fillId="2" borderId="0" xfId="10" applyFont="1" applyFill="1" applyProtection="1"/>
    <xf numFmtId="0" fontId="98" fillId="2" borderId="0" xfId="11" applyFont="1" applyFill="1"/>
    <xf numFmtId="3" fontId="99" fillId="2" borderId="0" xfId="10" applyNumberFormat="1" applyFont="1" applyFill="1" applyAlignment="1" applyProtection="1"/>
    <xf numFmtId="3" fontId="99" fillId="2" borderId="0" xfId="10" applyNumberFormat="1" applyFont="1" applyFill="1" applyAlignment="1" applyProtection="1">
      <alignment horizontal="center"/>
    </xf>
    <xf numFmtId="3" fontId="50" fillId="2" borderId="0" xfId="10" applyNumberFormat="1" applyFont="1" applyFill="1" applyAlignment="1" applyProtection="1">
      <alignment horizontal="center"/>
    </xf>
    <xf numFmtId="166" fontId="98" fillId="2" borderId="0" xfId="11" applyNumberFormat="1" applyFont="1" applyFill="1"/>
    <xf numFmtId="0" fontId="4" fillId="2" borderId="0" xfId="10" applyFont="1" applyFill="1" applyAlignment="1" applyProtection="1"/>
    <xf numFmtId="0" fontId="4" fillId="2" borderId="0" xfId="10" applyFont="1" applyFill="1" applyAlignment="1" applyProtection="1">
      <alignment horizontal="center"/>
    </xf>
    <xf numFmtId="3" fontId="100" fillId="2" borderId="0" xfId="10" applyNumberFormat="1" applyFont="1" applyFill="1" applyAlignment="1" applyProtection="1"/>
    <xf numFmtId="0" fontId="98" fillId="2" borderId="0" xfId="11" applyFont="1" applyFill="1" applyAlignment="1" applyProtection="1">
      <alignment horizontal="center"/>
    </xf>
    <xf numFmtId="3" fontId="99" fillId="2" borderId="0" xfId="10" applyNumberFormat="1" applyFont="1" applyFill="1" applyBorder="1" applyAlignment="1" applyProtection="1"/>
    <xf numFmtId="0" fontId="4" fillId="2" borderId="0" xfId="10" quotePrefix="1" applyFont="1" applyFill="1" applyAlignment="1" applyProtection="1">
      <alignment horizontal="center"/>
    </xf>
    <xf numFmtId="3" fontId="4" fillId="2" borderId="0" xfId="10" quotePrefix="1" applyNumberFormat="1" applyFont="1" applyFill="1" applyAlignment="1" applyProtection="1"/>
    <xf numFmtId="3" fontId="4" fillId="2" borderId="0" xfId="10" applyNumberFormat="1" applyFont="1" applyFill="1" applyAlignment="1" applyProtection="1">
      <alignment horizontal="left"/>
    </xf>
    <xf numFmtId="3" fontId="99" fillId="2" borderId="66" xfId="10" applyNumberFormat="1" applyFont="1" applyFill="1" applyBorder="1" applyAlignment="1" applyProtection="1"/>
    <xf numFmtId="0" fontId="4" fillId="2" borderId="0" xfId="10" applyFont="1" applyFill="1" applyAlignment="1" applyProtection="1">
      <alignment horizontal="left"/>
    </xf>
    <xf numFmtId="3" fontId="100" fillId="2" borderId="0" xfId="0" applyNumberFormat="1" applyFont="1" applyFill="1"/>
    <xf numFmtId="3" fontId="39" fillId="8" borderId="67" xfId="6" applyNumberFormat="1" applyFont="1" applyFill="1" applyBorder="1" applyProtection="1"/>
    <xf numFmtId="3" fontId="39" fillId="8" borderId="35" xfId="6" applyNumberFormat="1" applyFont="1" applyFill="1" applyBorder="1" applyProtection="1"/>
    <xf numFmtId="3" fontId="39" fillId="8" borderId="25" xfId="6" applyNumberFormat="1" applyFont="1" applyFill="1" applyBorder="1" applyProtection="1"/>
    <xf numFmtId="20" fontId="97" fillId="2" borderId="66" xfId="10" quotePrefix="1" applyNumberFormat="1" applyFont="1" applyFill="1" applyBorder="1" applyProtection="1"/>
    <xf numFmtId="20" fontId="97" fillId="2" borderId="66" xfId="10" quotePrefix="1" applyNumberFormat="1" applyFont="1" applyFill="1" applyBorder="1" applyAlignment="1" applyProtection="1"/>
    <xf numFmtId="0" fontId="97" fillId="2" borderId="66" xfId="10" applyFont="1" applyFill="1" applyBorder="1" applyAlignment="1" applyProtection="1">
      <alignment horizontal="center"/>
    </xf>
    <xf numFmtId="0" fontId="97" fillId="2" borderId="66" xfId="10" applyFont="1" applyFill="1" applyBorder="1" applyAlignment="1" applyProtection="1"/>
    <xf numFmtId="0" fontId="97" fillId="2" borderId="66" xfId="10" applyFont="1" applyFill="1" applyBorder="1" applyProtection="1"/>
    <xf numFmtId="166" fontId="4" fillId="2" borderId="66" xfId="10" applyNumberFormat="1" applyFont="1" applyFill="1" applyBorder="1" applyProtection="1"/>
    <xf numFmtId="164" fontId="10"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xf>
    <xf numFmtId="3" fontId="14" fillId="0" borderId="68" xfId="0" applyNumberFormat="1" applyFont="1" applyFill="1" applyBorder="1" applyAlignment="1" applyProtection="1">
      <alignment horizontal="right"/>
      <protection locked="0"/>
    </xf>
    <xf numFmtId="3" fontId="14" fillId="9" borderId="26" xfId="0" applyNumberFormat="1" applyFont="1" applyFill="1" applyBorder="1" applyProtection="1"/>
    <xf numFmtId="0" fontId="11" fillId="0" borderId="0" xfId="6" applyFont="1" applyFill="1" applyBorder="1" applyProtection="1"/>
    <xf numFmtId="3" fontId="39" fillId="0" borderId="0" xfId="6" applyNumberFormat="1" applyFont="1" applyFill="1" applyBorder="1" applyProtection="1"/>
    <xf numFmtId="0" fontId="25" fillId="0" borderId="0" xfId="6" applyFont="1" applyFill="1" applyProtection="1"/>
    <xf numFmtId="0" fontId="38" fillId="0" borderId="0" xfId="0" applyFont="1" applyFill="1" applyBorder="1" applyProtection="1"/>
    <xf numFmtId="0" fontId="98" fillId="2" borderId="0" xfId="11" applyFont="1" applyFill="1" applyAlignment="1">
      <alignment horizontal="center"/>
    </xf>
    <xf numFmtId="20" fontId="97" fillId="0" borderId="66" xfId="10" quotePrefix="1" applyNumberFormat="1" applyFont="1" applyFill="1" applyBorder="1" applyProtection="1"/>
    <xf numFmtId="0" fontId="0" fillId="0" borderId="1" xfId="0" applyBorder="1"/>
    <xf numFmtId="0" fontId="0" fillId="2" borderId="1" xfId="0" applyFill="1" applyBorder="1"/>
    <xf numFmtId="3" fontId="14" fillId="2" borderId="19" xfId="0" applyNumberFormat="1" applyFont="1" applyFill="1" applyBorder="1" applyAlignment="1" applyProtection="1">
      <protection locked="0"/>
    </xf>
    <xf numFmtId="169" fontId="38" fillId="0" borderId="0" xfId="0" applyNumberFormat="1" applyFont="1" applyFill="1" applyProtection="1"/>
    <xf numFmtId="169" fontId="38" fillId="2" borderId="0" xfId="0" applyNumberFormat="1" applyFont="1" applyFill="1" applyProtection="1"/>
    <xf numFmtId="0" fontId="38" fillId="2" borderId="0" xfId="0" applyFont="1" applyFill="1" applyBorder="1" applyAlignment="1" applyProtection="1">
      <alignment horizontal="left" vertical="top" wrapText="1"/>
    </xf>
    <xf numFmtId="0" fontId="22" fillId="0" borderId="0" xfId="0" applyFont="1"/>
    <xf numFmtId="3" fontId="3" fillId="2" borderId="8" xfId="0" applyNumberFormat="1" applyFont="1" applyFill="1" applyBorder="1" applyAlignment="1" applyProtection="1">
      <alignment horizontal="right"/>
      <protection locked="0"/>
    </xf>
    <xf numFmtId="3" fontId="3" fillId="2" borderId="69" xfId="6" applyNumberFormat="1" applyFont="1" applyFill="1" applyBorder="1" applyAlignment="1" applyProtection="1">
      <alignment horizontal="right"/>
      <protection locked="0"/>
    </xf>
    <xf numFmtId="3" fontId="3" fillId="2" borderId="6" xfId="6" applyNumberFormat="1" applyFont="1" applyFill="1" applyBorder="1" applyAlignment="1" applyProtection="1">
      <alignment horizontal="right"/>
      <protection locked="0"/>
    </xf>
    <xf numFmtId="3" fontId="3" fillId="2" borderId="70" xfId="6" applyNumberFormat="1" applyFont="1" applyFill="1" applyBorder="1" applyAlignment="1" applyProtection="1">
      <alignment horizontal="right"/>
      <protection locked="0"/>
    </xf>
    <xf numFmtId="3" fontId="3" fillId="2" borderId="25" xfId="6" applyNumberFormat="1" applyFont="1" applyFill="1" applyBorder="1" applyAlignment="1" applyProtection="1">
      <alignment horizontal="right"/>
      <protection locked="0"/>
    </xf>
    <xf numFmtId="3" fontId="3" fillId="2" borderId="71" xfId="6" applyNumberFormat="1" applyFont="1" applyFill="1" applyBorder="1" applyAlignment="1" applyProtection="1">
      <alignment horizontal="right"/>
      <protection locked="0"/>
    </xf>
    <xf numFmtId="0" fontId="40" fillId="0" borderId="0" xfId="6" applyFont="1" applyProtection="1"/>
    <xf numFmtId="0" fontId="55" fillId="2" borderId="0" xfId="6" applyFont="1" applyFill="1" applyProtection="1"/>
    <xf numFmtId="0" fontId="38" fillId="0" borderId="0" xfId="6" quotePrefix="1" applyNumberFormat="1" applyFont="1" applyProtection="1"/>
    <xf numFmtId="3" fontId="0" fillId="0" borderId="0" xfId="0" applyNumberFormat="1"/>
    <xf numFmtId="3" fontId="104" fillId="2" borderId="0" xfId="0" applyNumberFormat="1" applyFont="1" applyFill="1" applyBorder="1" applyAlignment="1" applyProtection="1">
      <alignment horizontal="left"/>
    </xf>
    <xf numFmtId="3" fontId="77" fillId="8" borderId="25" xfId="6" applyNumberFormat="1" applyFont="1" applyFill="1" applyBorder="1" applyAlignment="1" applyProtection="1">
      <alignment horizontal="right"/>
    </xf>
    <xf numFmtId="3" fontId="3" fillId="8" borderId="5" xfId="6" applyNumberFormat="1" applyFont="1" applyFill="1" applyBorder="1" applyAlignment="1" applyProtection="1"/>
    <xf numFmtId="3" fontId="77" fillId="12" borderId="25" xfId="6" applyNumberFormat="1" applyFont="1" applyFill="1" applyBorder="1" applyAlignment="1" applyProtection="1">
      <alignment horizontal="right"/>
    </xf>
    <xf numFmtId="3" fontId="77" fillId="8" borderId="25" xfId="6" quotePrefix="1" applyNumberFormat="1" applyFont="1" applyFill="1" applyBorder="1" applyAlignment="1" applyProtection="1">
      <alignment horizontal="right"/>
    </xf>
    <xf numFmtId="3" fontId="3" fillId="8" borderId="5" xfId="0" applyNumberFormat="1" applyFont="1" applyFill="1" applyBorder="1" applyAlignment="1" applyProtection="1">
      <alignment horizontal="right"/>
    </xf>
    <xf numFmtId="3" fontId="77" fillId="8" borderId="25" xfId="0" applyNumberFormat="1" applyFont="1" applyFill="1" applyBorder="1" applyAlignment="1" applyProtection="1">
      <alignment horizontal="right"/>
    </xf>
    <xf numFmtId="3" fontId="100" fillId="2" borderId="0" xfId="0" applyNumberFormat="1" applyFont="1" applyFill="1" applyBorder="1"/>
    <xf numFmtId="3" fontId="100" fillId="2" borderId="0" xfId="10" applyNumberFormat="1" applyFont="1" applyFill="1" applyBorder="1" applyAlignment="1" applyProtection="1"/>
    <xf numFmtId="0" fontId="0" fillId="2" borderId="0" xfId="0" applyFill="1" applyBorder="1" applyAlignment="1">
      <alignment vertical="top"/>
    </xf>
    <xf numFmtId="0" fontId="0" fillId="2" borderId="0" xfId="0" applyFill="1" applyBorder="1"/>
    <xf numFmtId="0" fontId="39" fillId="2" borderId="0" xfId="0" applyFont="1" applyFill="1" applyAlignment="1" applyProtection="1">
      <alignment horizontal="right"/>
    </xf>
    <xf numFmtId="3" fontId="3" fillId="2" borderId="3" xfId="6" applyNumberFormat="1" applyFont="1" applyFill="1" applyBorder="1" applyAlignment="1" applyProtection="1">
      <alignment horizontal="right"/>
      <protection locked="0"/>
    </xf>
    <xf numFmtId="3" fontId="38" fillId="0" borderId="73" xfId="6" quotePrefix="1" applyNumberFormat="1" applyFont="1" applyFill="1" applyBorder="1" applyAlignment="1" applyProtection="1">
      <alignment horizontal="left"/>
    </xf>
    <xf numFmtId="0" fontId="40" fillId="0" borderId="75" xfId="6" applyFont="1" applyBorder="1" applyProtection="1"/>
    <xf numFmtId="0" fontId="102" fillId="0" borderId="75" xfId="6" applyFont="1" applyBorder="1" applyProtection="1"/>
    <xf numFmtId="3" fontId="38" fillId="0" borderId="77" xfId="6" quotePrefix="1" applyNumberFormat="1" applyFont="1" applyFill="1" applyBorder="1" applyAlignment="1" applyProtection="1">
      <alignment horizontal="left"/>
    </xf>
    <xf numFmtId="0" fontId="25" fillId="0" borderId="78" xfId="6" applyBorder="1" applyProtection="1"/>
    <xf numFmtId="0" fontId="25" fillId="0" borderId="51" xfId="6" applyBorder="1" applyProtection="1"/>
    <xf numFmtId="0" fontId="25" fillId="0" borderId="79" xfId="6" applyBorder="1" applyProtection="1"/>
    <xf numFmtId="0" fontId="38" fillId="0" borderId="0" xfId="6" applyFont="1" applyProtection="1"/>
    <xf numFmtId="3" fontId="38" fillId="0" borderId="0" xfId="6" quotePrefix="1" applyNumberFormat="1" applyFont="1" applyFill="1" applyBorder="1" applyAlignment="1" applyProtection="1">
      <alignment horizontal="left"/>
    </xf>
    <xf numFmtId="3" fontId="3" fillId="9" borderId="80" xfId="6" applyNumberFormat="1" applyFont="1" applyFill="1" applyBorder="1" applyProtection="1"/>
    <xf numFmtId="3" fontId="3" fillId="9" borderId="81" xfId="6" applyNumberFormat="1" applyFont="1" applyFill="1" applyBorder="1" applyProtection="1"/>
    <xf numFmtId="3" fontId="3" fillId="3" borderId="13" xfId="0" applyNumberFormat="1" applyFont="1" applyFill="1" applyBorder="1" applyProtection="1"/>
    <xf numFmtId="3" fontId="3" fillId="3" borderId="26" xfId="0" applyNumberFormat="1" applyFont="1" applyFill="1" applyBorder="1" applyProtection="1"/>
    <xf numFmtId="3" fontId="3" fillId="3" borderId="53" xfId="0" applyNumberFormat="1" applyFont="1" applyFill="1" applyBorder="1" applyProtection="1"/>
    <xf numFmtId="3" fontId="3" fillId="3" borderId="55" xfId="0" applyNumberFormat="1" applyFont="1" applyFill="1" applyBorder="1" applyProtection="1"/>
    <xf numFmtId="3" fontId="3" fillId="3" borderId="68" xfId="0" applyNumberFormat="1" applyFont="1" applyFill="1" applyBorder="1" applyProtection="1"/>
    <xf numFmtId="3" fontId="3" fillId="3" borderId="25" xfId="0" applyNumberFormat="1" applyFont="1" applyFill="1" applyBorder="1" applyProtection="1"/>
    <xf numFmtId="3" fontId="3" fillId="3" borderId="19" xfId="0" applyNumberFormat="1" applyFont="1" applyFill="1" applyBorder="1" applyProtection="1"/>
    <xf numFmtId="3" fontId="3" fillId="3" borderId="62" xfId="0" applyNumberFormat="1" applyFont="1" applyFill="1" applyBorder="1" applyProtection="1"/>
    <xf numFmtId="3" fontId="3" fillId="3" borderId="83" xfId="0" applyNumberFormat="1" applyFont="1" applyFill="1" applyBorder="1" applyProtection="1"/>
    <xf numFmtId="3" fontId="3" fillId="3" borderId="5" xfId="0" applyNumberFormat="1" applyFont="1" applyFill="1" applyBorder="1" applyProtection="1"/>
    <xf numFmtId="3" fontId="3" fillId="3" borderId="84" xfId="0" applyNumberFormat="1" applyFont="1" applyFill="1" applyBorder="1" applyProtection="1"/>
    <xf numFmtId="3" fontId="3" fillId="3" borderId="85" xfId="0" applyNumberFormat="1" applyFont="1" applyFill="1" applyBorder="1" applyProtection="1"/>
    <xf numFmtId="3" fontId="3" fillId="3" borderId="79" xfId="0" applyNumberFormat="1" applyFont="1" applyFill="1" applyBorder="1" applyProtection="1"/>
    <xf numFmtId="3" fontId="11" fillId="13" borderId="51" xfId="0" applyNumberFormat="1" applyFont="1" applyFill="1" applyBorder="1" applyAlignment="1" applyProtection="1">
      <alignment horizontal="right"/>
      <protection locked="0"/>
    </xf>
    <xf numFmtId="3" fontId="11" fillId="13" borderId="5" xfId="0" applyNumberFormat="1" applyFont="1" applyFill="1" applyBorder="1" applyAlignment="1" applyProtection="1">
      <alignment horizontal="right"/>
      <protection locked="0"/>
    </xf>
    <xf numFmtId="3" fontId="14" fillId="3" borderId="58" xfId="0" applyNumberFormat="1" applyFont="1" applyFill="1" applyBorder="1" applyProtection="1"/>
    <xf numFmtId="3" fontId="14" fillId="3" borderId="86" xfId="0" applyNumberFormat="1" applyFont="1" applyFill="1" applyBorder="1" applyProtection="1"/>
    <xf numFmtId="3" fontId="14" fillId="3" borderId="87" xfId="0" applyNumberFormat="1" applyFont="1" applyFill="1" applyBorder="1" applyProtection="1"/>
    <xf numFmtId="3" fontId="14" fillId="3" borderId="84" xfId="0" applyNumberFormat="1" applyFont="1" applyFill="1" applyBorder="1" applyProtection="1"/>
    <xf numFmtId="3" fontId="14" fillId="3" borderId="26" xfId="0" applyNumberFormat="1" applyFont="1" applyFill="1" applyBorder="1" applyProtection="1"/>
    <xf numFmtId="3" fontId="14" fillId="3" borderId="20" xfId="0" applyNumberFormat="1" applyFont="1" applyFill="1" applyBorder="1" applyProtection="1"/>
    <xf numFmtId="3" fontId="11" fillId="13" borderId="10" xfId="0" applyNumberFormat="1" applyFont="1" applyFill="1" applyBorder="1" applyAlignment="1" applyProtection="1">
      <alignment horizontal="right"/>
      <protection locked="0"/>
    </xf>
    <xf numFmtId="3" fontId="14" fillId="3" borderId="18" xfId="0" applyNumberFormat="1" applyFont="1" applyFill="1" applyBorder="1" applyProtection="1"/>
    <xf numFmtId="3" fontId="14" fillId="3" borderId="19" xfId="0" applyNumberFormat="1" applyFont="1" applyFill="1" applyBorder="1" applyProtection="1"/>
    <xf numFmtId="3" fontId="14" fillId="3" borderId="5" xfId="0" applyNumberFormat="1" applyFont="1" applyFill="1" applyBorder="1" applyAlignment="1" applyProtection="1">
      <alignment horizontal="right"/>
    </xf>
    <xf numFmtId="3" fontId="3" fillId="14" borderId="7" xfId="0" applyNumberFormat="1" applyFont="1" applyFill="1" applyBorder="1" applyAlignment="1" applyProtection="1">
      <alignment horizontal="right"/>
    </xf>
    <xf numFmtId="3" fontId="3" fillId="3" borderId="41" xfId="0" applyNumberFormat="1" applyFont="1" applyFill="1" applyBorder="1" applyAlignment="1" applyProtection="1">
      <alignment horizontal="right"/>
    </xf>
    <xf numFmtId="3" fontId="3" fillId="3" borderId="88" xfId="0" applyNumberFormat="1" applyFont="1" applyFill="1" applyBorder="1" applyAlignment="1" applyProtection="1">
      <alignment horizontal="right"/>
    </xf>
    <xf numFmtId="3" fontId="3" fillId="3" borderId="82" xfId="0" applyNumberFormat="1" applyFont="1" applyFill="1" applyBorder="1" applyAlignment="1" applyProtection="1">
      <alignment horizontal="right"/>
    </xf>
    <xf numFmtId="3" fontId="3" fillId="3" borderId="89" xfId="0" applyNumberFormat="1" applyFont="1" applyFill="1" applyBorder="1" applyAlignment="1" applyProtection="1">
      <alignment horizontal="right"/>
    </xf>
    <xf numFmtId="3" fontId="3" fillId="3" borderId="13" xfId="0" applyNumberFormat="1" applyFont="1" applyFill="1" applyBorder="1" applyAlignment="1" applyProtection="1">
      <alignment horizontal="right"/>
    </xf>
    <xf numFmtId="3" fontId="14" fillId="3" borderId="18" xfId="0" applyNumberFormat="1" applyFont="1" applyFill="1" applyBorder="1" applyAlignment="1" applyProtection="1">
      <alignment horizontal="right"/>
    </xf>
    <xf numFmtId="3" fontId="14" fillId="3" borderId="3" xfId="0" applyNumberFormat="1" applyFont="1" applyFill="1" applyBorder="1" applyAlignment="1" applyProtection="1">
      <alignment horizontal="right"/>
    </xf>
    <xf numFmtId="3" fontId="14" fillId="3" borderId="22" xfId="0" applyNumberFormat="1" applyFont="1" applyFill="1" applyBorder="1" applyAlignment="1" applyProtection="1">
      <alignment horizontal="right"/>
    </xf>
    <xf numFmtId="3" fontId="14" fillId="3" borderId="7" xfId="0" applyNumberFormat="1" applyFont="1" applyFill="1" applyBorder="1" applyAlignment="1" applyProtection="1">
      <alignment horizontal="right"/>
    </xf>
    <xf numFmtId="3" fontId="14" fillId="3" borderId="90" xfId="0" applyNumberFormat="1" applyFont="1" applyFill="1" applyBorder="1" applyAlignment="1" applyProtection="1">
      <alignment horizontal="right"/>
    </xf>
    <xf numFmtId="3" fontId="14" fillId="3" borderId="91" xfId="0" applyNumberFormat="1" applyFont="1" applyFill="1" applyBorder="1" applyAlignment="1" applyProtection="1">
      <alignment horizontal="right"/>
    </xf>
    <xf numFmtId="3" fontId="14" fillId="3" borderId="92" xfId="0" applyNumberFormat="1" applyFont="1" applyFill="1" applyBorder="1" applyAlignment="1" applyProtection="1">
      <alignment horizontal="right"/>
    </xf>
    <xf numFmtId="3" fontId="14" fillId="3" borderId="25" xfId="0" applyNumberFormat="1" applyFont="1" applyFill="1" applyBorder="1" applyAlignment="1" applyProtection="1">
      <alignment horizontal="right"/>
    </xf>
    <xf numFmtId="3" fontId="14" fillId="3" borderId="71" xfId="0" applyNumberFormat="1" applyFont="1" applyFill="1" applyBorder="1" applyAlignment="1" applyProtection="1">
      <alignment horizontal="right"/>
    </xf>
    <xf numFmtId="3" fontId="14" fillId="3" borderId="26" xfId="0" applyNumberFormat="1" applyFont="1" applyFill="1" applyBorder="1" applyAlignment="1" applyProtection="1">
      <alignment horizontal="right"/>
    </xf>
    <xf numFmtId="3" fontId="14" fillId="3" borderId="24" xfId="0" applyNumberFormat="1" applyFont="1" applyFill="1" applyBorder="1" applyAlignment="1" applyProtection="1">
      <alignment horizontal="right"/>
    </xf>
    <xf numFmtId="3" fontId="14" fillId="15" borderId="5" xfId="0" applyNumberFormat="1" applyFont="1" applyFill="1" applyBorder="1" applyAlignment="1" applyProtection="1">
      <alignment horizontal="right"/>
      <protection locked="0"/>
    </xf>
    <xf numFmtId="3" fontId="14" fillId="15" borderId="3" xfId="0" applyNumberFormat="1" applyFont="1" applyFill="1" applyBorder="1" applyAlignment="1" applyProtection="1">
      <alignment horizontal="right"/>
      <protection locked="0"/>
    </xf>
    <xf numFmtId="3" fontId="14" fillId="13" borderId="3" xfId="0" applyNumberFormat="1" applyFont="1" applyFill="1" applyBorder="1" applyAlignment="1" applyProtection="1">
      <alignment horizontal="right"/>
    </xf>
    <xf numFmtId="3" fontId="14" fillId="15" borderId="29" xfId="0" applyNumberFormat="1" applyFont="1" applyFill="1" applyBorder="1" applyAlignment="1" applyProtection="1">
      <alignment horizontal="right"/>
      <protection locked="0"/>
    </xf>
    <xf numFmtId="3" fontId="14" fillId="3" borderId="64" xfId="0" applyNumberFormat="1" applyFont="1" applyFill="1" applyBorder="1" applyAlignment="1" applyProtection="1">
      <alignment horizontal="right"/>
    </xf>
    <xf numFmtId="3" fontId="14" fillId="3" borderId="24" xfId="0" applyNumberFormat="1" applyFont="1" applyFill="1" applyBorder="1" applyAlignment="1" applyProtection="1"/>
    <xf numFmtId="3" fontId="14" fillId="3" borderId="25" xfId="0" applyNumberFormat="1" applyFont="1" applyFill="1" applyBorder="1" applyAlignment="1" applyProtection="1"/>
    <xf numFmtId="3" fontId="14" fillId="3" borderId="71" xfId="0" applyNumberFormat="1" applyFont="1" applyFill="1" applyBorder="1" applyAlignment="1" applyProtection="1"/>
    <xf numFmtId="3" fontId="14" fillId="3" borderId="26" xfId="0" applyNumberFormat="1" applyFont="1" applyFill="1" applyBorder="1" applyAlignment="1" applyProtection="1"/>
    <xf numFmtId="3" fontId="14" fillId="3" borderId="93" xfId="0" applyNumberFormat="1" applyFont="1" applyFill="1" applyBorder="1" applyAlignment="1" applyProtection="1">
      <alignment horizontal="right"/>
    </xf>
    <xf numFmtId="3" fontId="14" fillId="10" borderId="94" xfId="0" applyNumberFormat="1" applyFont="1" applyFill="1" applyBorder="1" applyAlignment="1" applyProtection="1">
      <alignment horizontal="right"/>
    </xf>
    <xf numFmtId="3" fontId="14" fillId="10" borderId="95" xfId="0" applyNumberFormat="1" applyFont="1" applyFill="1" applyBorder="1" applyAlignment="1" applyProtection="1">
      <alignment horizontal="right"/>
    </xf>
    <xf numFmtId="3" fontId="14" fillId="10" borderId="85" xfId="0" applyNumberFormat="1" applyFont="1" applyFill="1" applyBorder="1" applyAlignment="1" applyProtection="1">
      <alignment horizontal="right"/>
    </xf>
    <xf numFmtId="3" fontId="14" fillId="10" borderId="96" xfId="0" applyNumberFormat="1" applyFont="1" applyFill="1" applyBorder="1" applyAlignment="1" applyProtection="1">
      <alignment horizontal="right"/>
    </xf>
    <xf numFmtId="3" fontId="14" fillId="3" borderId="52" xfId="0" applyNumberFormat="1" applyFont="1" applyFill="1" applyBorder="1" applyAlignment="1" applyProtection="1">
      <alignment horizontal="right"/>
    </xf>
    <xf numFmtId="3" fontId="14" fillId="3" borderId="97" xfId="0" applyNumberFormat="1" applyFont="1" applyFill="1" applyBorder="1" applyAlignment="1" applyProtection="1">
      <alignment horizontal="right"/>
    </xf>
    <xf numFmtId="3" fontId="14" fillId="3" borderId="83" xfId="0" applyNumberFormat="1" applyFont="1" applyFill="1" applyBorder="1" applyAlignment="1" applyProtection="1">
      <alignment horizontal="right"/>
    </xf>
    <xf numFmtId="3" fontId="14" fillId="3" borderId="98" xfId="0" applyNumberFormat="1" applyFont="1" applyFill="1" applyBorder="1" applyAlignment="1" applyProtection="1">
      <alignment horizontal="right"/>
    </xf>
    <xf numFmtId="3" fontId="14" fillId="3" borderId="99" xfId="0" applyNumberFormat="1" applyFont="1" applyFill="1" applyBorder="1" applyAlignment="1" applyProtection="1">
      <alignment horizontal="right"/>
    </xf>
    <xf numFmtId="3" fontId="14" fillId="3" borderId="100" xfId="0" applyNumberFormat="1" applyFont="1" applyFill="1" applyBorder="1" applyAlignment="1" applyProtection="1">
      <alignment horizontal="right"/>
    </xf>
    <xf numFmtId="3" fontId="14" fillId="3" borderId="87" xfId="0" applyNumberFormat="1" applyFont="1" applyFill="1" applyBorder="1" applyAlignment="1" applyProtection="1">
      <alignment horizontal="right"/>
    </xf>
    <xf numFmtId="3" fontId="3" fillId="3" borderId="101" xfId="0" applyNumberFormat="1" applyFont="1" applyFill="1" applyBorder="1" applyProtection="1"/>
    <xf numFmtId="3" fontId="3" fillId="3" borderId="31" xfId="0" applyNumberFormat="1" applyFont="1" applyFill="1" applyBorder="1" applyProtection="1"/>
    <xf numFmtId="3" fontId="3" fillId="3" borderId="102" xfId="0" applyNumberFormat="1" applyFont="1" applyFill="1" applyBorder="1" applyProtection="1"/>
    <xf numFmtId="3" fontId="14" fillId="3" borderId="31" xfId="0" applyNumberFormat="1" applyFont="1" applyFill="1" applyBorder="1" applyProtection="1"/>
    <xf numFmtId="3" fontId="14" fillId="3" borderId="32" xfId="0" applyNumberFormat="1" applyFont="1" applyFill="1" applyBorder="1" applyProtection="1"/>
    <xf numFmtId="3" fontId="14" fillId="3" borderId="79" xfId="0" applyNumberFormat="1" applyFont="1" applyFill="1" applyBorder="1" applyProtection="1"/>
    <xf numFmtId="3" fontId="3" fillId="3" borderId="103" xfId="0" applyNumberFormat="1" applyFont="1" applyFill="1" applyBorder="1" applyProtection="1"/>
    <xf numFmtId="3" fontId="14" fillId="3" borderId="102" xfId="0" applyNumberFormat="1" applyFont="1" applyFill="1" applyBorder="1" applyAlignment="1" applyProtection="1">
      <alignment horizontal="right"/>
    </xf>
    <xf numFmtId="3" fontId="14" fillId="3" borderId="33" xfId="0" applyNumberFormat="1" applyFont="1" applyFill="1" applyBorder="1" applyAlignment="1" applyProtection="1">
      <alignment horizontal="right"/>
    </xf>
    <xf numFmtId="3" fontId="14" fillId="3" borderId="44" xfId="0" applyNumberFormat="1" applyFont="1" applyFill="1" applyBorder="1" applyAlignment="1" applyProtection="1">
      <alignment horizontal="right"/>
    </xf>
    <xf numFmtId="3" fontId="14" fillId="3" borderId="33" xfId="0" applyNumberFormat="1" applyFont="1" applyFill="1" applyBorder="1" applyAlignment="1" applyProtection="1"/>
    <xf numFmtId="3" fontId="14" fillId="3" borderId="44" xfId="0" applyNumberFormat="1" applyFont="1" applyFill="1" applyBorder="1" applyAlignment="1" applyProtection="1"/>
    <xf numFmtId="3" fontId="14" fillId="3" borderId="104" xfId="0" applyNumberFormat="1" applyFont="1" applyFill="1" applyBorder="1" applyAlignment="1" applyProtection="1">
      <alignment horizontal="right"/>
    </xf>
    <xf numFmtId="3" fontId="3" fillId="3" borderId="105" xfId="0" applyNumberFormat="1" applyFont="1" applyFill="1" applyBorder="1" applyAlignment="1" applyProtection="1">
      <alignment horizontal="right"/>
    </xf>
    <xf numFmtId="3" fontId="39" fillId="3" borderId="76" xfId="0" applyNumberFormat="1" applyFont="1" applyFill="1" applyBorder="1" applyAlignment="1" applyProtection="1">
      <alignment horizontal="right"/>
    </xf>
    <xf numFmtId="3" fontId="39" fillId="3" borderId="106" xfId="0" applyNumberFormat="1" applyFont="1" applyFill="1" applyBorder="1" applyAlignment="1" applyProtection="1">
      <alignment horizontal="right"/>
    </xf>
    <xf numFmtId="3" fontId="39" fillId="3" borderId="25" xfId="0" applyNumberFormat="1" applyFont="1" applyFill="1" applyBorder="1" applyAlignment="1" applyProtection="1">
      <alignment horizontal="right"/>
    </xf>
    <xf numFmtId="3" fontId="39" fillId="3" borderId="26" xfId="0" applyNumberFormat="1" applyFont="1" applyFill="1" applyBorder="1" applyAlignment="1" applyProtection="1">
      <alignment horizontal="right"/>
    </xf>
    <xf numFmtId="0" fontId="2" fillId="7" borderId="0" xfId="0" applyFont="1" applyFill="1" applyProtection="1"/>
    <xf numFmtId="3" fontId="2" fillId="2" borderId="0" xfId="0" applyNumberFormat="1" applyFont="1" applyFill="1" applyProtection="1"/>
    <xf numFmtId="3" fontId="2" fillId="0" borderId="0" xfId="0" applyNumberFormat="1" applyFont="1" applyProtection="1"/>
    <xf numFmtId="3" fontId="2" fillId="0" borderId="0" xfId="0" applyNumberFormat="1" applyFont="1" applyFill="1" applyBorder="1" applyProtection="1"/>
    <xf numFmtId="0" fontId="84" fillId="10" borderId="0" xfId="0" applyFont="1" applyFill="1" applyBorder="1" applyAlignment="1">
      <alignment horizontal="right" wrapText="1"/>
    </xf>
    <xf numFmtId="49" fontId="84" fillId="10" borderId="0" xfId="0" applyNumberFormat="1" applyFont="1" applyFill="1" applyBorder="1" applyAlignment="1">
      <alignment horizontal="right" wrapText="1"/>
    </xf>
    <xf numFmtId="0" fontId="0" fillId="10" borderId="66" xfId="0" applyFill="1" applyBorder="1"/>
    <xf numFmtId="0" fontId="79" fillId="10" borderId="27" xfId="0" applyFont="1" applyFill="1" applyBorder="1" applyAlignment="1">
      <alignment horizontal="right" wrapText="1"/>
    </xf>
    <xf numFmtId="0" fontId="0" fillId="10" borderId="0" xfId="0" applyFill="1" applyBorder="1"/>
    <xf numFmtId="3" fontId="18" fillId="10" borderId="0" xfId="0" applyNumberFormat="1" applyFont="1" applyFill="1" applyBorder="1" applyAlignment="1" applyProtection="1">
      <alignment horizontal="right"/>
    </xf>
    <xf numFmtId="49" fontId="43" fillId="10" borderId="27" xfId="0" applyNumberFormat="1" applyFont="1" applyFill="1" applyBorder="1" applyAlignment="1" applyProtection="1">
      <alignment horizontal="right"/>
    </xf>
    <xf numFmtId="49" fontId="43" fillId="10" borderId="0" xfId="0" applyNumberFormat="1" applyFont="1" applyFill="1" applyBorder="1" applyAlignment="1" applyProtection="1">
      <alignment horizontal="right"/>
    </xf>
    <xf numFmtId="2" fontId="81" fillId="10" borderId="27" xfId="5" applyNumberFormat="1" applyFill="1" applyBorder="1" applyAlignment="1" applyProtection="1">
      <alignment horizontal="left"/>
    </xf>
    <xf numFmtId="0" fontId="3" fillId="10" borderId="0" xfId="0" applyFont="1" applyFill="1" applyBorder="1" applyAlignment="1">
      <alignment horizontal="right" wrapText="1"/>
    </xf>
    <xf numFmtId="0" fontId="0" fillId="10" borderId="27" xfId="0" applyFill="1" applyBorder="1"/>
    <xf numFmtId="0" fontId="0" fillId="10" borderId="110" xfId="0" applyFill="1" applyBorder="1"/>
    <xf numFmtId="0" fontId="0" fillId="10" borderId="1" xfId="0" applyFill="1" applyBorder="1"/>
    <xf numFmtId="0" fontId="0" fillId="0" borderId="0" xfId="0" applyBorder="1"/>
    <xf numFmtId="0" fontId="0" fillId="0" borderId="66" xfId="0" applyBorder="1"/>
    <xf numFmtId="49" fontId="3" fillId="10" borderId="11" xfId="0" applyNumberFormat="1" applyFont="1" applyFill="1" applyBorder="1" applyAlignment="1" applyProtection="1"/>
    <xf numFmtId="49" fontId="3" fillId="10" borderId="75" xfId="0" applyNumberFormat="1" applyFont="1" applyFill="1" applyBorder="1" applyAlignment="1" applyProtection="1"/>
    <xf numFmtId="49" fontId="3" fillId="10" borderId="38" xfId="0" applyNumberFormat="1" applyFont="1" applyFill="1" applyBorder="1" applyAlignment="1" applyProtection="1"/>
    <xf numFmtId="49" fontId="3" fillId="10" borderId="77" xfId="0" applyNumberFormat="1" applyFont="1" applyFill="1" applyBorder="1" applyAlignment="1" applyProtection="1"/>
    <xf numFmtId="49" fontId="3" fillId="10" borderId="36" xfId="0" applyNumberFormat="1" applyFont="1" applyFill="1" applyBorder="1" applyAlignment="1" applyProtection="1"/>
    <xf numFmtId="0" fontId="18" fillId="0" borderId="0" xfId="0" applyFont="1" applyFill="1" applyBorder="1" applyAlignment="1" applyProtection="1">
      <alignment horizontal="center"/>
    </xf>
    <xf numFmtId="0" fontId="56" fillId="0" borderId="0" xfId="0" applyFont="1"/>
    <xf numFmtId="0" fontId="22" fillId="0" borderId="0" xfId="0" applyFont="1" applyAlignment="1">
      <alignment horizontal="left"/>
    </xf>
    <xf numFmtId="0" fontId="106" fillId="0" borderId="0" xfId="0" applyFont="1"/>
    <xf numFmtId="0" fontId="22" fillId="0" borderId="0" xfId="0" applyFont="1" applyAlignment="1">
      <alignment horizontal="right"/>
    </xf>
    <xf numFmtId="0" fontId="107" fillId="0" borderId="0" xfId="6" applyFont="1" applyProtection="1"/>
    <xf numFmtId="3" fontId="3" fillId="9" borderId="112" xfId="6" applyNumberFormat="1" applyFont="1" applyFill="1" applyBorder="1" applyProtection="1"/>
    <xf numFmtId="3" fontId="3" fillId="9" borderId="7" xfId="6" applyNumberFormat="1" applyFont="1" applyFill="1" applyBorder="1" applyProtection="1"/>
    <xf numFmtId="3" fontId="3" fillId="9" borderId="105" xfId="6" applyNumberFormat="1" applyFont="1" applyFill="1" applyBorder="1" applyProtection="1"/>
    <xf numFmtId="3" fontId="3" fillId="9" borderId="90" xfId="6" applyNumberFormat="1" applyFont="1" applyFill="1" applyBorder="1" applyProtection="1"/>
    <xf numFmtId="3" fontId="3" fillId="9" borderId="113" xfId="6" applyNumberFormat="1" applyFont="1" applyFill="1" applyBorder="1" applyProtection="1"/>
    <xf numFmtId="0" fontId="108" fillId="0" borderId="0" xfId="0" applyFont="1"/>
    <xf numFmtId="0" fontId="108" fillId="0" borderId="0" xfId="0" applyFont="1" applyBorder="1"/>
    <xf numFmtId="3" fontId="10" fillId="0" borderId="0" xfId="0" applyNumberFormat="1" applyFont="1" applyFill="1"/>
    <xf numFmtId="0" fontId="10" fillId="0" borderId="0" xfId="0" applyFont="1"/>
    <xf numFmtId="3" fontId="10" fillId="0" borderId="0" xfId="0" quotePrefix="1"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left"/>
    </xf>
    <xf numFmtId="0" fontId="25" fillId="0" borderId="0" xfId="0" applyFont="1"/>
    <xf numFmtId="3" fontId="10" fillId="0" borderId="0" xfId="0" applyNumberFormat="1" applyFont="1"/>
    <xf numFmtId="3" fontId="10" fillId="0" borderId="0" xfId="0" quotePrefix="1" applyNumberFormat="1" applyFont="1"/>
    <xf numFmtId="0" fontId="22" fillId="0" borderId="0" xfId="0" applyFont="1" applyFill="1"/>
    <xf numFmtId="0" fontId="109" fillId="0" borderId="0" xfId="6" applyFont="1" applyProtection="1"/>
    <xf numFmtId="3" fontId="3" fillId="3" borderId="18" xfId="0" applyNumberFormat="1" applyFont="1" applyFill="1" applyBorder="1" applyAlignment="1" applyProtection="1">
      <alignment horizontal="right"/>
    </xf>
    <xf numFmtId="3" fontId="3" fillId="9" borderId="22" xfId="0" applyNumberFormat="1" applyFont="1" applyFill="1" applyBorder="1" applyAlignment="1" applyProtection="1">
      <alignment horizontal="right"/>
    </xf>
    <xf numFmtId="3" fontId="3" fillId="3" borderId="114" xfId="0" applyNumberFormat="1" applyFont="1" applyFill="1" applyBorder="1" applyAlignment="1" applyProtection="1">
      <alignment horizontal="right"/>
    </xf>
    <xf numFmtId="3" fontId="3" fillId="2" borderId="21" xfId="0" applyNumberFormat="1" applyFont="1" applyFill="1" applyBorder="1" applyAlignment="1" applyProtection="1">
      <alignment horizontal="right"/>
      <protection locked="0"/>
    </xf>
    <xf numFmtId="3" fontId="3" fillId="2" borderId="22" xfId="0" applyNumberFormat="1" applyFont="1" applyFill="1" applyBorder="1" applyAlignment="1" applyProtection="1">
      <alignment horizontal="right"/>
      <protection locked="0"/>
    </xf>
    <xf numFmtId="3" fontId="3" fillId="3" borderId="115" xfId="0" applyNumberFormat="1" applyFont="1" applyFill="1" applyBorder="1" applyAlignment="1" applyProtection="1">
      <alignment horizontal="right"/>
    </xf>
    <xf numFmtId="3" fontId="22" fillId="0" borderId="0" xfId="0" applyNumberFormat="1" applyFont="1" applyAlignment="1">
      <alignment horizontal="right"/>
    </xf>
    <xf numFmtId="3" fontId="3" fillId="17" borderId="18" xfId="0" applyNumberFormat="1" applyFont="1" applyFill="1" applyBorder="1" applyAlignment="1" applyProtection="1">
      <alignment horizontal="right"/>
      <protection locked="0"/>
    </xf>
    <xf numFmtId="3" fontId="14" fillId="3" borderId="107" xfId="0" applyNumberFormat="1" applyFont="1" applyFill="1" applyBorder="1" applyAlignment="1" applyProtection="1">
      <alignment horizontal="right"/>
    </xf>
    <xf numFmtId="3" fontId="14" fillId="10" borderId="30" xfId="0" applyNumberFormat="1" applyFont="1" applyFill="1" applyBorder="1" applyAlignment="1" applyProtection="1">
      <alignment horizontal="right"/>
    </xf>
    <xf numFmtId="3" fontId="14" fillId="10" borderId="31" xfId="0" applyNumberFormat="1" applyFont="1" applyFill="1" applyBorder="1" applyAlignment="1" applyProtection="1">
      <alignment horizontal="right"/>
    </xf>
    <xf numFmtId="3" fontId="14" fillId="10" borderId="23" xfId="0" applyNumberFormat="1" applyFont="1" applyFill="1" applyBorder="1" applyAlignment="1" applyProtection="1">
      <alignment horizontal="right"/>
    </xf>
    <xf numFmtId="3" fontId="14" fillId="10" borderId="9" xfId="0" applyNumberFormat="1" applyFont="1" applyFill="1" applyBorder="1" applyAlignment="1" applyProtection="1">
      <alignment horizontal="right"/>
    </xf>
    <xf numFmtId="3" fontId="14" fillId="10" borderId="20" xfId="0" applyNumberFormat="1" applyFont="1" applyFill="1" applyBorder="1" applyAlignment="1" applyProtection="1">
      <alignment horizontal="right"/>
    </xf>
    <xf numFmtId="3" fontId="14" fillId="10" borderId="10" xfId="0" applyNumberFormat="1" applyFont="1" applyFill="1" applyBorder="1" applyAlignment="1" applyProtection="1">
      <alignment horizontal="right"/>
    </xf>
    <xf numFmtId="3" fontId="14" fillId="10" borderId="14" xfId="0" applyNumberFormat="1" applyFont="1" applyFill="1" applyBorder="1" applyAlignment="1" applyProtection="1">
      <alignment horizontal="right"/>
    </xf>
    <xf numFmtId="3" fontId="14" fillId="2" borderId="54" xfId="0" applyNumberFormat="1" applyFont="1" applyFill="1" applyBorder="1" applyAlignment="1" applyProtection="1">
      <alignment horizontal="right"/>
      <protection locked="0"/>
    </xf>
    <xf numFmtId="3" fontId="14" fillId="2" borderId="53" xfId="0" applyNumberFormat="1" applyFont="1" applyFill="1" applyBorder="1" applyAlignment="1" applyProtection="1">
      <alignment horizontal="right"/>
      <protection locked="0"/>
    </xf>
    <xf numFmtId="3" fontId="14" fillId="2" borderId="64" xfId="0" applyNumberFormat="1" applyFont="1" applyFill="1" applyBorder="1" applyAlignment="1" applyProtection="1">
      <alignment horizontal="right"/>
      <protection locked="0"/>
    </xf>
    <xf numFmtId="3" fontId="14" fillId="10" borderId="100" xfId="0" applyNumberFormat="1" applyFont="1" applyFill="1" applyBorder="1" applyAlignment="1" applyProtection="1">
      <alignment horizontal="right"/>
    </xf>
    <xf numFmtId="3" fontId="14" fillId="10" borderId="116" xfId="0" applyNumberFormat="1" applyFont="1" applyFill="1" applyBorder="1" applyAlignment="1" applyProtection="1">
      <alignment horizontal="right"/>
    </xf>
    <xf numFmtId="3" fontId="14" fillId="10" borderId="117" xfId="0" applyNumberFormat="1" applyFont="1" applyFill="1" applyBorder="1" applyAlignment="1" applyProtection="1">
      <alignment horizontal="right"/>
    </xf>
    <xf numFmtId="3" fontId="14" fillId="10" borderId="87" xfId="0" applyNumberFormat="1" applyFont="1" applyFill="1" applyBorder="1" applyAlignment="1" applyProtection="1">
      <alignment horizontal="right"/>
    </xf>
    <xf numFmtId="3" fontId="14" fillId="10" borderId="4" xfId="0" applyNumberFormat="1" applyFont="1" applyFill="1" applyBorder="1" applyAlignment="1" applyProtection="1">
      <alignment horizontal="right"/>
    </xf>
    <xf numFmtId="3" fontId="14" fillId="10" borderId="3" xfId="0" applyNumberFormat="1" applyFont="1" applyFill="1" applyBorder="1" applyAlignment="1" applyProtection="1">
      <alignment horizontal="right"/>
    </xf>
    <xf numFmtId="3" fontId="14" fillId="10" borderId="2" xfId="0" applyNumberFormat="1" applyFont="1" applyFill="1" applyBorder="1" applyAlignment="1" applyProtection="1">
      <alignment horizontal="right"/>
    </xf>
    <xf numFmtId="3" fontId="14" fillId="10" borderId="18" xfId="0" applyNumberFormat="1" applyFont="1" applyFill="1" applyBorder="1" applyAlignment="1" applyProtection="1">
      <alignment horizontal="right"/>
    </xf>
    <xf numFmtId="3" fontId="14" fillId="10" borderId="97" xfId="0" applyNumberFormat="1" applyFont="1" applyFill="1" applyBorder="1" applyAlignment="1" applyProtection="1">
      <alignment horizontal="right"/>
    </xf>
    <xf numFmtId="3" fontId="14" fillId="10" borderId="21" xfId="0" applyNumberFormat="1" applyFont="1" applyFill="1" applyBorder="1" applyAlignment="1" applyProtection="1">
      <alignment horizontal="right"/>
    </xf>
    <xf numFmtId="3" fontId="14" fillId="10" borderId="46" xfId="0" applyNumberFormat="1" applyFont="1" applyFill="1" applyBorder="1" applyAlignment="1" applyProtection="1">
      <alignment horizontal="right"/>
    </xf>
    <xf numFmtId="3" fontId="14" fillId="10" borderId="118" xfId="0" applyNumberFormat="1" applyFont="1" applyFill="1" applyBorder="1" applyAlignment="1" applyProtection="1">
      <alignment horizontal="right"/>
    </xf>
    <xf numFmtId="3" fontId="14" fillId="10" borderId="28" xfId="0" applyNumberFormat="1" applyFont="1" applyFill="1" applyBorder="1" applyAlignment="1" applyProtection="1">
      <alignment horizontal="right"/>
    </xf>
    <xf numFmtId="3" fontId="14" fillId="10" borderId="102" xfId="0" applyNumberFormat="1" applyFont="1" applyFill="1" applyBorder="1" applyAlignment="1" applyProtection="1">
      <alignment horizontal="right"/>
    </xf>
    <xf numFmtId="3" fontId="14" fillId="10" borderId="29" xfId="0" applyNumberFormat="1" applyFont="1" applyFill="1" applyBorder="1" applyAlignment="1" applyProtection="1">
      <alignment horizontal="right"/>
    </xf>
    <xf numFmtId="3" fontId="14" fillId="10" borderId="32" xfId="0" applyNumberFormat="1" applyFont="1" applyFill="1" applyBorder="1" applyAlignment="1" applyProtection="1">
      <alignment horizontal="right"/>
    </xf>
    <xf numFmtId="3" fontId="14" fillId="10" borderId="22" xfId="0" applyNumberFormat="1" applyFont="1" applyFill="1" applyBorder="1" applyAlignment="1" applyProtection="1">
      <alignment horizontal="right"/>
    </xf>
    <xf numFmtId="3" fontId="14" fillId="10" borderId="5" xfId="0" applyNumberFormat="1" applyFont="1" applyFill="1" applyBorder="1" applyAlignment="1" applyProtection="1">
      <alignment horizontal="right"/>
    </xf>
    <xf numFmtId="3" fontId="14" fillId="10" borderId="19" xfId="0" applyNumberFormat="1" applyFont="1" applyFill="1" applyBorder="1" applyAlignment="1" applyProtection="1">
      <alignment horizontal="right"/>
    </xf>
    <xf numFmtId="3" fontId="14" fillId="10" borderId="6" xfId="0" applyNumberFormat="1" applyFont="1" applyFill="1" applyBorder="1" applyAlignment="1" applyProtection="1">
      <alignment horizontal="right"/>
    </xf>
    <xf numFmtId="3" fontId="14" fillId="10" borderId="7" xfId="0" applyNumberFormat="1" applyFont="1" applyFill="1" applyBorder="1" applyAlignment="1" applyProtection="1">
      <alignment horizontal="right"/>
    </xf>
    <xf numFmtId="0" fontId="26" fillId="10" borderId="95" xfId="0" applyFont="1" applyFill="1" applyBorder="1" applyProtection="1"/>
    <xf numFmtId="0" fontId="26" fillId="10" borderId="119" xfId="0" applyFont="1" applyFill="1" applyBorder="1" applyProtection="1"/>
    <xf numFmtId="0" fontId="26" fillId="10" borderId="120" xfId="0" applyFont="1" applyFill="1" applyBorder="1" applyProtection="1"/>
    <xf numFmtId="0" fontId="26" fillId="10" borderId="64" xfId="0" applyFont="1" applyFill="1" applyBorder="1" applyProtection="1"/>
    <xf numFmtId="0" fontId="26" fillId="10" borderId="81" xfId="0" applyFont="1" applyFill="1" applyBorder="1" applyProtection="1"/>
    <xf numFmtId="0" fontId="26" fillId="10" borderId="52" xfId="0" applyFont="1" applyFill="1" applyBorder="1" applyProtection="1"/>
    <xf numFmtId="0" fontId="26" fillId="10" borderId="97" xfId="0" applyFont="1" applyFill="1" applyBorder="1" applyProtection="1"/>
    <xf numFmtId="0" fontId="26" fillId="10" borderId="117" xfId="0" applyFont="1" applyFill="1" applyBorder="1" applyProtection="1"/>
    <xf numFmtId="0" fontId="26" fillId="10" borderId="21" xfId="0" applyFont="1" applyFill="1" applyBorder="1" applyProtection="1"/>
    <xf numFmtId="0" fontId="26" fillId="10" borderId="2" xfId="0" applyFont="1" applyFill="1" applyBorder="1" applyProtection="1"/>
    <xf numFmtId="0" fontId="26" fillId="10" borderId="46" xfId="0" applyFont="1" applyFill="1" applyBorder="1" applyProtection="1"/>
    <xf numFmtId="0" fontId="26" fillId="10" borderId="118" xfId="0" applyFont="1" applyFill="1" applyBorder="1" applyProtection="1"/>
    <xf numFmtId="0" fontId="26" fillId="10" borderId="28" xfId="0" applyFont="1" applyFill="1" applyBorder="1" applyProtection="1"/>
    <xf numFmtId="0" fontId="26" fillId="10" borderId="102" xfId="0" applyFont="1" applyFill="1" applyBorder="1" applyProtection="1"/>
    <xf numFmtId="3" fontId="14" fillId="10" borderId="108" xfId="0" applyNumberFormat="1" applyFont="1" applyFill="1" applyBorder="1" applyAlignment="1" applyProtection="1">
      <alignment horizontal="right"/>
    </xf>
    <xf numFmtId="3" fontId="14" fillId="2" borderId="81" xfId="0" applyNumberFormat="1" applyFont="1" applyFill="1" applyBorder="1" applyAlignment="1" applyProtection="1">
      <alignment horizontal="right"/>
      <protection locked="0"/>
    </xf>
    <xf numFmtId="0" fontId="26" fillId="10" borderId="7" xfId="0" applyFont="1" applyFill="1" applyBorder="1" applyProtection="1"/>
    <xf numFmtId="0" fontId="26" fillId="10" borderId="6" xfId="0" applyFont="1" applyFill="1" applyBorder="1" applyProtection="1"/>
    <xf numFmtId="0" fontId="26" fillId="10" borderId="5" xfId="0" applyFont="1" applyFill="1" applyBorder="1" applyProtection="1"/>
    <xf numFmtId="3" fontId="14" fillId="18" borderId="5" xfId="0" applyNumberFormat="1" applyFont="1" applyFill="1" applyBorder="1" applyAlignment="1" applyProtection="1">
      <alignment horizontal="right"/>
    </xf>
    <xf numFmtId="3" fontId="14" fillId="18" borderId="6" xfId="0" applyNumberFormat="1" applyFont="1" applyFill="1" applyBorder="1" applyAlignment="1" applyProtection="1">
      <alignment horizontal="right"/>
    </xf>
    <xf numFmtId="0" fontId="26" fillId="10" borderId="19" xfId="0" applyFont="1" applyFill="1" applyBorder="1" applyProtection="1"/>
    <xf numFmtId="0" fontId="26" fillId="10" borderId="22" xfId="0" applyFont="1" applyFill="1" applyBorder="1" applyProtection="1"/>
    <xf numFmtId="0" fontId="26" fillId="10" borderId="29" xfId="0" applyFont="1" applyFill="1" applyBorder="1" applyProtection="1"/>
    <xf numFmtId="0" fontId="26" fillId="10" borderId="32" xfId="0" applyFont="1" applyFill="1" applyBorder="1" applyProtection="1"/>
    <xf numFmtId="3" fontId="14" fillId="2" borderId="121" xfId="0" applyNumberFormat="1" applyFont="1" applyFill="1" applyBorder="1" applyAlignment="1" applyProtection="1">
      <alignment horizontal="right"/>
    </xf>
    <xf numFmtId="3" fontId="14" fillId="10" borderId="14" xfId="0" applyNumberFormat="1" applyFont="1" applyFill="1" applyBorder="1" applyAlignment="1" applyProtection="1">
      <alignment horizontal="left"/>
    </xf>
    <xf numFmtId="3" fontId="14" fillId="10" borderId="10" xfId="0" applyNumberFormat="1" applyFont="1" applyFill="1" applyBorder="1" applyAlignment="1" applyProtection="1">
      <alignment horizontal="left"/>
    </xf>
    <xf numFmtId="3" fontId="14" fillId="10" borderId="9" xfId="0" applyNumberFormat="1" applyFont="1" applyFill="1" applyBorder="1" applyAlignment="1" applyProtection="1">
      <alignment horizontal="left"/>
    </xf>
    <xf numFmtId="3" fontId="14" fillId="10" borderId="20" xfId="0" applyNumberFormat="1" applyFont="1" applyFill="1" applyBorder="1" applyAlignment="1" applyProtection="1">
      <alignment horizontal="left"/>
    </xf>
    <xf numFmtId="3" fontId="14" fillId="10" borderId="23" xfId="0" applyNumberFormat="1" applyFont="1" applyFill="1" applyBorder="1" applyAlignment="1" applyProtection="1">
      <alignment horizontal="left"/>
    </xf>
    <xf numFmtId="3" fontId="14" fillId="19" borderId="20" xfId="0" applyNumberFormat="1" applyFont="1" applyFill="1" applyBorder="1" applyAlignment="1" applyProtection="1">
      <alignment horizontal="left"/>
    </xf>
    <xf numFmtId="3" fontId="14" fillId="10" borderId="30" xfId="0" applyNumberFormat="1" applyFont="1" applyFill="1" applyBorder="1" applyAlignment="1" applyProtection="1">
      <alignment horizontal="left"/>
    </xf>
    <xf numFmtId="3" fontId="14" fillId="10" borderId="31" xfId="0" applyNumberFormat="1" applyFont="1" applyFill="1" applyBorder="1" applyAlignment="1" applyProtection="1">
      <alignment horizontal="left"/>
    </xf>
    <xf numFmtId="0" fontId="102" fillId="0" borderId="11" xfId="6" applyFont="1" applyBorder="1" applyProtection="1"/>
    <xf numFmtId="0" fontId="25" fillId="0" borderId="86" xfId="6" applyBorder="1" applyProtection="1"/>
    <xf numFmtId="0" fontId="102" fillId="0" borderId="73" xfId="6" applyFont="1" applyBorder="1" applyProtection="1"/>
    <xf numFmtId="49" fontId="110" fillId="7" borderId="0" xfId="0" applyNumberFormat="1" applyFont="1" applyFill="1" applyProtection="1"/>
    <xf numFmtId="0" fontId="110" fillId="7" borderId="0" xfId="0" applyFont="1" applyFill="1" applyProtection="1"/>
    <xf numFmtId="49" fontId="112" fillId="7" borderId="0" xfId="0" applyNumberFormat="1" applyFont="1" applyFill="1" applyProtection="1"/>
    <xf numFmtId="0" fontId="112" fillId="7" borderId="0" xfId="0" applyFont="1" applyFill="1" applyProtection="1"/>
    <xf numFmtId="0" fontId="0" fillId="7" borderId="0" xfId="0" applyFill="1" applyAlignment="1" applyProtection="1">
      <alignment horizontal="right"/>
    </xf>
    <xf numFmtId="0" fontId="113" fillId="7" borderId="0" xfId="0" applyFont="1" applyFill="1" applyProtection="1"/>
    <xf numFmtId="49" fontId="112" fillId="7" borderId="0" xfId="0" applyNumberFormat="1" applyFont="1" applyFill="1" applyAlignment="1" applyProtection="1">
      <alignment horizontal="right"/>
    </xf>
    <xf numFmtId="49" fontId="111" fillId="7" borderId="0" xfId="0" applyNumberFormat="1" applyFont="1" applyFill="1" applyAlignment="1" applyProtection="1">
      <alignment horizontal="right"/>
    </xf>
    <xf numFmtId="0" fontId="111" fillId="7" borderId="0" xfId="0" applyFont="1" applyFill="1" applyAlignment="1" applyProtection="1">
      <alignment horizontal="left"/>
    </xf>
    <xf numFmtId="49" fontId="112" fillId="7" borderId="0" xfId="6" applyNumberFormat="1" applyFont="1" applyFill="1" applyBorder="1" applyAlignment="1" applyProtection="1">
      <alignment horizontal="left"/>
    </xf>
    <xf numFmtId="0" fontId="112" fillId="7" borderId="0" xfId="6" applyFont="1" applyFill="1" applyProtection="1"/>
    <xf numFmtId="49" fontId="112" fillId="7" borderId="0" xfId="0" applyNumberFormat="1" applyFont="1" applyFill="1" applyAlignment="1" applyProtection="1"/>
    <xf numFmtId="0" fontId="112" fillId="7" borderId="0" xfId="0" applyFont="1" applyFill="1" applyAlignment="1" applyProtection="1"/>
    <xf numFmtId="3" fontId="3" fillId="0" borderId="18" xfId="0" applyNumberFormat="1" applyFont="1" applyFill="1" applyBorder="1" applyAlignment="1" applyProtection="1">
      <alignment horizontal="right"/>
      <protection locked="0"/>
    </xf>
    <xf numFmtId="3" fontId="55" fillId="0" borderId="38" xfId="0" applyNumberFormat="1" applyFont="1" applyFill="1" applyBorder="1" applyProtection="1"/>
    <xf numFmtId="3" fontId="8" fillId="0" borderId="38" xfId="0" applyNumberFormat="1" applyFont="1" applyFill="1" applyBorder="1" applyProtection="1"/>
    <xf numFmtId="3" fontId="4" fillId="0" borderId="66" xfId="0" applyNumberFormat="1" applyFont="1" applyFill="1" applyBorder="1" applyAlignment="1" applyProtection="1">
      <alignment horizontal="right"/>
    </xf>
    <xf numFmtId="3" fontId="38" fillId="0" borderId="38" xfId="0" applyNumberFormat="1" applyFont="1" applyFill="1" applyBorder="1" applyAlignment="1" applyProtection="1">
      <alignment horizontal="right"/>
    </xf>
    <xf numFmtId="0" fontId="8" fillId="0" borderId="123" xfId="0" applyFont="1" applyFill="1" applyBorder="1" applyProtection="1"/>
    <xf numFmtId="0" fontId="89" fillId="2" borderId="66" xfId="12" applyFont="1" applyFill="1" applyBorder="1" applyProtection="1"/>
    <xf numFmtId="0" fontId="8" fillId="0" borderId="38" xfId="0" applyFont="1" applyFill="1" applyBorder="1" applyProtection="1"/>
    <xf numFmtId="0" fontId="115" fillId="0" borderId="124" xfId="0" applyFont="1" applyFill="1" applyBorder="1" applyProtection="1"/>
    <xf numFmtId="0" fontId="115" fillId="0" borderId="49" xfId="0" applyFont="1" applyFill="1" applyBorder="1" applyProtection="1"/>
    <xf numFmtId="0" fontId="115" fillId="0" borderId="37" xfId="0" applyFont="1" applyFill="1" applyBorder="1" applyProtection="1"/>
    <xf numFmtId="0" fontId="115" fillId="0" borderId="0" xfId="0" applyFont="1" applyFill="1" applyBorder="1" applyProtection="1"/>
    <xf numFmtId="0" fontId="116" fillId="0" borderId="0" xfId="0" applyFont="1" applyFill="1" applyBorder="1" applyProtection="1"/>
    <xf numFmtId="3" fontId="14" fillId="3" borderId="8" xfId="0" applyNumberFormat="1" applyFont="1" applyFill="1" applyBorder="1" applyAlignment="1" applyProtection="1">
      <alignment horizontal="right"/>
    </xf>
    <xf numFmtId="3" fontId="38" fillId="0" borderId="0" xfId="6" quotePrefix="1" applyNumberFormat="1" applyFont="1" applyFill="1" applyBorder="1" applyAlignment="1" applyProtection="1"/>
    <xf numFmtId="3" fontId="65" fillId="0" borderId="0" xfId="6" quotePrefix="1" applyNumberFormat="1" applyFont="1" applyFill="1" applyBorder="1" applyAlignment="1" applyProtection="1"/>
    <xf numFmtId="3" fontId="38" fillId="2" borderId="38" xfId="0" applyNumberFormat="1" applyFont="1" applyFill="1" applyBorder="1" applyAlignment="1" applyProtection="1">
      <alignment horizontal="left"/>
    </xf>
    <xf numFmtId="0" fontId="0" fillId="0" borderId="0" xfId="0" applyFill="1"/>
    <xf numFmtId="0" fontId="6" fillId="0" borderId="66" xfId="10" applyFont="1" applyFill="1" applyBorder="1" applyProtection="1"/>
    <xf numFmtId="0" fontId="6" fillId="0" borderId="0" xfId="10" applyFont="1" applyFill="1" applyProtection="1"/>
    <xf numFmtId="0" fontId="98" fillId="0" borderId="0" xfId="11" applyFont="1" applyFill="1"/>
    <xf numFmtId="3" fontId="50" fillId="0" borderId="0" xfId="10" applyNumberFormat="1" applyFont="1" applyFill="1" applyAlignment="1" applyProtection="1">
      <alignment horizontal="center"/>
    </xf>
    <xf numFmtId="0" fontId="0" fillId="0" borderId="0" xfId="0" applyFill="1" applyBorder="1" applyAlignment="1">
      <alignment vertical="top"/>
    </xf>
    <xf numFmtId="0" fontId="0" fillId="0" borderId="0" xfId="0" applyFill="1" applyBorder="1"/>
    <xf numFmtId="0" fontId="50" fillId="0" borderId="0" xfId="10" applyFont="1" applyFill="1" applyProtection="1"/>
    <xf numFmtId="0" fontId="97" fillId="0" borderId="66" xfId="10" applyFont="1" applyFill="1" applyBorder="1" applyProtection="1"/>
    <xf numFmtId="0" fontId="120" fillId="2" borderId="0" xfId="11" applyFont="1" applyFill="1"/>
    <xf numFmtId="3" fontId="123" fillId="2" borderId="0" xfId="0" applyNumberFormat="1" applyFont="1" applyFill="1" applyBorder="1" applyAlignment="1" applyProtection="1">
      <alignment horizontal="right"/>
    </xf>
    <xf numFmtId="3" fontId="123" fillId="5" borderId="0" xfId="0" applyNumberFormat="1" applyFont="1" applyFill="1" applyBorder="1" applyAlignment="1" applyProtection="1">
      <alignment horizontal="right"/>
    </xf>
    <xf numFmtId="3" fontId="123" fillId="4" borderId="0" xfId="0" applyNumberFormat="1" applyFont="1" applyFill="1" applyBorder="1" applyAlignment="1" applyProtection="1">
      <alignment horizontal="right"/>
    </xf>
    <xf numFmtId="3" fontId="123" fillId="6" borderId="0" xfId="0" applyNumberFormat="1" applyFont="1" applyFill="1" applyBorder="1" applyAlignment="1" applyProtection="1">
      <alignment horizontal="right"/>
    </xf>
    <xf numFmtId="0" fontId="124" fillId="0" borderId="0" xfId="0" applyFont="1" applyFill="1" applyBorder="1" applyProtection="1"/>
    <xf numFmtId="1" fontId="22" fillId="0" borderId="0" xfId="0" applyNumberFormat="1" applyFont="1" applyAlignment="1">
      <alignment horizontal="right"/>
    </xf>
    <xf numFmtId="0" fontId="10" fillId="0" borderId="0" xfId="0" applyFont="1" applyFill="1" applyAlignment="1">
      <alignment horizontal="left"/>
    </xf>
    <xf numFmtId="0" fontId="22" fillId="0" borderId="0" xfId="0" applyFont="1" applyFill="1" applyAlignment="1">
      <alignment horizontal="right"/>
    </xf>
    <xf numFmtId="0" fontId="25" fillId="0" borderId="0" xfId="0" applyFont="1" applyFill="1"/>
    <xf numFmtId="1" fontId="22" fillId="0" borderId="0" xfId="0" applyNumberFormat="1" applyFont="1" applyFill="1" applyAlignment="1">
      <alignment horizontal="right"/>
    </xf>
    <xf numFmtId="3" fontId="10" fillId="0" borderId="0" xfId="0" quotePrefix="1" applyNumberFormat="1" applyFont="1" applyFill="1"/>
    <xf numFmtId="49" fontId="4" fillId="23" borderId="126" xfId="0" applyNumberFormat="1" applyFont="1" applyFill="1" applyBorder="1" applyAlignment="1" applyProtection="1">
      <alignment horizontal="center"/>
    </xf>
    <xf numFmtId="0" fontId="6" fillId="23" borderId="13" xfId="0" applyFont="1" applyFill="1" applyBorder="1" applyProtection="1"/>
    <xf numFmtId="49" fontId="4" fillId="23" borderId="5" xfId="0" applyNumberFormat="1" applyFont="1" applyFill="1" applyBorder="1" applyAlignment="1" applyProtection="1">
      <alignment horizontal="center" wrapText="1"/>
    </xf>
    <xf numFmtId="49" fontId="4" fillId="23" borderId="83" xfId="0" applyNumberFormat="1" applyFont="1" applyFill="1" applyBorder="1" applyAlignment="1" applyProtection="1">
      <alignment horizontal="center" wrapText="1"/>
    </xf>
    <xf numFmtId="0" fontId="9" fillId="23" borderId="9" xfId="0" applyFont="1" applyFill="1" applyBorder="1" applyAlignment="1" applyProtection="1">
      <alignment horizontal="center" wrapText="1"/>
    </xf>
    <xf numFmtId="49" fontId="4" fillId="23" borderId="2" xfId="0" applyNumberFormat="1" applyFont="1" applyFill="1" applyBorder="1" applyAlignment="1" applyProtection="1">
      <alignment horizontal="center" wrapText="1"/>
    </xf>
    <xf numFmtId="0" fontId="9" fillId="23" borderId="5" xfId="0" applyFont="1" applyFill="1" applyBorder="1" applyAlignment="1" applyProtection="1">
      <alignment horizontal="center"/>
    </xf>
    <xf numFmtId="0" fontId="4" fillId="23" borderId="67" xfId="0" applyFont="1" applyFill="1" applyBorder="1" applyAlignment="1" applyProtection="1">
      <alignment horizontal="center"/>
    </xf>
    <xf numFmtId="3" fontId="4" fillId="23" borderId="127" xfId="0" applyNumberFormat="1" applyFont="1" applyFill="1" applyBorder="1" applyAlignment="1" applyProtection="1"/>
    <xf numFmtId="0" fontId="4" fillId="23" borderId="23" xfId="0" applyFont="1" applyFill="1" applyBorder="1" applyAlignment="1" applyProtection="1">
      <alignment horizontal="center"/>
    </xf>
    <xf numFmtId="0" fontId="4" fillId="23" borderId="9" xfId="0" applyFont="1" applyFill="1" applyBorder="1" applyAlignment="1" applyProtection="1">
      <alignment horizontal="center"/>
    </xf>
    <xf numFmtId="0" fontId="4" fillId="23" borderId="128" xfId="0" applyFont="1" applyFill="1" applyBorder="1" applyAlignment="1" applyProtection="1">
      <alignment horizontal="center"/>
    </xf>
    <xf numFmtId="0" fontId="9" fillId="23" borderId="13" xfId="0" applyFont="1" applyFill="1" applyBorder="1" applyAlignment="1" applyProtection="1">
      <alignment horizontal="center"/>
    </xf>
    <xf numFmtId="0" fontId="4" fillId="23" borderId="22" xfId="0" applyFont="1" applyFill="1" applyBorder="1" applyAlignment="1" applyProtection="1">
      <alignment horizontal="center"/>
    </xf>
    <xf numFmtId="0" fontId="9" fillId="23" borderId="5" xfId="0" applyFont="1" applyFill="1" applyBorder="1" applyAlignment="1" applyProtection="1">
      <alignment wrapText="1"/>
    </xf>
    <xf numFmtId="0" fontId="4" fillId="23" borderId="21" xfId="0" applyFont="1" applyFill="1" applyBorder="1" applyAlignment="1" applyProtection="1">
      <alignment horizontal="center"/>
    </xf>
    <xf numFmtId="0" fontId="4" fillId="23" borderId="2" xfId="0" applyFont="1" applyFill="1" applyBorder="1" applyProtection="1"/>
    <xf numFmtId="0" fontId="4" fillId="23" borderId="129" xfId="0" applyFont="1" applyFill="1" applyBorder="1" applyAlignment="1" applyProtection="1">
      <alignment horizontal="center"/>
    </xf>
    <xf numFmtId="1" fontId="4" fillId="23" borderId="15" xfId="0" applyNumberFormat="1" applyFont="1" applyFill="1" applyBorder="1" applyAlignment="1" applyProtection="1">
      <alignment horizontal="center"/>
    </xf>
    <xf numFmtId="0" fontId="4" fillId="23" borderId="15" xfId="0" applyFont="1" applyFill="1" applyBorder="1" applyProtection="1"/>
    <xf numFmtId="1" fontId="4" fillId="23" borderId="5" xfId="0" applyNumberFormat="1" applyFont="1" applyFill="1" applyBorder="1" applyAlignment="1" applyProtection="1">
      <alignment horizontal="center"/>
    </xf>
    <xf numFmtId="0" fontId="4" fillId="23" borderId="5" xfId="0" applyFont="1" applyFill="1" applyBorder="1" applyProtection="1"/>
    <xf numFmtId="0" fontId="4" fillId="23" borderId="49" xfId="0" applyFont="1" applyFill="1" applyBorder="1" applyAlignment="1" applyProtection="1">
      <alignment horizontal="center"/>
    </xf>
    <xf numFmtId="1" fontId="4" fillId="23" borderId="2" xfId="0" applyNumberFormat="1" applyFont="1" applyFill="1" applyBorder="1" applyAlignment="1" applyProtection="1">
      <alignment horizontal="center"/>
    </xf>
    <xf numFmtId="0" fontId="4" fillId="23" borderId="24" xfId="0" applyFont="1" applyFill="1" applyBorder="1" applyAlignment="1" applyProtection="1">
      <alignment horizontal="center"/>
    </xf>
    <xf numFmtId="1" fontId="6" fillId="23" borderId="13" xfId="0" applyNumberFormat="1" applyFont="1" applyFill="1" applyBorder="1" applyAlignment="1" applyProtection="1">
      <alignment horizontal="center"/>
    </xf>
    <xf numFmtId="0" fontId="9" fillId="23" borderId="130" xfId="0" applyFont="1" applyFill="1" applyBorder="1" applyAlignment="1" applyProtection="1">
      <alignment horizontal="center"/>
    </xf>
    <xf numFmtId="1" fontId="9" fillId="23" borderId="2" xfId="0" applyNumberFormat="1" applyFont="1" applyFill="1" applyBorder="1" applyAlignment="1" applyProtection="1">
      <alignment horizontal="center"/>
    </xf>
    <xf numFmtId="0" fontId="9" fillId="23" borderId="2" xfId="0" applyFont="1" applyFill="1" applyBorder="1" applyProtection="1"/>
    <xf numFmtId="1" fontId="17" fillId="23" borderId="13" xfId="0" applyNumberFormat="1" applyFont="1" applyFill="1" applyBorder="1" applyAlignment="1" applyProtection="1">
      <alignment horizontal="center"/>
    </xf>
    <xf numFmtId="0" fontId="17" fillId="23" borderId="13" xfId="0" applyFont="1" applyFill="1" applyBorder="1" applyProtection="1"/>
    <xf numFmtId="0" fontId="4" fillId="23" borderId="50" xfId="0" applyFont="1" applyFill="1" applyBorder="1" applyAlignment="1" applyProtection="1">
      <alignment horizontal="center"/>
    </xf>
    <xf numFmtId="1" fontId="6" fillId="23" borderId="25" xfId="0" applyNumberFormat="1" applyFont="1" applyFill="1" applyBorder="1" applyAlignment="1" applyProtection="1">
      <alignment horizontal="center"/>
    </xf>
    <xf numFmtId="0" fontId="6" fillId="23" borderId="25" xfId="0" applyFont="1" applyFill="1" applyBorder="1" applyProtection="1"/>
    <xf numFmtId="0" fontId="4" fillId="23" borderId="130" xfId="0" applyFont="1" applyFill="1" applyBorder="1" applyAlignment="1" applyProtection="1">
      <alignment horizontal="center"/>
    </xf>
    <xf numFmtId="0" fontId="4" fillId="23" borderId="25" xfId="0" applyFont="1" applyFill="1" applyBorder="1" applyAlignment="1" applyProtection="1">
      <alignment horizontal="center"/>
    </xf>
    <xf numFmtId="0" fontId="4" fillId="23" borderId="25" xfId="0" applyFont="1" applyFill="1" applyBorder="1" applyProtection="1"/>
    <xf numFmtId="0" fontId="6" fillId="23" borderId="2" xfId="0" applyFont="1" applyFill="1" applyBorder="1" applyProtection="1"/>
    <xf numFmtId="49" fontId="4" fillId="23" borderId="128" xfId="0" applyNumberFormat="1" applyFont="1" applyFill="1" applyBorder="1" applyAlignment="1" applyProtection="1">
      <alignment horizontal="center"/>
    </xf>
    <xf numFmtId="0" fontId="4" fillId="23" borderId="105" xfId="0" applyFont="1" applyFill="1" applyBorder="1" applyAlignment="1" applyProtection="1">
      <alignment horizontal="center"/>
    </xf>
    <xf numFmtId="0" fontId="4" fillId="23" borderId="131" xfId="0" applyFont="1" applyFill="1" applyBorder="1" applyAlignment="1" applyProtection="1">
      <alignment horizontal="center"/>
    </xf>
    <xf numFmtId="1" fontId="4" fillId="23" borderId="132" xfId="0" applyNumberFormat="1" applyFont="1" applyFill="1" applyBorder="1" applyAlignment="1" applyProtection="1">
      <alignment horizontal="left"/>
    </xf>
    <xf numFmtId="49" fontId="4" fillId="23" borderId="133" xfId="0" applyNumberFormat="1" applyFont="1" applyFill="1" applyBorder="1" applyAlignment="1" applyProtection="1">
      <alignment horizontal="center"/>
    </xf>
    <xf numFmtId="0" fontId="72" fillId="23" borderId="80" xfId="0" applyFont="1" applyFill="1" applyBorder="1" applyAlignment="1" applyProtection="1">
      <alignment horizontal="center"/>
    </xf>
    <xf numFmtId="49" fontId="4" fillId="23" borderId="21" xfId="0" applyNumberFormat="1" applyFont="1" applyFill="1" applyBorder="1" applyAlignment="1" applyProtection="1">
      <alignment horizontal="center"/>
    </xf>
    <xf numFmtId="49" fontId="19" fillId="23" borderId="8" xfId="0" applyNumberFormat="1" applyFont="1" applyFill="1" applyBorder="1" applyAlignment="1" applyProtection="1">
      <alignment horizontal="left"/>
    </xf>
    <xf numFmtId="49" fontId="4" fillId="23" borderId="22" xfId="0" applyNumberFormat="1" applyFont="1" applyFill="1" applyBorder="1" applyAlignment="1" applyProtection="1">
      <alignment horizontal="center"/>
    </xf>
    <xf numFmtId="49" fontId="4" fillId="23" borderId="129" xfId="0" applyNumberFormat="1" applyFont="1" applyFill="1" applyBorder="1" applyAlignment="1" applyProtection="1">
      <alignment horizontal="center"/>
    </xf>
    <xf numFmtId="49" fontId="4" fillId="23" borderId="24" xfId="0" applyNumberFormat="1" applyFont="1" applyFill="1" applyBorder="1" applyAlignment="1" applyProtection="1">
      <alignment horizontal="center"/>
    </xf>
    <xf numFmtId="49" fontId="72" fillId="23" borderId="65" xfId="0" applyNumberFormat="1" applyFont="1" applyFill="1" applyBorder="1" applyAlignment="1" applyProtection="1">
      <alignment horizontal="center"/>
    </xf>
    <xf numFmtId="49" fontId="9" fillId="23" borderId="134" xfId="0" applyNumberFormat="1" applyFont="1" applyFill="1" applyBorder="1" applyAlignment="1" applyProtection="1">
      <alignment horizontal="center"/>
    </xf>
    <xf numFmtId="0" fontId="17" fillId="23" borderId="135" xfId="0" applyFont="1" applyFill="1" applyBorder="1" applyAlignment="1" applyProtection="1">
      <alignment wrapText="1"/>
    </xf>
    <xf numFmtId="0" fontId="4" fillId="23" borderId="2" xfId="0" applyFont="1" applyFill="1" applyBorder="1" applyAlignment="1" applyProtection="1">
      <alignment wrapText="1"/>
    </xf>
    <xf numFmtId="49" fontId="4" fillId="23" borderId="130" xfId="0" applyNumberFormat="1" applyFont="1" applyFill="1" applyBorder="1" applyAlignment="1" applyProtection="1">
      <alignment horizontal="center"/>
    </xf>
    <xf numFmtId="0" fontId="6" fillId="23" borderId="41" xfId="0" applyFont="1" applyFill="1" applyBorder="1" applyProtection="1"/>
    <xf numFmtId="49" fontId="9" fillId="23" borderId="124" xfId="0" applyNumberFormat="1" applyFont="1" applyFill="1" applyBorder="1" applyAlignment="1" applyProtection="1">
      <alignment horizontal="center"/>
    </xf>
    <xf numFmtId="0" fontId="17" fillId="23" borderId="41" xfId="0" applyFont="1" applyFill="1" applyBorder="1" applyProtection="1"/>
    <xf numFmtId="0" fontId="6" fillId="23" borderId="2" xfId="0" applyFont="1" applyFill="1" applyBorder="1" applyAlignment="1" applyProtection="1">
      <alignment wrapText="1"/>
    </xf>
    <xf numFmtId="49" fontId="9" fillId="23" borderId="22" xfId="0" applyNumberFormat="1" applyFont="1" applyFill="1" applyBorder="1" applyAlignment="1" applyProtection="1">
      <alignment horizontal="center"/>
    </xf>
    <xf numFmtId="0" fontId="4" fillId="23" borderId="5" xfId="0" applyFont="1" applyFill="1" applyBorder="1" applyAlignment="1" applyProtection="1">
      <alignment wrapText="1"/>
    </xf>
    <xf numFmtId="0" fontId="6" fillId="23" borderId="119" xfId="0" applyFont="1" applyFill="1" applyBorder="1" applyAlignment="1" applyProtection="1">
      <alignment horizontal="right"/>
    </xf>
    <xf numFmtId="0" fontId="4" fillId="23" borderId="97" xfId="0" applyFont="1" applyFill="1" applyBorder="1" applyAlignment="1" applyProtection="1">
      <alignment horizontal="left"/>
    </xf>
    <xf numFmtId="0" fontId="6" fillId="23" borderId="117" xfId="0" applyFont="1" applyFill="1" applyBorder="1" applyAlignment="1" applyProtection="1">
      <alignment horizontal="right"/>
    </xf>
    <xf numFmtId="0" fontId="4" fillId="23" borderId="126" xfId="0" applyFont="1" applyFill="1" applyBorder="1" applyAlignment="1" applyProtection="1">
      <alignment horizontal="left"/>
    </xf>
    <xf numFmtId="0" fontId="6" fillId="23" borderId="15" xfId="0" applyFont="1" applyFill="1" applyBorder="1" applyAlignment="1" applyProtection="1">
      <alignment horizontal="right"/>
    </xf>
    <xf numFmtId="0" fontId="6" fillId="23" borderId="2" xfId="0" applyFont="1" applyFill="1" applyBorder="1" applyAlignment="1" applyProtection="1">
      <alignment horizontal="left"/>
    </xf>
    <xf numFmtId="0" fontId="4" fillId="23" borderId="2" xfId="0" applyFont="1" applyFill="1" applyBorder="1" applyAlignment="1" applyProtection="1">
      <alignment horizontal="left"/>
    </xf>
    <xf numFmtId="0" fontId="6" fillId="23" borderId="13" xfId="0" applyFont="1" applyFill="1" applyBorder="1" applyAlignment="1" applyProtection="1">
      <alignment horizontal="left"/>
    </xf>
    <xf numFmtId="49" fontId="4" fillId="23" borderId="23" xfId="0" applyNumberFormat="1" applyFont="1" applyFill="1" applyBorder="1" applyAlignment="1" applyProtection="1">
      <alignment horizontal="center"/>
    </xf>
    <xf numFmtId="0" fontId="4" fillId="23" borderId="9" xfId="0" applyFont="1" applyFill="1" applyBorder="1" applyAlignment="1" applyProtection="1">
      <alignment horizontal="left"/>
    </xf>
    <xf numFmtId="0" fontId="4" fillId="23" borderId="5" xfId="0" applyFont="1" applyFill="1" applyBorder="1" applyAlignment="1" applyProtection="1">
      <alignment horizontal="left"/>
    </xf>
    <xf numFmtId="0" fontId="6" fillId="23" borderId="15" xfId="0" applyFont="1" applyFill="1" applyBorder="1" applyAlignment="1" applyProtection="1">
      <alignment horizontal="left"/>
    </xf>
    <xf numFmtId="0" fontId="6" fillId="23" borderId="117" xfId="0" applyFont="1" applyFill="1" applyBorder="1" applyAlignment="1" applyProtection="1">
      <alignment horizontal="left"/>
    </xf>
    <xf numFmtId="0" fontId="6" fillId="23" borderId="120" xfId="0" applyFont="1" applyFill="1" applyBorder="1" applyAlignment="1" applyProtection="1">
      <alignment horizontal="left"/>
    </xf>
    <xf numFmtId="0" fontId="4" fillId="23" borderId="15" xfId="0" applyFont="1" applyFill="1" applyBorder="1" applyAlignment="1" applyProtection="1">
      <alignment horizontal="left"/>
    </xf>
    <xf numFmtId="0" fontId="4" fillId="23" borderId="56" xfId="0" applyFont="1" applyFill="1" applyBorder="1" applyAlignment="1" applyProtection="1">
      <alignment horizontal="left"/>
    </xf>
    <xf numFmtId="0" fontId="6" fillId="23" borderId="56" xfId="0" applyFont="1" applyFill="1" applyBorder="1" applyAlignment="1" applyProtection="1">
      <alignment horizontal="right"/>
    </xf>
    <xf numFmtId="0" fontId="4" fillId="23" borderId="53" xfId="0" applyFont="1" applyFill="1" applyBorder="1" applyAlignment="1" applyProtection="1">
      <alignment horizontal="left"/>
    </xf>
    <xf numFmtId="0" fontId="6" fillId="23" borderId="126" xfId="0" applyFont="1" applyFill="1" applyBorder="1" applyAlignment="1" applyProtection="1">
      <alignment horizontal="left" vertical="top"/>
    </xf>
    <xf numFmtId="0" fontId="6" fillId="23" borderId="56" xfId="0" applyFont="1" applyFill="1" applyBorder="1" applyAlignment="1" applyProtection="1">
      <alignment horizontal="left" vertical="top"/>
    </xf>
    <xf numFmtId="0" fontId="6" fillId="23" borderId="21" xfId="0" applyFont="1" applyFill="1" applyBorder="1" applyAlignment="1" applyProtection="1">
      <alignment horizontal="right"/>
    </xf>
    <xf numFmtId="0" fontId="6" fillId="23" borderId="52" xfId="0" applyFont="1" applyFill="1" applyBorder="1" applyAlignment="1" applyProtection="1">
      <alignment horizontal="right"/>
    </xf>
    <xf numFmtId="3" fontId="49" fillId="24" borderId="22" xfId="0" applyNumberFormat="1" applyFont="1" applyFill="1" applyBorder="1" applyProtection="1"/>
    <xf numFmtId="3" fontId="49" fillId="24" borderId="19" xfId="0" applyNumberFormat="1" applyFont="1" applyFill="1" applyBorder="1" applyProtection="1"/>
    <xf numFmtId="3" fontId="49" fillId="24" borderId="22" xfId="0" applyNumberFormat="1" applyFont="1" applyFill="1" applyBorder="1" applyAlignment="1" applyProtection="1">
      <alignment horizontal="right"/>
    </xf>
    <xf numFmtId="3" fontId="49" fillId="24" borderId="24" xfId="0" applyNumberFormat="1" applyFont="1" applyFill="1" applyBorder="1" applyProtection="1"/>
    <xf numFmtId="3" fontId="49" fillId="24" borderId="23" xfId="0" applyNumberFormat="1" applyFont="1" applyFill="1" applyBorder="1" applyProtection="1"/>
    <xf numFmtId="3" fontId="49" fillId="24" borderId="40" xfId="0" applyNumberFormat="1" applyFont="1" applyFill="1" applyBorder="1" applyProtection="1"/>
    <xf numFmtId="3" fontId="49" fillId="24" borderId="52" xfId="0" applyNumberFormat="1" applyFont="1" applyFill="1" applyBorder="1" applyProtection="1"/>
    <xf numFmtId="3" fontId="49" fillId="24" borderId="51" xfId="0" applyNumberFormat="1" applyFont="1" applyFill="1" applyBorder="1" applyProtection="1"/>
    <xf numFmtId="3" fontId="49" fillId="25" borderId="22" xfId="0" applyNumberFormat="1" applyFont="1" applyFill="1" applyBorder="1" applyProtection="1"/>
    <xf numFmtId="3" fontId="49" fillId="25" borderId="51" xfId="0" applyNumberFormat="1" applyFont="1" applyFill="1" applyBorder="1" applyProtection="1"/>
    <xf numFmtId="3" fontId="49" fillId="24" borderId="79" xfId="0" applyNumberFormat="1" applyFont="1" applyFill="1" applyBorder="1" applyProtection="1"/>
    <xf numFmtId="0" fontId="6" fillId="23" borderId="136" xfId="0" applyFont="1" applyFill="1" applyBorder="1" applyAlignment="1" applyProtection="1">
      <alignment horizontal="center" vertical="center" wrapText="1"/>
    </xf>
    <xf numFmtId="3" fontId="49" fillId="24" borderId="137" xfId="0" applyNumberFormat="1" applyFont="1" applyFill="1" applyBorder="1" applyProtection="1"/>
    <xf numFmtId="3" fontId="49" fillId="25" borderId="138" xfId="0" applyNumberFormat="1" applyFont="1" applyFill="1" applyBorder="1" applyProtection="1"/>
    <xf numFmtId="3" fontId="49" fillId="25" borderId="139" xfId="0" applyNumberFormat="1" applyFont="1" applyFill="1" applyBorder="1" applyProtection="1"/>
    <xf numFmtId="3" fontId="49" fillId="25" borderId="121" xfId="0" applyNumberFormat="1" applyFont="1" applyFill="1" applyBorder="1" applyProtection="1"/>
    <xf numFmtId="3" fontId="49" fillId="24" borderId="140" xfId="0" applyNumberFormat="1" applyFont="1" applyFill="1" applyBorder="1" applyProtection="1"/>
    <xf numFmtId="0" fontId="6" fillId="23" borderId="36" xfId="0" applyFont="1" applyFill="1" applyBorder="1" applyProtection="1"/>
    <xf numFmtId="165" fontId="5" fillId="23" borderId="120" xfId="0" applyNumberFormat="1" applyFont="1" applyFill="1" applyBorder="1" applyProtection="1"/>
    <xf numFmtId="3" fontId="49" fillId="24" borderId="19" xfId="0" applyNumberFormat="1" applyFont="1" applyFill="1" applyBorder="1" applyAlignment="1" applyProtection="1">
      <alignment horizontal="right"/>
    </xf>
    <xf numFmtId="0" fontId="4" fillId="23" borderId="130" xfId="0" applyFont="1" applyFill="1" applyBorder="1" applyProtection="1"/>
    <xf numFmtId="165" fontId="7" fillId="23" borderId="52" xfId="0" applyNumberFormat="1" applyFont="1" applyFill="1" applyBorder="1" applyProtection="1"/>
    <xf numFmtId="0" fontId="4" fillId="23" borderId="49" xfId="0" applyFont="1" applyFill="1" applyBorder="1" applyProtection="1"/>
    <xf numFmtId="165" fontId="7" fillId="23" borderId="51" xfId="0" applyNumberFormat="1" applyFont="1" applyFill="1" applyBorder="1" applyProtection="1"/>
    <xf numFmtId="3" fontId="49" fillId="25" borderId="68" xfId="0" applyNumberFormat="1" applyFont="1" applyFill="1" applyBorder="1" applyProtection="1"/>
    <xf numFmtId="3" fontId="49" fillId="25" borderId="59" xfId="0" applyNumberFormat="1" applyFont="1" applyFill="1" applyBorder="1" applyProtection="1"/>
    <xf numFmtId="0" fontId="4" fillId="23" borderId="143" xfId="0" applyFont="1" applyFill="1" applyBorder="1" applyProtection="1"/>
    <xf numFmtId="3" fontId="49" fillId="24" borderId="24" xfId="0" applyNumberFormat="1" applyFont="1" applyFill="1" applyBorder="1" applyAlignment="1" applyProtection="1">
      <alignment horizontal="right"/>
    </xf>
    <xf numFmtId="3" fontId="49" fillId="25" borderId="84" xfId="0" applyNumberFormat="1" applyFont="1" applyFill="1" applyBorder="1" applyProtection="1"/>
    <xf numFmtId="49" fontId="4" fillId="23" borderId="36" xfId="0" applyNumberFormat="1" applyFont="1" applyFill="1" applyBorder="1" applyAlignment="1" applyProtection="1">
      <alignment horizontal="left"/>
    </xf>
    <xf numFmtId="0" fontId="6" fillId="23" borderId="117" xfId="0" applyFont="1" applyFill="1" applyBorder="1" applyAlignment="1" applyProtection="1"/>
    <xf numFmtId="49" fontId="4" fillId="23" borderId="57" xfId="0" applyNumberFormat="1" applyFont="1" applyFill="1" applyBorder="1" applyAlignment="1" applyProtection="1">
      <alignment horizontal="left"/>
    </xf>
    <xf numFmtId="0" fontId="28" fillId="23" borderId="15" xfId="0" applyFont="1" applyFill="1" applyBorder="1" applyProtection="1"/>
    <xf numFmtId="49" fontId="4" fillId="23" borderId="141" xfId="0" applyNumberFormat="1" applyFont="1" applyFill="1" applyBorder="1" applyAlignment="1" applyProtection="1">
      <alignment horizontal="left"/>
    </xf>
    <xf numFmtId="0" fontId="28" fillId="23" borderId="41" xfId="0" applyFont="1" applyFill="1" applyBorder="1" applyProtection="1"/>
    <xf numFmtId="49" fontId="4" fillId="23" borderId="126" xfId="0" applyNumberFormat="1" applyFont="1" applyFill="1" applyBorder="1" applyProtection="1"/>
    <xf numFmtId="164" fontId="4" fillId="23" borderId="15" xfId="0" applyNumberFormat="1" applyFont="1" applyFill="1" applyBorder="1" applyProtection="1"/>
    <xf numFmtId="0" fontId="27" fillId="23" borderId="144" xfId="0" applyFont="1" applyFill="1" applyBorder="1" applyProtection="1"/>
    <xf numFmtId="0" fontId="27" fillId="23" borderId="15" xfId="0" applyFont="1" applyFill="1" applyBorder="1" applyProtection="1"/>
    <xf numFmtId="0" fontId="6" fillId="23" borderId="2" xfId="0" applyNumberFormat="1" applyFont="1" applyFill="1" applyBorder="1" applyAlignment="1" applyProtection="1">
      <alignment horizontal="center"/>
    </xf>
    <xf numFmtId="0" fontId="17" fillId="23" borderId="2" xfId="0" applyFont="1" applyFill="1" applyBorder="1" applyProtection="1"/>
    <xf numFmtId="49" fontId="4" fillId="23" borderId="2" xfId="0" applyNumberFormat="1" applyFont="1" applyFill="1" applyBorder="1" applyAlignment="1" applyProtection="1">
      <alignment horizontal="center"/>
    </xf>
    <xf numFmtId="0" fontId="4" fillId="23" borderId="5" xfId="0" applyFont="1" applyFill="1" applyBorder="1" applyAlignment="1" applyProtection="1">
      <alignment horizontal="center"/>
    </xf>
    <xf numFmtId="49" fontId="9" fillId="23" borderId="2" xfId="0" applyNumberFormat="1" applyFont="1" applyFill="1" applyBorder="1" applyAlignment="1" applyProtection="1">
      <alignment horizontal="center"/>
    </xf>
    <xf numFmtId="0" fontId="27" fillId="23" borderId="117" xfId="0" applyFont="1" applyFill="1" applyBorder="1" applyProtection="1"/>
    <xf numFmtId="49" fontId="6" fillId="23" borderId="13" xfId="0" applyNumberFormat="1" applyFont="1" applyFill="1" applyBorder="1" applyAlignment="1" applyProtection="1">
      <alignment horizontal="center"/>
    </xf>
    <xf numFmtId="49" fontId="6" fillId="23" borderId="83" xfId="0" applyNumberFormat="1" applyFont="1" applyFill="1" applyBorder="1" applyAlignment="1" applyProtection="1">
      <alignment horizontal="center"/>
    </xf>
    <xf numFmtId="0" fontId="17" fillId="23" borderId="83" xfId="0" applyFont="1" applyFill="1" applyBorder="1" applyProtection="1"/>
    <xf numFmtId="3" fontId="6" fillId="23" borderId="94" xfId="0" applyNumberFormat="1" applyFont="1" applyFill="1" applyBorder="1" applyProtection="1"/>
    <xf numFmtId="3" fontId="6" fillId="23" borderId="87" xfId="0" applyNumberFormat="1" applyFont="1" applyFill="1" applyBorder="1" applyProtection="1"/>
    <xf numFmtId="165" fontId="29" fillId="23" borderId="55" xfId="0" applyNumberFormat="1" applyFont="1" applyFill="1" applyBorder="1" applyAlignment="1" applyProtection="1">
      <alignment horizontal="center"/>
    </xf>
    <xf numFmtId="165" fontId="29" fillId="23" borderId="59" xfId="0" applyNumberFormat="1" applyFont="1" applyFill="1" applyBorder="1" applyAlignment="1" applyProtection="1">
      <alignment horizontal="center"/>
    </xf>
    <xf numFmtId="165" fontId="30" fillId="23" borderId="146" xfId="0" applyNumberFormat="1" applyFont="1" applyFill="1" applyBorder="1" applyProtection="1"/>
    <xf numFmtId="165" fontId="30" fillId="23" borderId="89" xfId="0" applyNumberFormat="1" applyFont="1" applyFill="1" applyBorder="1" applyProtection="1"/>
    <xf numFmtId="165" fontId="7" fillId="23" borderId="147" xfId="0" applyNumberFormat="1" applyFont="1" applyFill="1" applyBorder="1" applyProtection="1"/>
    <xf numFmtId="165" fontId="7" fillId="23" borderId="148" xfId="0" applyNumberFormat="1" applyFont="1" applyFill="1" applyBorder="1" applyProtection="1"/>
    <xf numFmtId="165" fontId="7" fillId="23" borderId="53" xfId="0" applyNumberFormat="1" applyFont="1" applyFill="1" applyBorder="1" applyProtection="1"/>
    <xf numFmtId="165" fontId="7" fillId="23" borderId="18" xfId="0" applyNumberFormat="1" applyFont="1" applyFill="1" applyBorder="1" applyProtection="1"/>
    <xf numFmtId="0" fontId="8" fillId="23" borderId="19" xfId="0" applyFont="1" applyFill="1" applyBorder="1" applyProtection="1"/>
    <xf numFmtId="0" fontId="6" fillId="23" borderId="57" xfId="0" applyFont="1" applyFill="1" applyBorder="1" applyAlignment="1" applyProtection="1">
      <alignment horizontal="center"/>
    </xf>
    <xf numFmtId="0" fontId="6" fillId="23" borderId="56" xfId="0" applyFont="1" applyFill="1" applyBorder="1" applyAlignment="1" applyProtection="1"/>
    <xf numFmtId="0" fontId="6" fillId="23" borderId="141" xfId="0" applyFont="1" applyFill="1" applyBorder="1" applyAlignment="1" applyProtection="1">
      <alignment horizontal="right"/>
    </xf>
    <xf numFmtId="0" fontId="6" fillId="23" borderId="142" xfId="0" applyFont="1" applyFill="1" applyBorder="1" applyAlignment="1" applyProtection="1">
      <alignment horizontal="right"/>
    </xf>
    <xf numFmtId="3" fontId="3" fillId="25" borderId="57" xfId="0" applyNumberFormat="1" applyFont="1" applyFill="1" applyBorder="1" applyAlignment="1" applyProtection="1">
      <alignment horizontal="right"/>
    </xf>
    <xf numFmtId="3" fontId="3" fillId="25" borderId="56" xfId="0" applyNumberFormat="1" applyFont="1" applyFill="1" applyBorder="1" applyAlignment="1" applyProtection="1">
      <alignment horizontal="right"/>
    </xf>
    <xf numFmtId="3" fontId="3" fillId="25" borderId="57" xfId="0" applyNumberFormat="1" applyFont="1" applyFill="1" applyBorder="1" applyProtection="1"/>
    <xf numFmtId="3" fontId="3" fillId="25" borderId="56" xfId="0" applyNumberFormat="1" applyFont="1" applyFill="1" applyBorder="1" applyProtection="1"/>
    <xf numFmtId="3" fontId="3" fillId="24" borderId="57" xfId="0" applyNumberFormat="1" applyFont="1" applyFill="1" applyBorder="1" applyProtection="1"/>
    <xf numFmtId="3" fontId="3" fillId="24" borderId="56" xfId="0" applyNumberFormat="1" applyFont="1" applyFill="1" applyBorder="1" applyProtection="1"/>
    <xf numFmtId="3" fontId="49" fillId="25" borderId="57" xfId="0" applyNumberFormat="1" applyFont="1" applyFill="1" applyBorder="1" applyProtection="1"/>
    <xf numFmtId="3" fontId="49" fillId="25" borderId="56" xfId="0" applyNumberFormat="1" applyFont="1" applyFill="1" applyBorder="1" applyProtection="1"/>
    <xf numFmtId="3" fontId="49" fillId="24" borderId="57" xfId="0" applyNumberFormat="1" applyFont="1" applyFill="1" applyBorder="1" applyProtection="1"/>
    <xf numFmtId="3" fontId="49" fillId="24" borderId="56" xfId="0" applyNumberFormat="1" applyFont="1" applyFill="1" applyBorder="1" applyProtection="1"/>
    <xf numFmtId="0" fontId="114" fillId="23" borderId="57" xfId="0" applyFont="1" applyFill="1" applyBorder="1" applyProtection="1"/>
    <xf numFmtId="0" fontId="114" fillId="23" borderId="56" xfId="0" applyFont="1" applyFill="1" applyBorder="1" applyProtection="1"/>
    <xf numFmtId="49" fontId="9" fillId="23" borderId="131" xfId="0" applyNumberFormat="1" applyFont="1" applyFill="1" applyBorder="1" applyAlignment="1" applyProtection="1">
      <alignment horizontal="center"/>
    </xf>
    <xf numFmtId="49" fontId="9" fillId="23" borderId="132" xfId="0" applyNumberFormat="1" applyFont="1" applyFill="1" applyBorder="1" applyAlignment="1" applyProtection="1">
      <alignment horizontal="center"/>
    </xf>
    <xf numFmtId="49" fontId="9" fillId="23" borderId="132" xfId="0" applyNumberFormat="1" applyFont="1" applyFill="1" applyBorder="1" applyAlignment="1" applyProtection="1">
      <alignment horizontal="left"/>
    </xf>
    <xf numFmtId="49" fontId="9" fillId="23" borderId="34" xfId="0" applyNumberFormat="1" applyFont="1" applyFill="1" applyBorder="1" applyAlignment="1" applyProtection="1">
      <alignment horizontal="center"/>
    </xf>
    <xf numFmtId="49" fontId="9" fillId="23" borderId="35" xfId="0" applyNumberFormat="1" applyFont="1" applyFill="1" applyBorder="1" applyAlignment="1" applyProtection="1">
      <alignment horizontal="center"/>
    </xf>
    <xf numFmtId="49" fontId="9" fillId="23" borderId="35" xfId="0" applyNumberFormat="1" applyFont="1" applyFill="1" applyBorder="1" applyAlignment="1" applyProtection="1">
      <alignment horizontal="left"/>
    </xf>
    <xf numFmtId="49" fontId="9" fillId="23" borderId="7" xfId="0" applyNumberFormat="1" applyFont="1" applyFill="1" applyBorder="1" applyAlignment="1" applyProtection="1">
      <alignment horizontal="center"/>
    </xf>
    <xf numFmtId="49" fontId="9" fillId="23" borderId="5" xfId="0" applyNumberFormat="1" applyFont="1" applyFill="1" applyBorder="1" applyAlignment="1" applyProtection="1">
      <alignment horizontal="center"/>
    </xf>
    <xf numFmtId="49" fontId="9" fillId="23" borderId="149" xfId="0" applyNumberFormat="1" applyFont="1" applyFill="1" applyBorder="1" applyAlignment="1" applyProtection="1">
      <alignment horizontal="center"/>
    </xf>
    <xf numFmtId="49" fontId="9" fillId="23" borderId="41" xfId="0" applyNumberFormat="1" applyFont="1" applyFill="1" applyBorder="1" applyAlignment="1" applyProtection="1">
      <alignment horizontal="left"/>
    </xf>
    <xf numFmtId="165" fontId="7" fillId="23" borderId="9" xfId="0" applyNumberFormat="1" applyFont="1" applyFill="1" applyBorder="1" applyProtection="1"/>
    <xf numFmtId="3" fontId="10" fillId="26" borderId="20" xfId="0" applyNumberFormat="1" applyFont="1" applyFill="1" applyBorder="1" applyProtection="1"/>
    <xf numFmtId="3" fontId="3" fillId="23" borderId="18" xfId="0" applyNumberFormat="1" applyFont="1" applyFill="1" applyBorder="1" applyProtection="1"/>
    <xf numFmtId="49" fontId="4" fillId="23" borderId="5" xfId="0" applyNumberFormat="1" applyFont="1" applyFill="1" applyBorder="1" applyAlignment="1" applyProtection="1">
      <alignment horizontal="center"/>
    </xf>
    <xf numFmtId="165" fontId="4" fillId="23" borderId="2" xfId="0" applyNumberFormat="1" applyFont="1" applyFill="1" applyBorder="1" applyAlignment="1" applyProtection="1">
      <alignment horizontal="left"/>
    </xf>
    <xf numFmtId="49" fontId="6" fillId="23" borderId="25" xfId="0" applyNumberFormat="1" applyFont="1" applyFill="1" applyBorder="1" applyAlignment="1" applyProtection="1">
      <alignment horizontal="center"/>
    </xf>
    <xf numFmtId="0" fontId="4" fillId="23" borderId="2" xfId="0" applyFont="1" applyFill="1" applyBorder="1" applyAlignment="1" applyProtection="1">
      <alignment horizontal="center"/>
    </xf>
    <xf numFmtId="49" fontId="6" fillId="23" borderId="5" xfId="0" applyNumberFormat="1" applyFont="1" applyFill="1" applyBorder="1" applyAlignment="1" applyProtection="1">
      <alignment horizontal="center"/>
    </xf>
    <xf numFmtId="0" fontId="6" fillId="23" borderId="5" xfId="0" applyFont="1" applyFill="1" applyBorder="1" applyProtection="1"/>
    <xf numFmtId="3" fontId="9" fillId="23" borderId="145" xfId="0" applyNumberFormat="1" applyFont="1" applyFill="1" applyBorder="1" applyAlignment="1" applyProtection="1">
      <alignment horizontal="center"/>
    </xf>
    <xf numFmtId="3" fontId="6" fillId="23" borderId="150" xfId="0" applyNumberFormat="1" applyFont="1" applyFill="1" applyBorder="1" applyAlignment="1" applyProtection="1">
      <alignment horizontal="center"/>
    </xf>
    <xf numFmtId="3" fontId="6" fillId="23" borderId="150" xfId="0" applyNumberFormat="1" applyFont="1" applyFill="1" applyBorder="1" applyProtection="1"/>
    <xf numFmtId="3" fontId="3" fillId="24" borderId="18" xfId="0" applyNumberFormat="1" applyFont="1" applyFill="1" applyBorder="1" applyProtection="1"/>
    <xf numFmtId="3" fontId="3" fillId="24" borderId="59" xfId="0" applyNumberFormat="1" applyFont="1" applyFill="1" applyBorder="1" applyProtection="1"/>
    <xf numFmtId="3" fontId="3" fillId="24" borderId="19" xfId="0" applyNumberFormat="1" applyFont="1" applyFill="1" applyBorder="1" applyProtection="1"/>
    <xf numFmtId="3" fontId="6" fillId="23" borderId="141" xfId="0" applyNumberFormat="1" applyFont="1" applyFill="1" applyBorder="1" applyProtection="1"/>
    <xf numFmtId="3" fontId="6" fillId="23" borderId="142" xfId="0" applyNumberFormat="1" applyFont="1" applyFill="1" applyBorder="1" applyProtection="1"/>
    <xf numFmtId="3" fontId="3" fillId="23" borderId="57" xfId="0" applyNumberFormat="1" applyFont="1" applyFill="1" applyBorder="1" applyProtection="1"/>
    <xf numFmtId="3" fontId="3" fillId="23" borderId="56" xfId="0" applyNumberFormat="1" applyFont="1" applyFill="1" applyBorder="1" applyProtection="1"/>
    <xf numFmtId="3" fontId="49" fillId="24" borderId="49" xfId="0" applyNumberFormat="1" applyFont="1" applyFill="1" applyBorder="1" applyProtection="1"/>
    <xf numFmtId="3" fontId="49" fillId="23" borderId="57" xfId="0" applyNumberFormat="1" applyFont="1" applyFill="1" applyBorder="1" applyProtection="1"/>
    <xf numFmtId="3" fontId="49" fillId="23" borderId="56" xfId="0" applyNumberFormat="1" applyFont="1" applyFill="1" applyBorder="1" applyProtection="1"/>
    <xf numFmtId="3" fontId="49" fillId="23" borderId="59" xfId="0" applyNumberFormat="1" applyFont="1" applyFill="1" applyBorder="1" applyProtection="1"/>
    <xf numFmtId="3" fontId="49" fillId="23" borderId="130" xfId="0" applyNumberFormat="1" applyFont="1" applyFill="1" applyBorder="1" applyProtection="1"/>
    <xf numFmtId="3" fontId="49" fillId="24" borderId="50" xfId="0" applyNumberFormat="1" applyFont="1" applyFill="1" applyBorder="1" applyProtection="1"/>
    <xf numFmtId="3" fontId="49" fillId="24" borderId="26" xfId="0" applyNumberFormat="1" applyFont="1" applyFill="1" applyBorder="1" applyProtection="1"/>
    <xf numFmtId="3" fontId="3" fillId="24" borderId="87" xfId="0" applyNumberFormat="1" applyFont="1" applyFill="1" applyBorder="1" applyProtection="1"/>
    <xf numFmtId="3" fontId="6" fillId="23" borderId="136" xfId="0" applyNumberFormat="1" applyFont="1" applyFill="1" applyBorder="1" applyAlignment="1" applyProtection="1">
      <alignment horizontal="center" vertical="center" wrapText="1"/>
    </xf>
    <xf numFmtId="9" fontId="49" fillId="23" borderId="139" xfId="0" applyNumberFormat="1" applyFont="1" applyFill="1" applyBorder="1" applyProtection="1"/>
    <xf numFmtId="3" fontId="49" fillId="24" borderId="139" xfId="0" applyNumberFormat="1" applyFont="1" applyFill="1" applyBorder="1" applyProtection="1"/>
    <xf numFmtId="9" fontId="49" fillId="23" borderId="137" xfId="0" applyNumberFormat="1" applyFont="1" applyFill="1" applyBorder="1" applyProtection="1"/>
    <xf numFmtId="9" fontId="49" fillId="23" borderId="152" xfId="0" applyNumberFormat="1" applyFont="1" applyFill="1" applyBorder="1" applyProtection="1"/>
    <xf numFmtId="49" fontId="4" fillId="23" borderId="35" xfId="0" applyNumberFormat="1" applyFont="1" applyFill="1" applyBorder="1" applyAlignment="1" applyProtection="1">
      <alignment horizontal="left"/>
    </xf>
    <xf numFmtId="3" fontId="3" fillId="23" borderId="35" xfId="0" applyNumberFormat="1" applyFont="1" applyFill="1" applyBorder="1" applyProtection="1"/>
    <xf numFmtId="49" fontId="4" fillId="23" borderId="2" xfId="0" applyNumberFormat="1" applyFont="1" applyFill="1" applyBorder="1" applyAlignment="1" applyProtection="1">
      <alignment horizontal="left"/>
    </xf>
    <xf numFmtId="3" fontId="3" fillId="23" borderId="5" xfId="0" applyNumberFormat="1" applyFont="1" applyFill="1" applyBorder="1" applyProtection="1"/>
    <xf numFmtId="49" fontId="6" fillId="23" borderId="25" xfId="0" applyNumberFormat="1" applyFont="1" applyFill="1" applyBorder="1" applyAlignment="1" applyProtection="1">
      <alignment horizontal="left"/>
    </xf>
    <xf numFmtId="0" fontId="9" fillId="23" borderId="25" xfId="0" applyFont="1" applyFill="1" applyBorder="1" applyProtection="1"/>
    <xf numFmtId="3" fontId="3" fillId="23" borderId="25" xfId="0" applyNumberFormat="1" applyFont="1" applyFill="1" applyBorder="1" applyProtection="1"/>
    <xf numFmtId="0" fontId="4" fillId="23" borderId="126" xfId="0" applyFont="1" applyFill="1" applyBorder="1" applyAlignment="1" applyProtection="1">
      <alignment horizontal="left" vertical="top"/>
    </xf>
    <xf numFmtId="0" fontId="4" fillId="23" borderId="15" xfId="0" applyFont="1" applyFill="1" applyBorder="1" applyAlignment="1" applyProtection="1">
      <alignment horizontal="right"/>
    </xf>
    <xf numFmtId="0" fontId="6" fillId="23" borderId="153" xfId="0" applyFont="1" applyFill="1" applyBorder="1" applyAlignment="1" applyProtection="1">
      <alignment horizontal="right"/>
    </xf>
    <xf numFmtId="0" fontId="6" fillId="23" borderId="115" xfId="0" applyFont="1" applyFill="1" applyBorder="1" applyAlignment="1" applyProtection="1">
      <alignment horizontal="left"/>
    </xf>
    <xf numFmtId="0" fontId="6" fillId="23" borderId="88" xfId="0" applyFont="1" applyFill="1" applyBorder="1" applyAlignment="1" applyProtection="1">
      <alignment horizontal="right"/>
    </xf>
    <xf numFmtId="0" fontId="4" fillId="23" borderId="13" xfId="0" applyFont="1" applyFill="1" applyBorder="1" applyAlignment="1" applyProtection="1">
      <alignment horizontal="center"/>
    </xf>
    <xf numFmtId="0" fontId="9" fillId="23" borderId="21" xfId="0" applyFont="1" applyFill="1" applyBorder="1" applyAlignment="1" applyProtection="1">
      <alignment horizontal="center"/>
    </xf>
    <xf numFmtId="0" fontId="9" fillId="23" borderId="9" xfId="0" applyFont="1" applyFill="1" applyBorder="1" applyAlignment="1" applyProtection="1">
      <alignment horizontal="center"/>
    </xf>
    <xf numFmtId="0" fontId="9" fillId="23" borderId="81" xfId="0" applyFont="1" applyFill="1" applyBorder="1" applyAlignment="1" applyProtection="1">
      <alignment horizontal="left"/>
    </xf>
    <xf numFmtId="0" fontId="9" fillId="23" borderId="22" xfId="0" applyFont="1" applyFill="1" applyBorder="1" applyAlignment="1" applyProtection="1">
      <alignment horizontal="center"/>
    </xf>
    <xf numFmtId="0" fontId="9" fillId="23" borderId="24" xfId="0" applyFont="1" applyFill="1" applyBorder="1" applyAlignment="1" applyProtection="1">
      <alignment horizontal="center"/>
    </xf>
    <xf numFmtId="0" fontId="17" fillId="23" borderId="65" xfId="0" applyFont="1" applyFill="1" applyBorder="1" applyAlignment="1" applyProtection="1">
      <alignment horizontal="left"/>
    </xf>
    <xf numFmtId="0" fontId="4" fillId="23" borderId="81" xfId="0" applyFont="1" applyFill="1" applyBorder="1" applyAlignment="1" applyProtection="1">
      <alignment horizontal="left"/>
    </xf>
    <xf numFmtId="0" fontId="6" fillId="23" borderId="154" xfId="0" applyFont="1" applyFill="1" applyBorder="1" applyAlignment="1" applyProtection="1">
      <alignment horizontal="left"/>
    </xf>
    <xf numFmtId="0" fontId="6" fillId="23" borderId="120" xfId="0" applyFont="1" applyFill="1" applyBorder="1" applyAlignment="1" applyProtection="1">
      <alignment horizontal="center"/>
    </xf>
    <xf numFmtId="0" fontId="6" fillId="23" borderId="56" xfId="0" applyFont="1" applyFill="1" applyBorder="1" applyAlignment="1" applyProtection="1">
      <alignment horizontal="center"/>
    </xf>
    <xf numFmtId="0" fontId="6" fillId="23" borderId="117" xfId="0" applyFont="1" applyFill="1" applyBorder="1" applyAlignment="1" applyProtection="1">
      <alignment horizontal="center"/>
    </xf>
    <xf numFmtId="0" fontId="6" fillId="23" borderId="87" xfId="0" applyFont="1" applyFill="1" applyBorder="1" applyAlignment="1" applyProtection="1">
      <alignment horizontal="center"/>
    </xf>
    <xf numFmtId="0" fontId="6" fillId="23" borderId="15" xfId="0" applyFont="1" applyFill="1" applyBorder="1" applyAlignment="1" applyProtection="1">
      <alignment horizontal="center"/>
    </xf>
    <xf numFmtId="0" fontId="6" fillId="23" borderId="59" xfId="0" applyFont="1" applyFill="1" applyBorder="1" applyAlignment="1" applyProtection="1">
      <alignment horizontal="center"/>
    </xf>
    <xf numFmtId="0" fontId="6" fillId="23" borderId="41" xfId="0" applyFont="1" applyFill="1" applyBorder="1" applyAlignment="1" applyProtection="1">
      <alignment horizontal="right"/>
    </xf>
    <xf numFmtId="0" fontId="6" fillId="23" borderId="41" xfId="0" applyFont="1" applyFill="1" applyBorder="1" applyAlignment="1" applyProtection="1">
      <alignment horizontal="center"/>
    </xf>
    <xf numFmtId="0" fontId="6" fillId="23" borderId="89" xfId="0" applyFont="1" applyFill="1" applyBorder="1" applyAlignment="1" applyProtection="1">
      <alignment horizontal="center"/>
    </xf>
    <xf numFmtId="9" fontId="4" fillId="23" borderId="155" xfId="0" applyNumberFormat="1" applyFont="1" applyFill="1" applyBorder="1" applyAlignment="1" applyProtection="1">
      <alignment horizontal="right"/>
    </xf>
    <xf numFmtId="0" fontId="4" fillId="23" borderId="2" xfId="0" applyFont="1" applyFill="1" applyBorder="1" applyAlignment="1" applyProtection="1">
      <alignment horizontal="right"/>
    </xf>
    <xf numFmtId="9" fontId="4" fillId="23" borderId="2" xfId="0" applyNumberFormat="1" applyFont="1" applyFill="1" applyBorder="1" applyAlignment="1" applyProtection="1">
      <alignment horizontal="right"/>
    </xf>
    <xf numFmtId="9" fontId="4" fillId="23" borderId="5" xfId="0" applyNumberFormat="1" applyFont="1" applyFill="1" applyBorder="1" applyAlignment="1" applyProtection="1">
      <alignment horizontal="right"/>
    </xf>
    <xf numFmtId="9" fontId="4" fillId="23" borderId="25" xfId="0" applyNumberFormat="1" applyFont="1" applyFill="1" applyBorder="1" applyAlignment="1" applyProtection="1">
      <alignment horizontal="right"/>
    </xf>
    <xf numFmtId="0" fontId="4" fillId="23" borderId="145" xfId="0" applyFont="1" applyFill="1" applyBorder="1" applyAlignment="1" applyProtection="1">
      <alignment horizontal="center"/>
    </xf>
    <xf numFmtId="0" fontId="6" fillId="23" borderId="117" xfId="0" applyFont="1" applyFill="1" applyBorder="1" applyProtection="1"/>
    <xf numFmtId="0" fontId="4" fillId="23" borderId="126" xfId="0" applyFont="1" applyFill="1" applyBorder="1" applyAlignment="1" applyProtection="1">
      <alignment vertical="top"/>
    </xf>
    <xf numFmtId="1" fontId="4" fillId="23" borderId="15" xfId="0" applyNumberFormat="1" applyFont="1" applyFill="1" applyBorder="1" applyAlignment="1" applyProtection="1">
      <alignment horizontal="left"/>
    </xf>
    <xf numFmtId="0" fontId="6" fillId="23" borderId="15" xfId="0" applyFont="1" applyFill="1" applyBorder="1" applyProtection="1"/>
    <xf numFmtId="0" fontId="9" fillId="23" borderId="1" xfId="0" applyFont="1" applyFill="1" applyBorder="1" applyProtection="1"/>
    <xf numFmtId="0" fontId="4" fillId="23" borderId="126" xfId="0" applyFont="1" applyFill="1" applyBorder="1" applyAlignment="1" applyProtection="1">
      <alignment horizontal="center"/>
    </xf>
    <xf numFmtId="0" fontId="4" fillId="23" borderId="9" xfId="0" applyFont="1" applyFill="1" applyBorder="1" applyProtection="1"/>
    <xf numFmtId="0" fontId="4" fillId="23" borderId="157" xfId="0" applyFont="1" applyFill="1" applyBorder="1" applyAlignment="1" applyProtection="1">
      <alignment horizontal="left" vertical="top"/>
    </xf>
    <xf numFmtId="0" fontId="6" fillId="23" borderId="158" xfId="0" applyFont="1" applyFill="1" applyBorder="1" applyAlignment="1" applyProtection="1">
      <alignment horizontal="center"/>
    </xf>
    <xf numFmtId="0" fontId="6" fillId="23" borderId="159" xfId="0" applyFont="1" applyFill="1" applyBorder="1" applyAlignment="1" applyProtection="1">
      <alignment horizontal="center"/>
    </xf>
    <xf numFmtId="49" fontId="9" fillId="23" borderId="14" xfId="0" applyNumberFormat="1" applyFont="1" applyFill="1" applyBorder="1" applyAlignment="1" applyProtection="1">
      <alignment horizontal="center"/>
    </xf>
    <xf numFmtId="49" fontId="9" fillId="23" borderId="9" xfId="0" applyNumberFormat="1" applyFont="1" applyFill="1" applyBorder="1" applyAlignment="1" applyProtection="1">
      <alignment horizontal="center"/>
    </xf>
    <xf numFmtId="1" fontId="9" fillId="23" borderId="132" xfId="0" applyNumberFormat="1" applyFont="1" applyFill="1" applyBorder="1" applyAlignment="1" applyProtection="1">
      <alignment horizontal="center"/>
    </xf>
    <xf numFmtId="1" fontId="9" fillId="23" borderId="132" xfId="0" applyNumberFormat="1" applyFont="1" applyFill="1" applyBorder="1" applyAlignment="1" applyProtection="1">
      <alignment horizontal="left"/>
    </xf>
    <xf numFmtId="49" fontId="9" fillId="23" borderId="160" xfId="0" applyNumberFormat="1" applyFont="1" applyFill="1" applyBorder="1" applyAlignment="1" applyProtection="1">
      <alignment horizontal="center"/>
    </xf>
    <xf numFmtId="0" fontId="17" fillId="23" borderId="117" xfId="0" applyFont="1" applyFill="1" applyBorder="1" applyAlignment="1" applyProtection="1">
      <alignment horizontal="left"/>
    </xf>
    <xf numFmtId="0" fontId="17" fillId="23" borderId="15" xfId="0" applyFont="1" applyFill="1" applyBorder="1" applyAlignment="1" applyProtection="1">
      <alignment horizontal="left"/>
    </xf>
    <xf numFmtId="0" fontId="6" fillId="23" borderId="41" xfId="0" applyFont="1" applyFill="1" applyBorder="1" applyAlignment="1" applyProtection="1">
      <alignment horizontal="left"/>
    </xf>
    <xf numFmtId="1" fontId="9" fillId="23" borderId="5" xfId="0" applyNumberFormat="1" applyFont="1" applyFill="1" applyBorder="1" applyAlignment="1" applyProtection="1">
      <alignment horizontal="center"/>
    </xf>
    <xf numFmtId="0" fontId="9" fillId="23" borderId="5" xfId="0" applyFont="1" applyFill="1" applyBorder="1" applyProtection="1"/>
    <xf numFmtId="165" fontId="17" fillId="23" borderId="59" xfId="0" applyNumberFormat="1" applyFont="1" applyFill="1" applyBorder="1" applyAlignment="1" applyProtection="1">
      <alignment horizontal="left"/>
    </xf>
    <xf numFmtId="165" fontId="17" fillId="23" borderId="87" xfId="0" applyNumberFormat="1" applyFont="1" applyFill="1" applyBorder="1" applyAlignment="1" applyProtection="1">
      <alignment horizontal="left"/>
    </xf>
    <xf numFmtId="165" fontId="23" fillId="23" borderId="89" xfId="0" applyNumberFormat="1" applyFont="1" applyFill="1" applyBorder="1" applyAlignment="1" applyProtection="1">
      <alignment horizontal="left"/>
    </xf>
    <xf numFmtId="0" fontId="17" fillId="23" borderId="115" xfId="0" applyFont="1" applyFill="1" applyBorder="1" applyProtection="1"/>
    <xf numFmtId="0" fontId="17" fillId="23" borderId="89" xfId="0" applyFont="1" applyFill="1" applyBorder="1" applyProtection="1"/>
    <xf numFmtId="165" fontId="5" fillId="23" borderId="59" xfId="0" applyNumberFormat="1" applyFont="1" applyFill="1" applyBorder="1" applyAlignment="1" applyProtection="1">
      <alignment horizontal="left"/>
    </xf>
    <xf numFmtId="165" fontId="23" fillId="23" borderId="89" xfId="0" applyNumberFormat="1" applyFont="1" applyFill="1" applyBorder="1" applyProtection="1"/>
    <xf numFmtId="1" fontId="4" fillId="23" borderId="153" xfId="0" applyNumberFormat="1" applyFont="1" applyFill="1" applyBorder="1" applyAlignment="1" applyProtection="1">
      <alignment horizontal="left"/>
    </xf>
    <xf numFmtId="0" fontId="13" fillId="23" borderId="115" xfId="0" applyFont="1" applyFill="1" applyBorder="1" applyAlignment="1" applyProtection="1">
      <alignment horizontal="left"/>
    </xf>
    <xf numFmtId="0" fontId="6" fillId="23" borderId="1" xfId="0" applyFont="1" applyFill="1" applyBorder="1" applyAlignment="1" applyProtection="1">
      <alignment horizontal="left"/>
    </xf>
    <xf numFmtId="165" fontId="6" fillId="23" borderId="89" xfId="0" applyNumberFormat="1" applyFont="1" applyFill="1" applyBorder="1" applyAlignment="1" applyProtection="1">
      <alignment horizontal="left"/>
    </xf>
    <xf numFmtId="1" fontId="17" fillId="23" borderId="25" xfId="0" applyNumberFormat="1" applyFont="1" applyFill="1" applyBorder="1" applyAlignment="1" applyProtection="1">
      <alignment horizontal="center"/>
    </xf>
    <xf numFmtId="1" fontId="4" fillId="23" borderId="83" xfId="0" applyNumberFormat="1" applyFont="1" applyFill="1" applyBorder="1" applyAlignment="1" applyProtection="1">
      <alignment horizontal="center"/>
    </xf>
    <xf numFmtId="0" fontId="4" fillId="23" borderId="97" xfId="0" applyFont="1" applyFill="1" applyBorder="1" applyAlignment="1" applyProtection="1">
      <alignment horizontal="left" vertical="top" wrapText="1"/>
    </xf>
    <xf numFmtId="0" fontId="67" fillId="23" borderId="119" xfId="0" applyFont="1" applyFill="1" applyBorder="1" applyProtection="1"/>
    <xf numFmtId="0" fontId="5" fillId="23" borderId="88" xfId="0" applyFont="1" applyFill="1" applyBorder="1" applyAlignment="1" applyProtection="1"/>
    <xf numFmtId="0" fontId="101" fillId="23" borderId="88" xfId="0" applyFont="1" applyFill="1" applyBorder="1" applyAlignment="1"/>
    <xf numFmtId="1" fontId="4" fillId="23" borderId="97" xfId="0" applyNumberFormat="1" applyFont="1" applyFill="1" applyBorder="1" applyAlignment="1" applyProtection="1">
      <alignment horizontal="left"/>
    </xf>
    <xf numFmtId="0" fontId="4" fillId="23" borderId="117" xfId="0" applyFont="1" applyFill="1" applyBorder="1" applyAlignment="1" applyProtection="1">
      <alignment horizontal="left"/>
    </xf>
    <xf numFmtId="3" fontId="4" fillId="23" borderId="162" xfId="0" applyNumberFormat="1" applyFont="1" applyFill="1" applyBorder="1" applyAlignment="1" applyProtection="1">
      <alignment horizontal="left"/>
    </xf>
    <xf numFmtId="3" fontId="4" fillId="23" borderId="163" xfId="0" applyNumberFormat="1" applyFont="1" applyFill="1" applyBorder="1" applyProtection="1"/>
    <xf numFmtId="1" fontId="4" fillId="23" borderId="126" xfId="0" applyNumberFormat="1" applyFont="1" applyFill="1" applyBorder="1" applyAlignment="1" applyProtection="1">
      <alignment horizontal="left"/>
    </xf>
    <xf numFmtId="3" fontId="4" fillId="23" borderId="15" xfId="0" applyNumberFormat="1" applyFont="1" applyFill="1" applyBorder="1" applyAlignment="1" applyProtection="1">
      <alignment horizontal="left"/>
    </xf>
    <xf numFmtId="0" fontId="4" fillId="23" borderId="0" xfId="0" applyFont="1" applyFill="1" applyBorder="1" applyProtection="1"/>
    <xf numFmtId="3" fontId="4" fillId="23" borderId="15" xfId="0" applyNumberFormat="1" applyFont="1" applyFill="1" applyBorder="1" applyProtection="1"/>
    <xf numFmtId="0" fontId="8" fillId="23" borderId="115" xfId="0" applyFont="1" applyFill="1" applyBorder="1" applyProtection="1"/>
    <xf numFmtId="0" fontId="4" fillId="23" borderId="1" xfId="0" applyFont="1" applyFill="1" applyBorder="1" applyProtection="1"/>
    <xf numFmtId="0" fontId="4" fillId="23" borderId="41" xfId="0" applyFont="1" applyFill="1" applyBorder="1" applyProtection="1"/>
    <xf numFmtId="49" fontId="4" fillId="23" borderId="134" xfId="0" applyNumberFormat="1" applyFont="1" applyFill="1" applyBorder="1" applyAlignment="1" applyProtection="1">
      <alignment horizontal="left"/>
    </xf>
    <xf numFmtId="168" fontId="4" fillId="23" borderId="35" xfId="0" applyNumberFormat="1" applyFont="1" applyFill="1" applyBorder="1" applyAlignment="1" applyProtection="1">
      <alignment horizontal="left"/>
    </xf>
    <xf numFmtId="49" fontId="9" fillId="23" borderId="133" xfId="0" applyNumberFormat="1" applyFont="1" applyFill="1" applyBorder="1" applyAlignment="1" applyProtection="1">
      <alignment horizontal="center"/>
    </xf>
    <xf numFmtId="49" fontId="4" fillId="23" borderId="124" xfId="0" applyNumberFormat="1" applyFont="1" applyFill="1" applyBorder="1" applyAlignment="1" applyProtection="1">
      <alignment horizontal="center"/>
    </xf>
    <xf numFmtId="3" fontId="3" fillId="23" borderId="35" xfId="0" applyNumberFormat="1" applyFont="1" applyFill="1" applyBorder="1" applyAlignment="1" applyProtection="1">
      <alignment horizontal="right"/>
    </xf>
    <xf numFmtId="0" fontId="6" fillId="23" borderId="69" xfId="0" applyFont="1" applyFill="1" applyBorder="1" applyProtection="1"/>
    <xf numFmtId="49" fontId="9" fillId="23" borderId="130" xfId="0" applyNumberFormat="1" applyFont="1" applyFill="1" applyBorder="1" applyAlignment="1" applyProtection="1">
      <alignment horizontal="center"/>
    </xf>
    <xf numFmtId="0" fontId="17" fillId="23" borderId="41" xfId="0" applyFont="1" applyFill="1" applyBorder="1" applyAlignment="1" applyProtection="1">
      <alignment horizontal="left"/>
    </xf>
    <xf numFmtId="0" fontId="6" fillId="23" borderId="2" xfId="0" applyFont="1" applyFill="1" applyBorder="1" applyAlignment="1" applyProtection="1">
      <alignment horizontal="left" wrapText="1"/>
    </xf>
    <xf numFmtId="0" fontId="9" fillId="23" borderId="2" xfId="0" applyFont="1" applyFill="1" applyBorder="1" applyAlignment="1" applyProtection="1">
      <alignment horizontal="left"/>
    </xf>
    <xf numFmtId="49" fontId="9" fillId="23" borderId="143" xfId="0" applyNumberFormat="1" applyFont="1" applyFill="1" applyBorder="1" applyAlignment="1" applyProtection="1">
      <alignment horizontal="center"/>
    </xf>
    <xf numFmtId="0" fontId="9" fillId="23" borderId="13" xfId="0" applyFont="1" applyFill="1" applyBorder="1" applyProtection="1"/>
    <xf numFmtId="49" fontId="9" fillId="23" borderId="99" xfId="0" applyNumberFormat="1" applyFont="1" applyFill="1" applyBorder="1" applyAlignment="1" applyProtection="1">
      <alignment horizontal="center"/>
    </xf>
    <xf numFmtId="1" fontId="4" fillId="23" borderId="23" xfId="0" applyNumberFormat="1" applyFont="1" applyFill="1" applyBorder="1" applyAlignment="1" applyProtection="1">
      <alignment horizontal="left" vertical="top" wrapText="1"/>
    </xf>
    <xf numFmtId="0" fontId="4" fillId="23" borderId="164" xfId="0" applyFont="1" applyFill="1" applyBorder="1" applyAlignment="1" applyProtection="1">
      <alignment vertical="top"/>
    </xf>
    <xf numFmtId="0" fontId="9" fillId="23" borderId="165" xfId="0" applyFont="1" applyFill="1" applyBorder="1" applyProtection="1"/>
    <xf numFmtId="0" fontId="12" fillId="23" borderId="126" xfId="0" applyFont="1" applyFill="1" applyBorder="1" applyProtection="1"/>
    <xf numFmtId="0" fontId="9" fillId="23" borderId="43" xfId="0" applyFont="1" applyFill="1" applyBorder="1" applyProtection="1"/>
    <xf numFmtId="0" fontId="0" fillId="23" borderId="126" xfId="0" applyFill="1" applyBorder="1" applyProtection="1"/>
    <xf numFmtId="0" fontId="13" fillId="27" borderId="115" xfId="0" applyFont="1" applyFill="1" applyBorder="1" applyProtection="1"/>
    <xf numFmtId="49" fontId="12" fillId="27" borderId="57" xfId="0" applyNumberFormat="1" applyFont="1" applyFill="1" applyBorder="1" applyProtection="1"/>
    <xf numFmtId="0" fontId="22" fillId="23" borderId="166" xfId="0" applyFont="1" applyFill="1" applyBorder="1" applyProtection="1"/>
    <xf numFmtId="49" fontId="14" fillId="23" borderId="126" xfId="0" applyNumberFormat="1" applyFont="1" applyFill="1" applyBorder="1" applyAlignment="1" applyProtection="1">
      <alignment horizontal="left"/>
    </xf>
    <xf numFmtId="0" fontId="17" fillId="23" borderId="167" xfId="0" applyFont="1" applyFill="1" applyBorder="1" applyAlignment="1" applyProtection="1">
      <alignment wrapText="1"/>
    </xf>
    <xf numFmtId="0" fontId="9" fillId="23" borderId="3" xfId="0" applyFont="1" applyFill="1" applyBorder="1" applyAlignment="1" applyProtection="1"/>
    <xf numFmtId="0" fontId="9" fillId="23" borderId="6" xfId="0" applyFont="1" applyFill="1" applyBorder="1" applyProtection="1"/>
    <xf numFmtId="0" fontId="17" fillId="23" borderId="116" xfId="0" applyFont="1" applyFill="1" applyBorder="1" applyProtection="1"/>
    <xf numFmtId="0" fontId="9" fillId="23" borderId="3" xfId="0" applyFont="1" applyFill="1" applyBorder="1" applyProtection="1"/>
    <xf numFmtId="0" fontId="17" fillId="23" borderId="95" xfId="0" applyFont="1" applyFill="1" applyBorder="1" applyProtection="1"/>
    <xf numFmtId="0" fontId="17" fillId="23" borderId="43" xfId="0" applyFont="1" applyFill="1" applyBorder="1" applyProtection="1"/>
    <xf numFmtId="0" fontId="9" fillId="23" borderId="71" xfId="0" applyFont="1" applyFill="1" applyBorder="1" applyProtection="1"/>
    <xf numFmtId="0" fontId="17" fillId="23" borderId="167" xfId="0" applyFont="1" applyFill="1" applyBorder="1" applyProtection="1"/>
    <xf numFmtId="0" fontId="6" fillId="23" borderId="167" xfId="0" applyFont="1" applyFill="1" applyBorder="1" applyAlignment="1" applyProtection="1">
      <alignment wrapText="1"/>
    </xf>
    <xf numFmtId="0" fontId="4" fillId="23" borderId="6" xfId="0" applyFont="1" applyFill="1" applyBorder="1" applyProtection="1"/>
    <xf numFmtId="0" fontId="17" fillId="23" borderId="93" xfId="0" applyFont="1" applyFill="1" applyBorder="1" applyProtection="1"/>
    <xf numFmtId="49" fontId="4" fillId="23" borderId="3" xfId="0" applyNumberFormat="1" applyFont="1" applyFill="1" applyBorder="1" applyAlignment="1" applyProtection="1">
      <alignment horizontal="left"/>
    </xf>
    <xf numFmtId="49" fontId="4" fillId="23" borderId="91" xfId="0" applyNumberFormat="1" applyFont="1" applyFill="1" applyBorder="1" applyAlignment="1" applyProtection="1">
      <alignment horizontal="left"/>
    </xf>
    <xf numFmtId="0" fontId="4" fillId="23" borderId="3" xfId="0" applyFont="1" applyFill="1" applyBorder="1" applyAlignment="1" applyProtection="1">
      <alignment wrapText="1"/>
    </xf>
    <xf numFmtId="0" fontId="17" fillId="23" borderId="93" xfId="0" applyFont="1" applyFill="1" applyBorder="1" applyAlignment="1" applyProtection="1"/>
    <xf numFmtId="0" fontId="4" fillId="23" borderId="3" xfId="0" applyFont="1" applyFill="1" applyBorder="1" applyProtection="1"/>
    <xf numFmtId="0" fontId="125" fillId="23" borderId="3" xfId="0" applyFont="1" applyFill="1" applyBorder="1" applyProtection="1"/>
    <xf numFmtId="0" fontId="9" fillId="23" borderId="10" xfId="0" applyFont="1" applyFill="1" applyBorder="1" applyProtection="1"/>
    <xf numFmtId="0" fontId="9" fillId="23" borderId="98" xfId="0" applyFont="1" applyFill="1" applyBorder="1" applyProtection="1"/>
    <xf numFmtId="3" fontId="4" fillId="23" borderId="127" xfId="0" applyNumberFormat="1" applyFont="1" applyFill="1" applyBorder="1" applyAlignment="1" applyProtection="1">
      <alignment horizontal="left" vertical="top" wrapText="1"/>
    </xf>
    <xf numFmtId="3" fontId="4" fillId="23" borderId="15" xfId="0" applyNumberFormat="1" applyFont="1" applyFill="1" applyBorder="1" applyAlignment="1" applyProtection="1">
      <alignment horizontal="left" vertical="top"/>
    </xf>
    <xf numFmtId="3" fontId="4" fillId="23" borderId="67" xfId="0" applyNumberFormat="1" applyFont="1" applyFill="1" applyBorder="1" applyAlignment="1" applyProtection="1">
      <alignment horizontal="left" vertical="top" wrapText="1"/>
    </xf>
    <xf numFmtId="3" fontId="4" fillId="23" borderId="16" xfId="0" applyNumberFormat="1" applyFont="1" applyFill="1" applyBorder="1" applyAlignment="1" applyProtection="1">
      <alignment horizontal="left" vertical="top" wrapText="1"/>
    </xf>
    <xf numFmtId="3" fontId="4" fillId="23" borderId="153" xfId="0" applyNumberFormat="1" applyFont="1" applyFill="1" applyBorder="1" applyProtection="1"/>
    <xf numFmtId="0" fontId="4" fillId="23" borderId="153" xfId="0" applyFont="1" applyFill="1" applyBorder="1" applyAlignment="1" applyProtection="1">
      <alignment horizontal="left" vertical="top" wrapText="1"/>
    </xf>
    <xf numFmtId="0" fontId="4" fillId="23" borderId="153" xfId="0" applyFont="1" applyFill="1" applyBorder="1" applyProtection="1"/>
    <xf numFmtId="3" fontId="9" fillId="23" borderId="16" xfId="0" applyNumberFormat="1" applyFont="1" applyFill="1" applyBorder="1" applyProtection="1"/>
    <xf numFmtId="0" fontId="9" fillId="23" borderId="149" xfId="0" applyFont="1" applyFill="1" applyBorder="1" applyProtection="1"/>
    <xf numFmtId="49" fontId="12" fillId="23" borderId="168" xfId="0" applyNumberFormat="1" applyFont="1" applyFill="1" applyBorder="1" applyProtection="1"/>
    <xf numFmtId="49" fontId="12" fillId="23" borderId="166" xfId="0" applyNumberFormat="1" applyFont="1" applyFill="1" applyBorder="1" applyProtection="1"/>
    <xf numFmtId="49" fontId="12" fillId="23" borderId="135" xfId="0" applyNumberFormat="1" applyFont="1" applyFill="1" applyBorder="1" applyProtection="1"/>
    <xf numFmtId="49" fontId="12" fillId="23" borderId="112" xfId="0" applyNumberFormat="1" applyFont="1" applyFill="1" applyBorder="1" applyProtection="1"/>
    <xf numFmtId="49" fontId="12" fillId="23" borderId="125" xfId="0" applyNumberFormat="1" applyFont="1" applyFill="1" applyBorder="1" applyProtection="1"/>
    <xf numFmtId="49" fontId="12" fillId="23" borderId="169" xfId="0" applyNumberFormat="1" applyFont="1" applyFill="1" applyBorder="1" applyProtection="1"/>
    <xf numFmtId="49" fontId="12" fillId="23" borderId="4" xfId="0" applyNumberFormat="1" applyFont="1" applyFill="1" applyBorder="1" applyProtection="1"/>
    <xf numFmtId="49" fontId="12" fillId="23" borderId="3" xfId="0" applyNumberFormat="1" applyFont="1" applyFill="1" applyBorder="1" applyProtection="1"/>
    <xf numFmtId="49" fontId="12" fillId="23" borderId="2" xfId="0" applyNumberFormat="1" applyFont="1" applyFill="1" applyBorder="1" applyProtection="1"/>
    <xf numFmtId="49" fontId="12" fillId="23" borderId="81" xfId="0" applyNumberFormat="1" applyFont="1" applyFill="1" applyBorder="1" applyProtection="1"/>
    <xf numFmtId="49" fontId="12" fillId="23" borderId="64" xfId="0" applyNumberFormat="1" applyFont="1" applyFill="1" applyBorder="1" applyProtection="1"/>
    <xf numFmtId="49" fontId="12" fillId="23" borderId="52" xfId="0" applyNumberFormat="1" applyFont="1" applyFill="1" applyBorder="1" applyProtection="1"/>
    <xf numFmtId="3" fontId="14" fillId="23" borderId="14" xfId="0" applyNumberFormat="1" applyFont="1" applyFill="1" applyBorder="1" applyAlignment="1" applyProtection="1">
      <alignment horizontal="right"/>
    </xf>
    <xf numFmtId="3" fontId="14" fillId="23" borderId="10" xfId="0" applyNumberFormat="1" applyFont="1" applyFill="1" applyBorder="1" applyAlignment="1" applyProtection="1">
      <alignment horizontal="right"/>
    </xf>
    <xf numFmtId="3" fontId="14" fillId="23" borderId="9" xfId="0" applyNumberFormat="1" applyFont="1" applyFill="1" applyBorder="1" applyAlignment="1" applyProtection="1">
      <alignment horizontal="right"/>
    </xf>
    <xf numFmtId="3" fontId="14" fillId="23" borderId="20" xfId="0" applyNumberFormat="1" applyFont="1" applyFill="1" applyBorder="1" applyAlignment="1" applyProtection="1">
      <alignment horizontal="right"/>
    </xf>
    <xf numFmtId="3" fontId="14" fillId="23" borderId="100" xfId="0" applyNumberFormat="1" applyFont="1" applyFill="1" applyBorder="1" applyAlignment="1" applyProtection="1">
      <alignment horizontal="right"/>
    </xf>
    <xf numFmtId="3" fontId="14" fillId="23" borderId="116" xfId="0" applyNumberFormat="1" applyFont="1" applyFill="1" applyBorder="1" applyAlignment="1" applyProtection="1">
      <alignment horizontal="right"/>
    </xf>
    <xf numFmtId="3" fontId="14" fillId="23" borderId="123" xfId="0" applyNumberFormat="1" applyFont="1" applyFill="1" applyBorder="1" applyAlignment="1" applyProtection="1">
      <alignment horizontal="right"/>
    </xf>
    <xf numFmtId="3" fontId="14" fillId="23" borderId="94" xfId="0" applyNumberFormat="1" applyFont="1" applyFill="1" applyBorder="1" applyAlignment="1" applyProtection="1">
      <alignment horizontal="right"/>
    </xf>
    <xf numFmtId="3" fontId="14" fillId="23" borderId="117" xfId="0" applyNumberFormat="1" applyFont="1" applyFill="1" applyBorder="1" applyAlignment="1" applyProtection="1">
      <alignment horizontal="right"/>
    </xf>
    <xf numFmtId="3" fontId="14" fillId="23" borderId="95" xfId="0" applyNumberFormat="1" applyFont="1" applyFill="1" applyBorder="1" applyAlignment="1" applyProtection="1">
      <alignment horizontal="right"/>
    </xf>
    <xf numFmtId="3" fontId="14" fillId="23" borderId="87" xfId="0" applyNumberFormat="1" applyFont="1" applyFill="1" applyBorder="1" applyAlignment="1" applyProtection="1">
      <alignment horizontal="right"/>
    </xf>
    <xf numFmtId="3" fontId="14" fillId="23" borderId="4" xfId="0" applyNumberFormat="1" applyFont="1" applyFill="1" applyBorder="1" applyAlignment="1" applyProtection="1">
      <alignment horizontal="right"/>
    </xf>
    <xf numFmtId="3" fontId="14" fillId="23" borderId="3" xfId="0" applyNumberFormat="1" applyFont="1" applyFill="1" applyBorder="1" applyAlignment="1" applyProtection="1">
      <alignment horizontal="right"/>
    </xf>
    <xf numFmtId="3" fontId="14" fillId="23" borderId="54" xfId="0" applyNumberFormat="1" applyFont="1" applyFill="1" applyBorder="1" applyAlignment="1" applyProtection="1">
      <alignment horizontal="right"/>
    </xf>
    <xf numFmtId="3" fontId="14" fillId="23" borderId="53" xfId="0" applyNumberFormat="1" applyFont="1" applyFill="1" applyBorder="1" applyAlignment="1" applyProtection="1">
      <alignment horizontal="right"/>
    </xf>
    <xf numFmtId="3" fontId="14" fillId="23" borderId="2" xfId="0" applyNumberFormat="1" applyFont="1" applyFill="1" applyBorder="1" applyAlignment="1" applyProtection="1">
      <alignment horizontal="right"/>
    </xf>
    <xf numFmtId="3" fontId="14" fillId="23" borderId="64" xfId="0" applyNumberFormat="1" applyFont="1" applyFill="1" applyBorder="1" applyAlignment="1" applyProtection="1">
      <alignment horizontal="right"/>
    </xf>
    <xf numFmtId="3" fontId="14" fillId="23" borderId="18" xfId="0" applyNumberFormat="1" applyFont="1" applyFill="1" applyBorder="1" applyAlignment="1" applyProtection="1">
      <alignment horizontal="right"/>
    </xf>
    <xf numFmtId="3" fontId="14" fillId="23" borderId="7" xfId="0" applyNumberFormat="1" applyFont="1" applyFill="1" applyBorder="1" applyAlignment="1" applyProtection="1">
      <alignment horizontal="right"/>
    </xf>
    <xf numFmtId="3" fontId="14" fillId="23" borderId="6" xfId="0" applyNumberFormat="1" applyFont="1" applyFill="1" applyBorder="1" applyAlignment="1" applyProtection="1">
      <alignment horizontal="right"/>
    </xf>
    <xf numFmtId="3" fontId="14" fillId="23" borderId="5" xfId="0" applyNumberFormat="1" applyFont="1" applyFill="1" applyBorder="1" applyAlignment="1" applyProtection="1">
      <alignment horizontal="right"/>
    </xf>
    <xf numFmtId="3" fontId="14" fillId="23" borderId="19" xfId="0" applyNumberFormat="1" applyFont="1" applyFill="1" applyBorder="1" applyAlignment="1" applyProtection="1">
      <alignment horizontal="right"/>
    </xf>
    <xf numFmtId="3" fontId="6" fillId="23" borderId="118" xfId="0" applyNumberFormat="1" applyFont="1" applyFill="1" applyBorder="1" applyAlignment="1" applyProtection="1">
      <alignment horizontal="left" vertical="top" wrapText="1"/>
    </xf>
    <xf numFmtId="3" fontId="6" fillId="23" borderId="159" xfId="0" applyNumberFormat="1" applyFont="1" applyFill="1" applyBorder="1" applyAlignment="1" applyProtection="1">
      <alignment vertical="top" wrapText="1"/>
    </xf>
    <xf numFmtId="3" fontId="9" fillId="23" borderId="126" xfId="0" applyNumberFormat="1" applyFont="1" applyFill="1" applyBorder="1" applyProtection="1"/>
    <xf numFmtId="0" fontId="9" fillId="23" borderId="0" xfId="0" applyFont="1" applyFill="1" applyBorder="1" applyProtection="1"/>
    <xf numFmtId="3" fontId="9" fillId="23" borderId="159" xfId="0" applyNumberFormat="1" applyFont="1" applyFill="1" applyBorder="1" applyProtection="1"/>
    <xf numFmtId="0" fontId="9" fillId="23" borderId="126" xfId="0" applyFont="1" applyFill="1" applyBorder="1" applyProtection="1"/>
    <xf numFmtId="0" fontId="9" fillId="23" borderId="115" xfId="0" applyFont="1" applyFill="1" applyBorder="1" applyProtection="1"/>
    <xf numFmtId="0" fontId="12" fillId="23" borderId="171" xfId="0" applyFont="1" applyFill="1" applyBorder="1" applyProtection="1"/>
    <xf numFmtId="49" fontId="12" fillId="23" borderId="134" xfId="0" applyNumberFormat="1" applyFont="1" applyFill="1" applyBorder="1" applyProtection="1"/>
    <xf numFmtId="49" fontId="12" fillId="23" borderId="172" xfId="0" applyNumberFormat="1" applyFont="1" applyFill="1" applyBorder="1" applyProtection="1"/>
    <xf numFmtId="49" fontId="12" fillId="23" borderId="21" xfId="0" applyNumberFormat="1" applyFont="1" applyFill="1" applyBorder="1" applyProtection="1"/>
    <xf numFmtId="49" fontId="12" fillId="23" borderId="107" xfId="0" applyNumberFormat="1" applyFont="1" applyFill="1" applyBorder="1" applyProtection="1"/>
    <xf numFmtId="3" fontId="14" fillId="23" borderId="23" xfId="0" applyNumberFormat="1" applyFont="1" applyFill="1" applyBorder="1" applyAlignment="1" applyProtection="1">
      <alignment horizontal="right"/>
    </xf>
    <xf numFmtId="3" fontId="14" fillId="23" borderId="97" xfId="0" applyNumberFormat="1" applyFont="1" applyFill="1" applyBorder="1" applyAlignment="1" applyProtection="1">
      <alignment horizontal="right"/>
    </xf>
    <xf numFmtId="3" fontId="14" fillId="23" borderId="21" xfId="0" applyNumberFormat="1" applyFont="1" applyFill="1" applyBorder="1" applyAlignment="1" applyProtection="1">
      <alignment horizontal="right"/>
    </xf>
    <xf numFmtId="3" fontId="14" fillId="23" borderId="22" xfId="0" applyNumberFormat="1" applyFont="1" applyFill="1" applyBorder="1" applyAlignment="1" applyProtection="1">
      <alignment horizontal="right"/>
    </xf>
    <xf numFmtId="3" fontId="4" fillId="23" borderId="129" xfId="0" applyNumberFormat="1" applyFont="1" applyFill="1" applyBorder="1" applyAlignment="1" applyProtection="1">
      <alignment horizontal="left" vertical="top" wrapText="1"/>
    </xf>
    <xf numFmtId="3" fontId="4" fillId="23" borderId="68" xfId="0" applyNumberFormat="1" applyFont="1" applyFill="1" applyBorder="1" applyAlignment="1" applyProtection="1">
      <alignment horizontal="left" vertical="top" wrapText="1"/>
    </xf>
    <xf numFmtId="3" fontId="6" fillId="23" borderId="118" xfId="0" applyNumberFormat="1" applyFont="1" applyFill="1" applyBorder="1" applyAlignment="1" applyProtection="1">
      <alignment horizontal="left" vertical="top"/>
    </xf>
    <xf numFmtId="3" fontId="6" fillId="23" borderId="159" xfId="0" applyNumberFormat="1" applyFont="1" applyFill="1" applyBorder="1" applyAlignment="1" applyProtection="1">
      <alignment horizontal="left" vertical="top" wrapText="1"/>
    </xf>
    <xf numFmtId="0" fontId="9" fillId="23" borderId="159" xfId="0" applyFont="1" applyFill="1" applyBorder="1" applyProtection="1"/>
    <xf numFmtId="0" fontId="9" fillId="23" borderId="171" xfId="0" applyFont="1" applyFill="1" applyBorder="1" applyProtection="1"/>
    <xf numFmtId="49" fontId="12" fillId="23" borderId="173" xfId="0" applyNumberFormat="1" applyFont="1" applyFill="1" applyBorder="1" applyProtection="1"/>
    <xf numFmtId="49" fontId="12" fillId="23" borderId="174" xfId="0" applyNumberFormat="1" applyFont="1" applyFill="1" applyBorder="1" applyProtection="1"/>
    <xf numFmtId="49" fontId="12" fillId="23" borderId="28" xfId="0" applyNumberFormat="1" applyFont="1" applyFill="1" applyBorder="1" applyProtection="1"/>
    <xf numFmtId="49" fontId="12" fillId="23" borderId="102" xfId="0" applyNumberFormat="1" applyFont="1" applyFill="1" applyBorder="1" applyProtection="1"/>
    <xf numFmtId="3" fontId="14" fillId="23" borderId="30" xfId="0" applyNumberFormat="1" applyFont="1" applyFill="1" applyBorder="1" applyAlignment="1" applyProtection="1">
      <alignment horizontal="right"/>
    </xf>
    <xf numFmtId="3" fontId="14" fillId="23" borderId="31" xfId="0" applyNumberFormat="1" applyFont="1" applyFill="1" applyBorder="1" applyAlignment="1" applyProtection="1">
      <alignment horizontal="right"/>
    </xf>
    <xf numFmtId="3" fontId="14" fillId="23" borderId="46" xfId="0" applyNumberFormat="1" applyFont="1" applyFill="1" applyBorder="1" applyAlignment="1" applyProtection="1">
      <alignment horizontal="right"/>
    </xf>
    <xf numFmtId="3" fontId="14" fillId="23" borderId="118" xfId="0" applyNumberFormat="1" applyFont="1" applyFill="1" applyBorder="1" applyAlignment="1" applyProtection="1">
      <alignment horizontal="right"/>
    </xf>
    <xf numFmtId="3" fontId="14" fillId="23" borderId="28" xfId="0" applyNumberFormat="1" applyFont="1" applyFill="1" applyBorder="1" applyAlignment="1" applyProtection="1">
      <alignment horizontal="right"/>
    </xf>
    <xf numFmtId="3" fontId="14" fillId="23" borderId="102" xfId="0" applyNumberFormat="1" applyFont="1" applyFill="1" applyBorder="1" applyAlignment="1" applyProtection="1">
      <alignment horizontal="right"/>
    </xf>
    <xf numFmtId="3" fontId="14" fillId="23" borderId="29" xfId="0" applyNumberFormat="1" applyFont="1" applyFill="1" applyBorder="1" applyAlignment="1" applyProtection="1">
      <alignment horizontal="right"/>
    </xf>
    <xf numFmtId="3" fontId="14" fillId="23" borderId="32" xfId="0" applyNumberFormat="1" applyFont="1" applyFill="1" applyBorder="1" applyAlignment="1" applyProtection="1">
      <alignment horizontal="right"/>
    </xf>
    <xf numFmtId="0" fontId="9" fillId="23" borderId="153" xfId="0" applyFont="1" applyFill="1" applyBorder="1" applyAlignment="1" applyProtection="1">
      <alignment horizontal="left"/>
    </xf>
    <xf numFmtId="0" fontId="4" fillId="23" borderId="153" xfId="0" applyFont="1" applyFill="1" applyBorder="1" applyAlignment="1" applyProtection="1">
      <alignment horizontal="left"/>
    </xf>
    <xf numFmtId="0" fontId="9" fillId="23" borderId="15" xfId="0" applyFont="1" applyFill="1" applyBorder="1" applyAlignment="1" applyProtection="1">
      <alignment horizontal="left"/>
    </xf>
    <xf numFmtId="0" fontId="9" fillId="23" borderId="153" xfId="0" applyFont="1" applyFill="1" applyBorder="1" applyProtection="1"/>
    <xf numFmtId="0" fontId="9" fillId="23" borderId="153" xfId="0" applyFont="1" applyFill="1" applyBorder="1" applyAlignment="1" applyProtection="1">
      <alignment horizontal="center"/>
    </xf>
    <xf numFmtId="0" fontId="25" fillId="23" borderId="153" xfId="0" applyFont="1" applyFill="1" applyBorder="1" applyProtection="1"/>
    <xf numFmtId="0" fontId="36" fillId="23" borderId="153" xfId="0" applyFont="1" applyFill="1" applyBorder="1" applyProtection="1"/>
    <xf numFmtId="0" fontId="36" fillId="23" borderId="43" xfId="0" applyFont="1" applyFill="1" applyBorder="1" applyProtection="1"/>
    <xf numFmtId="3" fontId="19" fillId="23" borderId="153" xfId="0" applyNumberFormat="1" applyFont="1" applyFill="1" applyBorder="1" applyProtection="1"/>
    <xf numFmtId="3" fontId="48" fillId="23" borderId="153" xfId="0" applyNumberFormat="1" applyFont="1" applyFill="1" applyBorder="1" applyProtection="1"/>
    <xf numFmtId="3" fontId="105" fillId="23" borderId="153" xfId="0" applyNumberFormat="1" applyFont="1" applyFill="1" applyBorder="1" applyProtection="1"/>
    <xf numFmtId="3" fontId="105" fillId="23" borderId="43" xfId="0" applyNumberFormat="1" applyFont="1" applyFill="1" applyBorder="1" applyProtection="1"/>
    <xf numFmtId="3" fontId="9" fillId="23" borderId="159" xfId="0" applyNumberFormat="1" applyFont="1" applyFill="1" applyBorder="1" applyAlignment="1" applyProtection="1">
      <alignment vertical="top" wrapText="1"/>
    </xf>
    <xf numFmtId="3" fontId="9" fillId="23" borderId="159" xfId="0" applyNumberFormat="1" applyFont="1" applyFill="1" applyBorder="1" applyAlignment="1" applyProtection="1">
      <alignment horizontal="left" wrapText="1"/>
    </xf>
    <xf numFmtId="0" fontId="0" fillId="23" borderId="175" xfId="0" applyFill="1" applyBorder="1" applyProtection="1"/>
    <xf numFmtId="3" fontId="36" fillId="23" borderId="171" xfId="0" applyNumberFormat="1" applyFont="1" applyFill="1" applyBorder="1" applyAlignment="1" applyProtection="1">
      <alignment wrapText="1"/>
    </xf>
    <xf numFmtId="0" fontId="38" fillId="23" borderId="0" xfId="0" applyFont="1" applyFill="1" applyBorder="1" applyProtection="1"/>
    <xf numFmtId="3" fontId="49" fillId="23" borderId="159" xfId="0" applyNumberFormat="1" applyFont="1" applyFill="1" applyBorder="1" applyProtection="1"/>
    <xf numFmtId="3" fontId="46" fillId="23" borderId="157" xfId="0" applyNumberFormat="1" applyFont="1" applyFill="1" applyBorder="1" applyProtection="1"/>
    <xf numFmtId="3" fontId="46" fillId="23" borderId="28" xfId="0" applyNumberFormat="1" applyFont="1" applyFill="1" applyBorder="1" applyAlignment="1" applyProtection="1">
      <alignment horizontal="right"/>
    </xf>
    <xf numFmtId="3" fontId="38" fillId="23" borderId="43" xfId="0" applyNumberFormat="1" applyFont="1" applyFill="1" applyBorder="1" applyAlignment="1" applyProtection="1">
      <alignment horizontal="left"/>
    </xf>
    <xf numFmtId="3" fontId="38" fillId="23" borderId="158" xfId="0" applyNumberFormat="1" applyFont="1" applyFill="1" applyBorder="1" applyAlignment="1" applyProtection="1">
      <alignment horizontal="left"/>
    </xf>
    <xf numFmtId="3" fontId="3" fillId="23" borderId="29" xfId="0" applyNumberFormat="1" applyFont="1" applyFill="1" applyBorder="1" applyAlignment="1" applyProtection="1">
      <alignment horizontal="right"/>
    </xf>
    <xf numFmtId="3" fontId="49" fillId="23" borderId="65" xfId="0" applyNumberFormat="1" applyFont="1" applyFill="1" applyBorder="1" applyProtection="1"/>
    <xf numFmtId="9" fontId="49" fillId="23" borderId="85" xfId="0" applyNumberFormat="1" applyFont="1" applyFill="1" applyBorder="1" applyProtection="1"/>
    <xf numFmtId="3" fontId="38" fillId="23" borderId="158" xfId="6" quotePrefix="1" applyNumberFormat="1" applyFont="1" applyFill="1" applyBorder="1" applyAlignment="1" applyProtection="1">
      <alignment horizontal="left"/>
    </xf>
    <xf numFmtId="3" fontId="49" fillId="23" borderId="159" xfId="10" applyNumberFormat="1" applyFont="1" applyFill="1" applyBorder="1" applyAlignment="1" applyProtection="1">
      <alignment horizontal="center"/>
    </xf>
    <xf numFmtId="3" fontId="38" fillId="23" borderId="0" xfId="0" applyNumberFormat="1" applyFont="1" applyFill="1" applyBorder="1" applyAlignment="1" applyProtection="1">
      <alignment horizontal="left"/>
    </xf>
    <xf numFmtId="0" fontId="38" fillId="23" borderId="158" xfId="0" applyFont="1" applyFill="1" applyBorder="1" applyProtection="1"/>
    <xf numFmtId="9" fontId="49" fillId="23" borderId="176" xfId="0" applyNumberFormat="1" applyFont="1" applyFill="1" applyBorder="1" applyProtection="1"/>
    <xf numFmtId="3" fontId="49" fillId="23" borderId="102" xfId="14" applyNumberFormat="1" applyFont="1" applyFill="1" applyBorder="1" applyAlignment="1" applyProtection="1">
      <alignment horizontal="center"/>
    </xf>
    <xf numFmtId="3" fontId="49" fillId="23" borderId="5" xfId="0" applyNumberFormat="1" applyFont="1" applyFill="1" applyBorder="1" applyProtection="1"/>
    <xf numFmtId="9" fontId="49" fillId="23" borderId="6" xfId="0" applyNumberFormat="1" applyFont="1" applyFill="1" applyBorder="1" applyProtection="1"/>
    <xf numFmtId="3" fontId="49" fillId="23" borderId="4" xfId="0" applyNumberFormat="1" applyFont="1" applyFill="1" applyBorder="1" applyProtection="1"/>
    <xf numFmtId="3" fontId="49" fillId="23" borderId="81" xfId="0" applyNumberFormat="1" applyFont="1" applyFill="1" applyBorder="1" applyProtection="1"/>
    <xf numFmtId="9" fontId="49" fillId="23" borderId="3" xfId="0" applyNumberFormat="1" applyFont="1" applyFill="1" applyBorder="1" applyProtection="1"/>
    <xf numFmtId="3" fontId="47" fillId="23" borderId="90" xfId="0" applyNumberFormat="1" applyFont="1" applyFill="1" applyBorder="1" applyProtection="1"/>
    <xf numFmtId="3" fontId="48" fillId="23" borderId="154" xfId="0" applyNumberFormat="1" applyFont="1" applyFill="1" applyBorder="1" applyProtection="1"/>
    <xf numFmtId="3" fontId="105" fillId="23" borderId="154" xfId="0" applyNumberFormat="1" applyFont="1" applyFill="1" applyBorder="1" applyProtection="1"/>
    <xf numFmtId="3" fontId="105" fillId="23" borderId="177" xfId="0" applyNumberFormat="1" applyFont="1" applyFill="1" applyBorder="1" applyProtection="1"/>
    <xf numFmtId="3" fontId="14" fillId="28" borderId="102" xfId="0" applyNumberFormat="1" applyFont="1" applyFill="1" applyBorder="1" applyAlignment="1" applyProtection="1">
      <alignment horizontal="right"/>
    </xf>
    <xf numFmtId="0" fontId="26" fillId="23" borderId="100" xfId="0" applyFont="1" applyFill="1" applyBorder="1" applyProtection="1"/>
    <xf numFmtId="0" fontId="26" fillId="23" borderId="95" xfId="0" applyFont="1" applyFill="1" applyBorder="1" applyProtection="1"/>
    <xf numFmtId="0" fontId="26" fillId="23" borderId="119" xfId="0" applyFont="1" applyFill="1" applyBorder="1" applyProtection="1"/>
    <xf numFmtId="0" fontId="26" fillId="23" borderId="120" xfId="0" applyFont="1" applyFill="1" applyBorder="1" applyProtection="1"/>
    <xf numFmtId="0" fontId="26" fillId="23" borderId="4" xfId="0" applyFont="1" applyFill="1" applyBorder="1" applyProtection="1"/>
    <xf numFmtId="0" fontId="26" fillId="23" borderId="64" xfId="0" applyFont="1" applyFill="1" applyBorder="1" applyProtection="1"/>
    <xf numFmtId="0" fontId="26" fillId="23" borderId="81" xfId="0" applyFont="1" applyFill="1" applyBorder="1" applyProtection="1"/>
    <xf numFmtId="0" fontId="26" fillId="23" borderId="52" xfId="0" applyFont="1" applyFill="1" applyBorder="1" applyProtection="1"/>
    <xf numFmtId="3" fontId="85" fillId="23" borderId="159" xfId="10" applyNumberFormat="1" applyFont="1" applyFill="1" applyBorder="1" applyAlignment="1" applyProtection="1">
      <alignment horizontal="center"/>
    </xf>
    <xf numFmtId="0" fontId="38" fillId="23" borderId="0" xfId="0" applyFont="1" applyFill="1" applyBorder="1" applyAlignment="1" applyProtection="1">
      <alignment horizontal="right"/>
    </xf>
    <xf numFmtId="3" fontId="3" fillId="23" borderId="15" xfId="0" applyNumberFormat="1" applyFont="1" applyFill="1" applyBorder="1" applyProtection="1"/>
    <xf numFmtId="9" fontId="49" fillId="23" borderId="3" xfId="0" quotePrefix="1" applyNumberFormat="1" applyFont="1" applyFill="1" applyBorder="1" applyProtection="1"/>
    <xf numFmtId="3" fontId="121" fillId="23" borderId="102" xfId="14" applyNumberFormat="1" applyFont="1" applyFill="1" applyBorder="1" applyAlignment="1" applyProtection="1">
      <alignment horizontal="center"/>
    </xf>
    <xf numFmtId="3" fontId="49" fillId="23" borderId="2" xfId="0" applyNumberFormat="1" applyFont="1" applyFill="1" applyBorder="1" applyProtection="1"/>
    <xf numFmtId="3" fontId="38" fillId="23" borderId="0" xfId="0" applyNumberFormat="1" applyFont="1" applyFill="1" applyBorder="1" applyAlignment="1" applyProtection="1"/>
    <xf numFmtId="3" fontId="3" fillId="23" borderId="28" xfId="0" applyNumberFormat="1" applyFont="1" applyFill="1" applyBorder="1" applyAlignment="1" applyProtection="1">
      <alignment horizontal="right"/>
    </xf>
    <xf numFmtId="3" fontId="49" fillId="23" borderId="153" xfId="0" applyNumberFormat="1" applyFont="1" applyFill="1" applyBorder="1" applyProtection="1"/>
    <xf numFmtId="3" fontId="3" fillId="24" borderId="28" xfId="0" applyNumberFormat="1" applyFont="1" applyFill="1" applyBorder="1" applyAlignment="1" applyProtection="1">
      <alignment horizontal="right"/>
    </xf>
    <xf numFmtId="3" fontId="121" fillId="23" borderId="159" xfId="10" applyNumberFormat="1" applyFont="1" applyFill="1" applyBorder="1" applyAlignment="1" applyProtection="1">
      <alignment horizontal="center"/>
    </xf>
    <xf numFmtId="3" fontId="48" fillId="23" borderId="4" xfId="0" applyNumberFormat="1" applyFont="1" applyFill="1" applyBorder="1" applyProtection="1"/>
    <xf numFmtId="3" fontId="48" fillId="23" borderId="81" xfId="0" applyNumberFormat="1" applyFont="1" applyFill="1" applyBorder="1" applyProtection="1"/>
    <xf numFmtId="3" fontId="105" fillId="23" borderId="81" xfId="0" applyNumberFormat="1" applyFont="1" applyFill="1" applyBorder="1" applyProtection="1"/>
    <xf numFmtId="3" fontId="105" fillId="23" borderId="64" xfId="0" applyNumberFormat="1" applyFont="1" applyFill="1" applyBorder="1" applyProtection="1"/>
    <xf numFmtId="3" fontId="52" fillId="23" borderId="2" xfId="0" applyNumberFormat="1" applyFont="1" applyFill="1" applyBorder="1" applyAlignment="1" applyProtection="1">
      <alignment horizontal="right"/>
    </xf>
    <xf numFmtId="3" fontId="3" fillId="23" borderId="44" xfId="0" applyNumberFormat="1" applyFont="1" applyFill="1" applyBorder="1" applyAlignment="1" applyProtection="1">
      <alignment horizontal="right"/>
    </xf>
    <xf numFmtId="3" fontId="49" fillId="23" borderId="90" xfId="0" applyNumberFormat="1" applyFont="1" applyFill="1" applyBorder="1" applyProtection="1"/>
    <xf numFmtId="3" fontId="49" fillId="23" borderId="154" xfId="0" applyNumberFormat="1" applyFont="1" applyFill="1" applyBorder="1" applyProtection="1"/>
    <xf numFmtId="9" fontId="49" fillId="23" borderId="71" xfId="0" applyNumberFormat="1" applyFont="1" applyFill="1" applyBorder="1" applyProtection="1"/>
    <xf numFmtId="3" fontId="124" fillId="23" borderId="4" xfId="0" applyNumberFormat="1" applyFont="1" applyFill="1" applyBorder="1" applyProtection="1"/>
    <xf numFmtId="3" fontId="124" fillId="23" borderId="81" xfId="0" applyNumberFormat="1" applyFont="1" applyFill="1" applyBorder="1" applyProtection="1"/>
    <xf numFmtId="3" fontId="124" fillId="23" borderId="64" xfId="0" applyNumberFormat="1" applyFont="1" applyFill="1" applyBorder="1" applyProtection="1"/>
    <xf numFmtId="0" fontId="122" fillId="23" borderId="0" xfId="0" applyFont="1" applyFill="1" applyBorder="1" applyProtection="1"/>
    <xf numFmtId="3" fontId="123" fillId="23" borderId="159" xfId="10" applyNumberFormat="1" applyFont="1" applyFill="1" applyBorder="1" applyAlignment="1" applyProtection="1">
      <alignment horizontal="center"/>
    </xf>
    <xf numFmtId="3" fontId="53" fillId="23" borderId="4" xfId="0" applyNumberFormat="1" applyFont="1" applyFill="1" applyBorder="1" applyProtection="1"/>
    <xf numFmtId="0" fontId="2" fillId="23" borderId="165" xfId="0" applyFont="1" applyFill="1" applyBorder="1" applyProtection="1"/>
    <xf numFmtId="3" fontId="105" fillId="23" borderId="96" xfId="0" applyNumberFormat="1" applyFont="1" applyFill="1" applyBorder="1" applyProtection="1"/>
    <xf numFmtId="3" fontId="46" fillId="23" borderId="30" xfId="0" applyNumberFormat="1" applyFont="1" applyFill="1" applyBorder="1" applyAlignment="1" applyProtection="1">
      <alignment horizontal="right"/>
    </xf>
    <xf numFmtId="3" fontId="48" fillId="23" borderId="90" xfId="0" applyNumberFormat="1" applyFont="1" applyFill="1" applyBorder="1" applyProtection="1"/>
    <xf numFmtId="3" fontId="46" fillId="23" borderId="104" xfId="0" applyNumberFormat="1" applyFont="1" applyFill="1" applyBorder="1" applyAlignment="1" applyProtection="1">
      <alignment horizontal="right"/>
    </xf>
    <xf numFmtId="3" fontId="48" fillId="23" borderId="178" xfId="0" applyNumberFormat="1" applyFont="1" applyFill="1" applyBorder="1" applyProtection="1"/>
    <xf numFmtId="3" fontId="48" fillId="23" borderId="38" xfId="0" applyNumberFormat="1" applyFont="1" applyFill="1" applyBorder="1" applyProtection="1"/>
    <xf numFmtId="3" fontId="105" fillId="23" borderId="38" xfId="0" applyNumberFormat="1" applyFont="1" applyFill="1" applyBorder="1" applyProtection="1"/>
    <xf numFmtId="3" fontId="49" fillId="23" borderId="180" xfId="0" applyNumberFormat="1" applyFont="1" applyFill="1" applyBorder="1" applyProtection="1"/>
    <xf numFmtId="3" fontId="4" fillId="23" borderId="30" xfId="0" applyNumberFormat="1" applyFont="1" applyFill="1" applyBorder="1" applyAlignment="1" applyProtection="1">
      <alignment horizontal="center"/>
    </xf>
    <xf numFmtId="3" fontId="4" fillId="23" borderId="48" xfId="0" applyNumberFormat="1" applyFont="1" applyFill="1" applyBorder="1" applyAlignment="1" applyProtection="1"/>
    <xf numFmtId="3" fontId="9" fillId="23" borderId="47" xfId="0" applyNumberFormat="1" applyFont="1" applyFill="1" applyBorder="1" applyAlignment="1" applyProtection="1">
      <alignment horizontal="left" vertical="top" wrapText="1"/>
    </xf>
    <xf numFmtId="3" fontId="9" fillId="23" borderId="164" xfId="0" applyNumberFormat="1" applyFont="1" applyFill="1" applyBorder="1" applyAlignment="1" applyProtection="1">
      <alignment horizontal="left" vertical="top" wrapText="1"/>
    </xf>
    <xf numFmtId="3" fontId="4" fillId="23" borderId="181" xfId="0" applyNumberFormat="1" applyFont="1" applyFill="1" applyBorder="1" applyAlignment="1" applyProtection="1">
      <alignment horizontal="center"/>
    </xf>
    <xf numFmtId="3" fontId="4" fillId="23" borderId="29" xfId="0" applyNumberFormat="1" applyFont="1" applyFill="1" applyBorder="1" applyAlignment="1" applyProtection="1">
      <alignment horizontal="center"/>
    </xf>
    <xf numFmtId="3" fontId="4" fillId="23" borderId="182" xfId="0" applyNumberFormat="1" applyFont="1" applyFill="1" applyBorder="1" applyAlignment="1" applyProtection="1"/>
    <xf numFmtId="3" fontId="9" fillId="23" borderId="183" xfId="0" applyNumberFormat="1" applyFont="1" applyFill="1" applyBorder="1" applyAlignment="1" applyProtection="1"/>
    <xf numFmtId="3" fontId="9" fillId="23" borderId="184" xfId="0" applyNumberFormat="1" applyFont="1" applyFill="1" applyBorder="1" applyAlignment="1" applyProtection="1"/>
    <xf numFmtId="3" fontId="4" fillId="23" borderId="44" xfId="0" applyNumberFormat="1" applyFont="1" applyFill="1" applyBorder="1" applyAlignment="1" applyProtection="1">
      <alignment horizontal="center"/>
    </xf>
    <xf numFmtId="3" fontId="6" fillId="23" borderId="76" xfId="0" applyNumberFormat="1" applyFont="1" applyFill="1" applyBorder="1" applyAlignment="1" applyProtection="1"/>
    <xf numFmtId="3" fontId="9" fillId="23" borderId="77" xfId="0" applyNumberFormat="1" applyFont="1" applyFill="1" applyBorder="1" applyAlignment="1" applyProtection="1"/>
    <xf numFmtId="3" fontId="9" fillId="23" borderId="177" xfId="0" applyNumberFormat="1" applyFont="1" applyFill="1" applyBorder="1" applyAlignment="1" applyProtection="1"/>
    <xf numFmtId="3" fontId="4" fillId="23" borderId="185" xfId="0" applyNumberFormat="1" applyFont="1" applyFill="1" applyBorder="1" applyAlignment="1" applyProtection="1">
      <alignment vertical="center"/>
    </xf>
    <xf numFmtId="3" fontId="9" fillId="23" borderId="185" xfId="0" applyNumberFormat="1" applyFont="1" applyFill="1" applyBorder="1" applyProtection="1"/>
    <xf numFmtId="3" fontId="4" fillId="23" borderId="108" xfId="0" applyNumberFormat="1" applyFont="1" applyFill="1" applyBorder="1" applyAlignment="1" applyProtection="1">
      <alignment vertical="center"/>
    </xf>
    <xf numFmtId="3" fontId="9" fillId="23" borderId="74" xfId="0" applyNumberFormat="1" applyFont="1" applyFill="1" applyBorder="1" applyProtection="1"/>
    <xf numFmtId="3" fontId="9" fillId="23" borderId="91" xfId="0" applyNumberFormat="1" applyFont="1" applyFill="1" applyBorder="1" applyProtection="1"/>
    <xf numFmtId="3" fontId="4" fillId="23" borderId="186" xfId="0" applyNumberFormat="1" applyFont="1" applyFill="1" applyBorder="1" applyAlignment="1" applyProtection="1"/>
    <xf numFmtId="3" fontId="4" fillId="23" borderId="108" xfId="0" applyNumberFormat="1" applyFont="1" applyFill="1" applyBorder="1" applyProtection="1"/>
    <xf numFmtId="3" fontId="9" fillId="23" borderId="108" xfId="0" applyNumberFormat="1" applyFont="1" applyFill="1" applyBorder="1" applyProtection="1"/>
    <xf numFmtId="3" fontId="9" fillId="23" borderId="77" xfId="0" applyNumberFormat="1" applyFont="1" applyFill="1" applyBorder="1" applyProtection="1"/>
    <xf numFmtId="3" fontId="9" fillId="23" borderId="177" xfId="0" applyNumberFormat="1" applyFont="1" applyFill="1" applyBorder="1" applyProtection="1"/>
    <xf numFmtId="0" fontId="4" fillId="23" borderId="187" xfId="0" applyFont="1" applyFill="1" applyBorder="1" applyAlignment="1" applyProtection="1">
      <alignment horizontal="left" vertical="top" wrapText="1"/>
    </xf>
    <xf numFmtId="0" fontId="4" fillId="23" borderId="59" xfId="0" applyFont="1" applyFill="1" applyBorder="1" applyAlignment="1" applyProtection="1">
      <alignment horizontal="left"/>
    </xf>
    <xf numFmtId="3" fontId="4" fillId="23" borderId="151" xfId="0" applyNumberFormat="1" applyFont="1" applyFill="1" applyBorder="1" applyAlignment="1" applyProtection="1">
      <alignment horizontal="left"/>
    </xf>
    <xf numFmtId="0" fontId="4" fillId="23" borderId="123" xfId="0" applyFont="1" applyFill="1" applyBorder="1" applyProtection="1"/>
    <xf numFmtId="0" fontId="4" fillId="23" borderId="188" xfId="0" applyFont="1" applyFill="1" applyBorder="1" applyAlignment="1" applyProtection="1">
      <alignment vertical="top" wrapText="1"/>
    </xf>
    <xf numFmtId="0" fontId="4" fillId="23" borderId="112" xfId="0" applyFont="1" applyFill="1" applyBorder="1" applyAlignment="1" applyProtection="1">
      <alignment horizontal="left" vertical="top" wrapText="1"/>
    </xf>
    <xf numFmtId="0" fontId="4" fillId="23" borderId="135" xfId="0" applyFont="1" applyFill="1" applyBorder="1" applyAlignment="1" applyProtection="1">
      <alignment horizontal="left" vertical="top" wrapText="1"/>
    </xf>
    <xf numFmtId="0" fontId="4" fillId="23" borderId="188" xfId="0" applyFont="1" applyFill="1" applyBorder="1" applyAlignment="1" applyProtection="1">
      <alignment horizontal="left" vertical="top" wrapText="1"/>
    </xf>
    <xf numFmtId="0" fontId="4" fillId="23" borderId="59" xfId="0" applyFont="1" applyFill="1" applyBorder="1" applyProtection="1"/>
    <xf numFmtId="0" fontId="8" fillId="23" borderId="89" xfId="0" applyFont="1" applyFill="1" applyBorder="1" applyProtection="1"/>
    <xf numFmtId="0" fontId="4" fillId="23" borderId="43" xfId="0" applyFont="1" applyFill="1" applyBorder="1" applyProtection="1"/>
    <xf numFmtId="0" fontId="4" fillId="23" borderId="168" xfId="0" applyFont="1" applyFill="1" applyBorder="1" applyAlignment="1" applyProtection="1">
      <alignment horizontal="left" vertical="top" wrapText="1"/>
    </xf>
    <xf numFmtId="0" fontId="4" fillId="23" borderId="126" xfId="0" applyFont="1" applyFill="1" applyBorder="1" applyProtection="1"/>
    <xf numFmtId="0" fontId="6" fillId="23" borderId="126" xfId="0" applyFont="1" applyFill="1" applyBorder="1" applyProtection="1"/>
    <xf numFmtId="0" fontId="4" fillId="23" borderId="16" xfId="0" applyFont="1" applyFill="1" applyBorder="1" applyProtection="1"/>
    <xf numFmtId="0" fontId="4" fillId="23" borderId="63" xfId="0" applyFont="1" applyFill="1" applyBorder="1" applyProtection="1"/>
    <xf numFmtId="0" fontId="4" fillId="23" borderId="67" xfId="0" applyFont="1" applyFill="1" applyBorder="1" applyProtection="1"/>
    <xf numFmtId="0" fontId="4" fillId="23" borderId="146" xfId="0" applyFont="1" applyFill="1" applyBorder="1" applyProtection="1"/>
    <xf numFmtId="0" fontId="4" fillId="23" borderId="113" xfId="0" applyFont="1" applyFill="1" applyBorder="1" applyProtection="1"/>
    <xf numFmtId="0" fontId="50" fillId="23" borderId="176" xfId="0" applyFont="1" applyFill="1" applyBorder="1" applyProtection="1"/>
    <xf numFmtId="0" fontId="8" fillId="23" borderId="80" xfId="0" applyFont="1" applyFill="1" applyBorder="1" applyProtection="1"/>
    <xf numFmtId="0" fontId="8" fillId="23" borderId="189" xfId="0" applyFont="1" applyFill="1" applyBorder="1" applyProtection="1"/>
    <xf numFmtId="0" fontId="6" fillId="23" borderId="100" xfId="0" applyFont="1" applyFill="1" applyBorder="1" applyProtection="1"/>
    <xf numFmtId="0" fontId="6" fillId="23" borderId="16" xfId="0" applyFont="1" applyFill="1" applyBorder="1" applyProtection="1"/>
    <xf numFmtId="49" fontId="8" fillId="23" borderId="126" xfId="0" applyNumberFormat="1" applyFont="1" applyFill="1" applyBorder="1" applyAlignment="1" applyProtection="1">
      <alignment horizontal="left"/>
    </xf>
    <xf numFmtId="3" fontId="39" fillId="23" borderId="15" xfId="0" applyNumberFormat="1" applyFont="1" applyFill="1" applyBorder="1" applyAlignment="1" applyProtection="1"/>
    <xf numFmtId="3" fontId="39" fillId="23" borderId="55" xfId="0" applyNumberFormat="1" applyFont="1" applyFill="1" applyBorder="1" applyAlignment="1" applyProtection="1"/>
    <xf numFmtId="49" fontId="6" fillId="23" borderId="153" xfId="0" applyNumberFormat="1" applyFont="1" applyFill="1" applyBorder="1" applyAlignment="1" applyProtection="1"/>
    <xf numFmtId="49" fontId="6" fillId="23" borderId="0" xfId="0" applyNumberFormat="1" applyFont="1" applyFill="1" applyBorder="1" applyAlignment="1" applyProtection="1"/>
    <xf numFmtId="49" fontId="6" fillId="23" borderId="122" xfId="0" applyNumberFormat="1" applyFont="1" applyFill="1" applyBorder="1" applyAlignment="1" applyProtection="1"/>
    <xf numFmtId="49" fontId="6" fillId="23" borderId="27" xfId="0" applyNumberFormat="1" applyFont="1" applyFill="1" applyBorder="1" applyAlignment="1" applyProtection="1"/>
    <xf numFmtId="3" fontId="3" fillId="23" borderId="15" xfId="0" applyNumberFormat="1" applyFont="1" applyFill="1" applyBorder="1" applyAlignment="1" applyProtection="1">
      <alignment horizontal="right"/>
    </xf>
    <xf numFmtId="3" fontId="11" fillId="23" borderId="15" xfId="0" applyNumberFormat="1" applyFont="1" applyFill="1" applyBorder="1" applyProtection="1"/>
    <xf numFmtId="3" fontId="11" fillId="23" borderId="55" xfId="0" applyNumberFormat="1" applyFont="1" applyFill="1" applyBorder="1" applyProtection="1"/>
    <xf numFmtId="3" fontId="11" fillId="23" borderId="0" xfId="0" applyNumberFormat="1" applyFont="1" applyFill="1" applyBorder="1" applyProtection="1"/>
    <xf numFmtId="49" fontId="4" fillId="23" borderId="38" xfId="0" applyNumberFormat="1" applyFont="1" applyFill="1" applyBorder="1" applyAlignment="1" applyProtection="1"/>
    <xf numFmtId="49" fontId="6" fillId="23" borderId="11" xfId="0" applyNumberFormat="1" applyFont="1" applyFill="1" applyBorder="1" applyAlignment="1" applyProtection="1"/>
    <xf numFmtId="3" fontId="39" fillId="23" borderId="59" xfId="0" applyNumberFormat="1" applyFont="1" applyFill="1" applyBorder="1" applyAlignment="1" applyProtection="1"/>
    <xf numFmtId="49" fontId="6" fillId="23" borderId="56" xfId="0" applyNumberFormat="1" applyFont="1" applyFill="1" applyBorder="1" applyAlignment="1" applyProtection="1"/>
    <xf numFmtId="3" fontId="39" fillId="23" borderId="0" xfId="0" applyNumberFormat="1" applyFont="1" applyFill="1" applyBorder="1" applyAlignment="1" applyProtection="1"/>
    <xf numFmtId="3" fontId="3" fillId="23" borderId="67" xfId="0" applyNumberFormat="1" applyFont="1" applyFill="1" applyBorder="1" applyAlignment="1" applyProtection="1">
      <alignment horizontal="right"/>
    </xf>
    <xf numFmtId="3" fontId="39" fillId="23" borderId="56" xfId="0" applyNumberFormat="1" applyFont="1" applyFill="1" applyBorder="1" applyAlignment="1" applyProtection="1"/>
    <xf numFmtId="3" fontId="39" fillId="23" borderId="15" xfId="0" applyNumberFormat="1" applyFont="1" applyFill="1" applyBorder="1" applyProtection="1"/>
    <xf numFmtId="49" fontId="6" fillId="23" borderId="15" xfId="0" applyNumberFormat="1" applyFont="1" applyFill="1" applyBorder="1" applyAlignment="1" applyProtection="1"/>
    <xf numFmtId="3" fontId="3" fillId="29" borderId="17" xfId="0" applyNumberFormat="1" applyFont="1" applyFill="1" applyBorder="1" applyAlignment="1" applyProtection="1">
      <alignment horizontal="right"/>
    </xf>
    <xf numFmtId="49" fontId="4" fillId="23" borderId="133" xfId="0" applyNumberFormat="1" applyFont="1" applyFill="1" applyBorder="1" applyAlignment="1" applyProtection="1">
      <alignment horizontal="left"/>
    </xf>
    <xf numFmtId="0" fontId="6" fillId="23" borderId="63" xfId="0" applyFont="1" applyFill="1" applyBorder="1" applyProtection="1"/>
    <xf numFmtId="49" fontId="4" fillId="23" borderId="22" xfId="0" applyNumberFormat="1" applyFont="1" applyFill="1" applyBorder="1" applyAlignment="1" applyProtection="1">
      <alignment horizontal="left"/>
    </xf>
    <xf numFmtId="49" fontId="4" fillId="23" borderId="91" xfId="0" applyNumberFormat="1" applyFont="1" applyFill="1" applyBorder="1" applyProtection="1"/>
    <xf numFmtId="49" fontId="4" fillId="23" borderId="91" xfId="0" applyNumberFormat="1" applyFont="1" applyFill="1" applyBorder="1" applyAlignment="1" applyProtection="1">
      <alignment wrapText="1"/>
    </xf>
    <xf numFmtId="49" fontId="4" fillId="23" borderId="21" xfId="0" applyNumberFormat="1" applyFont="1" applyFill="1" applyBorder="1" applyAlignment="1" applyProtection="1">
      <alignment horizontal="left"/>
    </xf>
    <xf numFmtId="49" fontId="4" fillId="23" borderId="54" xfId="0" applyNumberFormat="1" applyFont="1" applyFill="1" applyBorder="1" applyAlignment="1" applyProtection="1">
      <alignment wrapText="1"/>
    </xf>
    <xf numFmtId="49" fontId="4" fillId="23" borderId="23" xfId="0" applyNumberFormat="1" applyFont="1" applyFill="1" applyBorder="1" applyAlignment="1" applyProtection="1">
      <alignment horizontal="left"/>
    </xf>
    <xf numFmtId="0" fontId="6" fillId="23" borderId="47" xfId="0" applyFont="1" applyFill="1" applyBorder="1" applyProtection="1"/>
    <xf numFmtId="49" fontId="4" fillId="23" borderId="75" xfId="0" applyNumberFormat="1" applyFont="1" applyFill="1" applyBorder="1" applyProtection="1"/>
    <xf numFmtId="49" fontId="4" fillId="23" borderId="64" xfId="0" applyNumberFormat="1" applyFont="1" applyFill="1" applyBorder="1" applyAlignment="1" applyProtection="1">
      <alignment wrapText="1"/>
    </xf>
    <xf numFmtId="0" fontId="6" fillId="23" borderId="164" xfId="0" applyFont="1" applyFill="1" applyBorder="1" applyProtection="1"/>
    <xf numFmtId="49" fontId="4" fillId="23" borderId="54" xfId="0" applyNumberFormat="1" applyFont="1" applyFill="1" applyBorder="1" applyProtection="1"/>
    <xf numFmtId="49" fontId="4" fillId="23" borderId="6" xfId="0" applyNumberFormat="1" applyFont="1" applyFill="1" applyBorder="1" applyAlignment="1" applyProtection="1">
      <alignment wrapText="1"/>
    </xf>
    <xf numFmtId="49" fontId="4" fillId="23" borderId="3" xfId="0" applyNumberFormat="1" applyFont="1" applyFill="1" applyBorder="1" applyAlignment="1" applyProtection="1">
      <alignment wrapText="1"/>
    </xf>
    <xf numFmtId="49" fontId="4" fillId="23" borderId="176" xfId="0" applyNumberFormat="1" applyFont="1" applyFill="1" applyBorder="1" applyAlignment="1" applyProtection="1">
      <alignment wrapText="1"/>
    </xf>
    <xf numFmtId="0" fontId="6" fillId="23" borderId="190" xfId="0" applyFont="1" applyFill="1" applyBorder="1" applyProtection="1"/>
    <xf numFmtId="49" fontId="4" fillId="23" borderId="12" xfId="0" applyNumberFormat="1" applyFont="1" applyFill="1" applyBorder="1" applyProtection="1"/>
    <xf numFmtId="49" fontId="4" fillId="23" borderId="53" xfId="0" applyNumberFormat="1" applyFont="1" applyFill="1" applyBorder="1" applyProtection="1"/>
    <xf numFmtId="49" fontId="4" fillId="23" borderId="53" xfId="0" applyNumberFormat="1" applyFont="1" applyFill="1" applyBorder="1" applyAlignment="1" applyProtection="1">
      <alignment wrapText="1"/>
    </xf>
    <xf numFmtId="49" fontId="4" fillId="23" borderId="6" xfId="13" applyNumberFormat="1" applyFont="1" applyFill="1" applyBorder="1" applyAlignment="1" applyProtection="1"/>
    <xf numFmtId="49" fontId="4" fillId="23" borderId="129" xfId="0" applyNumberFormat="1" applyFont="1" applyFill="1" applyBorder="1" applyAlignment="1" applyProtection="1">
      <alignment horizontal="left"/>
    </xf>
    <xf numFmtId="49" fontId="4" fillId="23" borderId="170" xfId="13" applyNumberFormat="1" applyFont="1" applyFill="1" applyBorder="1" applyAlignment="1" applyProtection="1"/>
    <xf numFmtId="49" fontId="4" fillId="23" borderId="126" xfId="0" applyNumberFormat="1" applyFont="1" applyFill="1" applyBorder="1" applyAlignment="1" applyProtection="1">
      <alignment horizontal="left"/>
    </xf>
    <xf numFmtId="49" fontId="4" fillId="23" borderId="55" xfId="13" applyNumberFormat="1" applyFont="1" applyFill="1" applyBorder="1" applyAlignment="1" applyProtection="1"/>
    <xf numFmtId="49" fontId="4" fillId="23" borderId="167" xfId="13" applyNumberFormat="1" applyFont="1" applyFill="1" applyBorder="1" applyAlignment="1" applyProtection="1"/>
    <xf numFmtId="49" fontId="4" fillId="23" borderId="176" xfId="13" applyNumberFormat="1" applyFont="1" applyFill="1" applyBorder="1" applyAlignment="1" applyProtection="1"/>
    <xf numFmtId="49" fontId="4" fillId="23" borderId="6" xfId="0" applyNumberFormat="1" applyFont="1" applyFill="1" applyBorder="1" applyProtection="1"/>
    <xf numFmtId="49" fontId="4" fillId="23" borderId="91" xfId="13" applyNumberFormat="1" applyFont="1" applyFill="1" applyBorder="1" applyAlignment="1" applyProtection="1"/>
    <xf numFmtId="49" fontId="4" fillId="23" borderId="24" xfId="0" applyNumberFormat="1" applyFont="1" applyFill="1" applyBorder="1" applyAlignment="1" applyProtection="1">
      <alignment horizontal="left"/>
    </xf>
    <xf numFmtId="49" fontId="4" fillId="23" borderId="71" xfId="13" applyNumberFormat="1" applyFont="1" applyFill="1" applyBorder="1" applyAlignment="1" applyProtection="1"/>
    <xf numFmtId="49" fontId="4" fillId="23" borderId="12" xfId="13" applyNumberFormat="1" applyFont="1" applyFill="1" applyBorder="1" applyAlignment="1" applyProtection="1"/>
    <xf numFmtId="0" fontId="4" fillId="23" borderId="95" xfId="0" applyFont="1" applyFill="1" applyBorder="1" applyAlignment="1" applyProtection="1">
      <alignment wrapText="1"/>
    </xf>
    <xf numFmtId="0" fontId="4" fillId="23" borderId="0" xfId="0" applyFont="1" applyFill="1" applyBorder="1" applyAlignment="1" applyProtection="1">
      <alignment horizontal="center"/>
    </xf>
    <xf numFmtId="0" fontId="4" fillId="23" borderId="172" xfId="0" applyFont="1" applyFill="1" applyBorder="1" applyAlignment="1" applyProtection="1">
      <alignment horizontal="center"/>
    </xf>
    <xf numFmtId="0" fontId="4" fillId="23" borderId="43" xfId="0" applyFont="1" applyFill="1" applyBorder="1" applyAlignment="1" applyProtection="1">
      <alignment horizontal="center"/>
    </xf>
    <xf numFmtId="3" fontId="49" fillId="24" borderId="191" xfId="0" applyNumberFormat="1" applyFont="1" applyFill="1" applyBorder="1" applyProtection="1"/>
    <xf numFmtId="3" fontId="49" fillId="23" borderId="107" xfId="0" applyNumberFormat="1" applyFont="1" applyFill="1" applyBorder="1" applyProtection="1"/>
    <xf numFmtId="9" fontId="49" fillId="23" borderId="107" xfId="14" applyNumberFormat="1" applyFont="1" applyFill="1" applyBorder="1" applyProtection="1"/>
    <xf numFmtId="3" fontId="4" fillId="23" borderId="56" xfId="0" applyNumberFormat="1" applyFont="1" applyFill="1" applyBorder="1" applyProtection="1"/>
    <xf numFmtId="3" fontId="49" fillId="24" borderId="29" xfId="0" applyNumberFormat="1" applyFont="1" applyFill="1" applyBorder="1" applyProtection="1"/>
    <xf numFmtId="3" fontId="49" fillId="23" borderId="108" xfId="0" applyNumberFormat="1" applyFont="1" applyFill="1" applyBorder="1" applyProtection="1"/>
    <xf numFmtId="9" fontId="49" fillId="23" borderId="108" xfId="14" applyNumberFormat="1" applyFont="1" applyFill="1" applyBorder="1" applyProtection="1"/>
    <xf numFmtId="0" fontId="3" fillId="23" borderId="38" xfId="0" applyFont="1" applyFill="1" applyBorder="1" applyProtection="1"/>
    <xf numFmtId="3" fontId="49" fillId="24" borderId="157" xfId="0" applyNumberFormat="1" applyFont="1" applyFill="1" applyBorder="1" applyProtection="1"/>
    <xf numFmtId="3" fontId="49" fillId="23" borderId="92" xfId="0" applyNumberFormat="1" applyFont="1" applyFill="1" applyBorder="1" applyProtection="1"/>
    <xf numFmtId="9" fontId="49" fillId="23" borderId="92" xfId="14" applyNumberFormat="1" applyFont="1" applyFill="1" applyBorder="1" applyProtection="1"/>
    <xf numFmtId="9" fontId="38" fillId="23" borderId="178" xfId="14" applyFont="1" applyFill="1" applyBorder="1" applyProtection="1"/>
    <xf numFmtId="3" fontId="49" fillId="24" borderId="30" xfId="0" applyNumberFormat="1" applyFont="1" applyFill="1" applyBorder="1" applyProtection="1"/>
    <xf numFmtId="9" fontId="49" fillId="23" borderId="107" xfId="0" applyNumberFormat="1" applyFont="1" applyFill="1" applyBorder="1" applyProtection="1"/>
    <xf numFmtId="3" fontId="4" fillId="23" borderId="120" xfId="0" applyNumberFormat="1" applyFont="1" applyFill="1" applyBorder="1" applyProtection="1"/>
    <xf numFmtId="3" fontId="49" fillId="24" borderId="28" xfId="0" applyNumberFormat="1" applyFont="1" applyFill="1" applyBorder="1" applyProtection="1"/>
    <xf numFmtId="0" fontId="4" fillId="23" borderId="57" xfId="0" applyFont="1" applyFill="1" applyBorder="1" applyProtection="1"/>
    <xf numFmtId="0" fontId="10" fillId="23" borderId="38" xfId="0" applyFont="1" applyFill="1" applyBorder="1" applyProtection="1"/>
    <xf numFmtId="3" fontId="49" fillId="24" borderId="192" xfId="0" applyNumberFormat="1" applyFont="1" applyFill="1" applyBorder="1" applyProtection="1"/>
    <xf numFmtId="9" fontId="49" fillId="23" borderId="158" xfId="0" applyNumberFormat="1" applyFont="1" applyFill="1" applyBorder="1" applyProtection="1"/>
    <xf numFmtId="3" fontId="4" fillId="23" borderId="58" xfId="0" applyNumberFormat="1" applyFont="1" applyFill="1" applyBorder="1" applyProtection="1"/>
    <xf numFmtId="9" fontId="49" fillId="23" borderId="185" xfId="0" applyNumberFormat="1" applyFont="1" applyFill="1" applyBorder="1" applyProtection="1"/>
    <xf numFmtId="3" fontId="49" fillId="23" borderId="158" xfId="0" applyNumberFormat="1" applyFont="1" applyFill="1" applyBorder="1" applyProtection="1"/>
    <xf numFmtId="3" fontId="49" fillId="24" borderId="45" xfId="0" applyNumberFormat="1" applyFont="1" applyFill="1" applyBorder="1" applyProtection="1"/>
    <xf numFmtId="3" fontId="49" fillId="24" borderId="44" xfId="0" applyNumberFormat="1" applyFont="1" applyFill="1" applyBorder="1" applyProtection="1"/>
    <xf numFmtId="9" fontId="49" fillId="23" borderId="92" xfId="0" applyNumberFormat="1" applyFont="1" applyFill="1" applyBorder="1" applyProtection="1"/>
    <xf numFmtId="0" fontId="38" fillId="23" borderId="178" xfId="0" applyFont="1" applyFill="1" applyBorder="1" applyProtection="1"/>
    <xf numFmtId="3" fontId="49" fillId="24" borderId="46" xfId="0" applyNumberFormat="1" applyFont="1" applyFill="1" applyBorder="1" applyProtection="1"/>
    <xf numFmtId="3" fontId="49" fillId="23" borderId="185" xfId="0" applyNumberFormat="1" applyFont="1" applyFill="1" applyBorder="1" applyProtection="1"/>
    <xf numFmtId="3" fontId="49" fillId="23" borderId="193" xfId="0" applyNumberFormat="1" applyFont="1" applyFill="1" applyBorder="1" applyProtection="1"/>
    <xf numFmtId="0" fontId="3" fillId="23" borderId="0" xfId="0" applyFont="1" applyFill="1" applyBorder="1" applyProtection="1"/>
    <xf numFmtId="9" fontId="49" fillId="23" borderId="179" xfId="0" applyNumberFormat="1" applyFont="1" applyFill="1" applyBorder="1" applyProtection="1"/>
    <xf numFmtId="0" fontId="10" fillId="23" borderId="143" xfId="0" applyFont="1" applyFill="1" applyBorder="1" applyProtection="1"/>
    <xf numFmtId="0" fontId="8" fillId="23" borderId="123" xfId="0" applyFont="1" applyFill="1" applyBorder="1" applyProtection="1"/>
    <xf numFmtId="0" fontId="3" fillId="23" borderId="123" xfId="0" applyFont="1" applyFill="1" applyBorder="1" applyProtection="1"/>
    <xf numFmtId="0" fontId="8" fillId="23" borderId="0" xfId="0" applyFont="1" applyFill="1" applyBorder="1" applyProtection="1"/>
    <xf numFmtId="0" fontId="8" fillId="23" borderId="0" xfId="0" applyFont="1" applyFill="1" applyBorder="1" applyAlignment="1" applyProtection="1">
      <alignment horizontal="left" vertical="top" wrapText="1"/>
    </xf>
    <xf numFmtId="0" fontId="3" fillId="23" borderId="0" xfId="0" applyFont="1" applyFill="1" applyBorder="1" applyAlignment="1" applyProtection="1">
      <alignment horizontal="left" vertical="top" wrapText="1"/>
    </xf>
    <xf numFmtId="3" fontId="49" fillId="23" borderId="45" xfId="0" applyNumberFormat="1" applyFont="1" applyFill="1" applyBorder="1" applyProtection="1"/>
    <xf numFmtId="3" fontId="38" fillId="23" borderId="56" xfId="0" applyNumberFormat="1" applyFont="1" applyFill="1" applyBorder="1" applyProtection="1"/>
    <xf numFmtId="3" fontId="49" fillId="23" borderId="44" xfId="0" applyNumberFormat="1" applyFont="1" applyFill="1" applyBorder="1" applyProtection="1"/>
    <xf numFmtId="49" fontId="4" fillId="23" borderId="36" xfId="6" applyNumberFormat="1" applyFont="1" applyFill="1" applyBorder="1" applyAlignment="1" applyProtection="1">
      <alignment horizontal="left"/>
    </xf>
    <xf numFmtId="0" fontId="4" fillId="23" borderId="117" xfId="6" applyFont="1" applyFill="1" applyBorder="1" applyAlignment="1" applyProtection="1"/>
    <xf numFmtId="0" fontId="4" fillId="23" borderId="119" xfId="6" applyFont="1" applyFill="1" applyBorder="1" applyProtection="1"/>
    <xf numFmtId="0" fontId="4" fillId="23" borderId="194" xfId="6" applyFont="1" applyFill="1" applyBorder="1" applyProtection="1"/>
    <xf numFmtId="0" fontId="4" fillId="23" borderId="123" xfId="6" applyFont="1" applyFill="1" applyBorder="1" applyProtection="1"/>
    <xf numFmtId="0" fontId="4" fillId="23" borderId="94" xfId="6" applyFont="1" applyFill="1" applyBorder="1" applyProtection="1"/>
    <xf numFmtId="3" fontId="4" fillId="23" borderId="120" xfId="6" applyNumberFormat="1" applyFont="1" applyFill="1" applyBorder="1" applyAlignment="1" applyProtection="1">
      <alignment wrapText="1"/>
    </xf>
    <xf numFmtId="49" fontId="4" fillId="23" borderId="57" xfId="6" applyNumberFormat="1" applyFont="1" applyFill="1" applyBorder="1" applyAlignment="1" applyProtection="1">
      <alignment horizontal="left" vertical="top"/>
    </xf>
    <xf numFmtId="0" fontId="4" fillId="23" borderId="15" xfId="6" applyFont="1" applyFill="1" applyBorder="1" applyProtection="1"/>
    <xf numFmtId="0" fontId="25" fillId="23" borderId="160" xfId="6" applyFont="1" applyFill="1" applyBorder="1" applyProtection="1"/>
    <xf numFmtId="0" fontId="25" fillId="23" borderId="67" xfId="6" applyFont="1" applyFill="1" applyBorder="1" applyProtection="1"/>
    <xf numFmtId="3" fontId="4" fillId="23" borderId="165" xfId="6" applyNumberFormat="1" applyFont="1" applyFill="1" applyBorder="1" applyAlignment="1" applyProtection="1">
      <alignment wrapText="1"/>
    </xf>
    <xf numFmtId="3" fontId="4" fillId="23" borderId="158" xfId="6" applyNumberFormat="1" applyFont="1" applyFill="1" applyBorder="1" applyProtection="1"/>
    <xf numFmtId="0" fontId="4" fillId="23" borderId="158" xfId="6" applyFont="1" applyFill="1" applyBorder="1" applyProtection="1"/>
    <xf numFmtId="3" fontId="4" fillId="23" borderId="0" xfId="6" applyNumberFormat="1" applyFont="1" applyFill="1" applyBorder="1" applyProtection="1"/>
    <xf numFmtId="3" fontId="4" fillId="23" borderId="56" xfId="6" applyNumberFormat="1" applyFont="1" applyFill="1" applyBorder="1" applyProtection="1"/>
    <xf numFmtId="49" fontId="4" fillId="23" borderId="57" xfId="6" applyNumberFormat="1" applyFont="1" applyFill="1" applyBorder="1" applyAlignment="1" applyProtection="1">
      <alignment horizontal="left"/>
    </xf>
    <xf numFmtId="0" fontId="4" fillId="23" borderId="55" xfId="6" applyFont="1" applyFill="1" applyBorder="1" applyProtection="1"/>
    <xf numFmtId="3" fontId="4" fillId="23" borderId="16" xfId="6" applyNumberFormat="1" applyFont="1" applyFill="1" applyBorder="1" applyProtection="1"/>
    <xf numFmtId="49" fontId="8" fillId="23" borderId="57" xfId="6" applyNumberFormat="1" applyFont="1" applyFill="1" applyBorder="1" applyAlignment="1" applyProtection="1">
      <alignment horizontal="left"/>
    </xf>
    <xf numFmtId="0" fontId="4" fillId="23" borderId="167" xfId="6" applyFont="1" applyFill="1" applyBorder="1" applyProtection="1"/>
    <xf numFmtId="0" fontId="4" fillId="23" borderId="158" xfId="6" applyFont="1" applyFill="1" applyBorder="1" applyAlignment="1" applyProtection="1">
      <alignment horizontal="left"/>
    </xf>
    <xf numFmtId="0" fontId="4" fillId="23" borderId="0" xfId="6" applyFont="1" applyFill="1" applyBorder="1" applyProtection="1"/>
    <xf numFmtId="0" fontId="8" fillId="23" borderId="0" xfId="6" applyFont="1" applyFill="1" applyBorder="1" applyAlignment="1" applyProtection="1">
      <alignment horizontal="left"/>
    </xf>
    <xf numFmtId="0" fontId="8" fillId="23" borderId="56" xfId="6" applyFont="1" applyFill="1" applyBorder="1" applyAlignment="1" applyProtection="1">
      <alignment horizontal="left" wrapText="1"/>
    </xf>
    <xf numFmtId="0" fontId="6" fillId="23" borderId="167" xfId="6" applyFont="1" applyFill="1" applyBorder="1" applyProtection="1"/>
    <xf numFmtId="1" fontId="4" fillId="23" borderId="158" xfId="6" applyNumberFormat="1" applyFont="1" applyFill="1" applyBorder="1" applyAlignment="1" applyProtection="1">
      <alignment horizontal="left"/>
    </xf>
    <xf numFmtId="3" fontId="45" fillId="23" borderId="0" xfId="6" applyNumberFormat="1" applyFont="1" applyFill="1" applyBorder="1" applyProtection="1"/>
    <xf numFmtId="3" fontId="45" fillId="23" borderId="56" xfId="6" applyNumberFormat="1" applyFont="1" applyFill="1" applyBorder="1" applyProtection="1"/>
    <xf numFmtId="49" fontId="6" fillId="23" borderId="57" xfId="6" applyNumberFormat="1" applyFont="1" applyFill="1" applyBorder="1" applyAlignment="1" applyProtection="1">
      <alignment horizontal="left"/>
    </xf>
    <xf numFmtId="0" fontId="8" fillId="23" borderId="175" xfId="6" applyFont="1" applyFill="1" applyBorder="1" applyProtection="1"/>
    <xf numFmtId="0" fontId="4" fillId="23" borderId="175" xfId="6" applyFont="1" applyFill="1" applyBorder="1" applyProtection="1"/>
    <xf numFmtId="167" fontId="45" fillId="23" borderId="61" xfId="6" applyNumberFormat="1" applyFont="1" applyFill="1" applyBorder="1" applyProtection="1"/>
    <xf numFmtId="167" fontId="45" fillId="23" borderId="110" xfId="6" applyNumberFormat="1" applyFont="1" applyFill="1" applyBorder="1" applyProtection="1"/>
    <xf numFmtId="167" fontId="45" fillId="23" borderId="142" xfId="6" applyNumberFormat="1" applyFont="1" applyFill="1" applyBorder="1" applyProtection="1"/>
    <xf numFmtId="0" fontId="6" fillId="23" borderId="35" xfId="6" applyFont="1" applyFill="1" applyBorder="1" applyAlignment="1" applyProtection="1">
      <alignment horizontal="left"/>
    </xf>
    <xf numFmtId="0" fontId="6" fillId="23" borderId="35" xfId="6" applyFont="1" applyFill="1" applyBorder="1" applyProtection="1"/>
    <xf numFmtId="0" fontId="4" fillId="23" borderId="2" xfId="6" applyFont="1" applyFill="1" applyBorder="1" applyAlignment="1" applyProtection="1">
      <alignment horizontal="left"/>
    </xf>
    <xf numFmtId="0" fontId="4" fillId="23" borderId="2" xfId="6" applyFont="1" applyFill="1" applyBorder="1" applyProtection="1"/>
    <xf numFmtId="0" fontId="4" fillId="23" borderId="5" xfId="6" applyFont="1" applyFill="1" applyBorder="1" applyProtection="1"/>
    <xf numFmtId="1" fontId="6" fillId="23" borderId="49" xfId="6" applyNumberFormat="1" applyFont="1" applyFill="1" applyBorder="1" applyAlignment="1" applyProtection="1">
      <alignment horizontal="left"/>
    </xf>
    <xf numFmtId="0" fontId="6" fillId="23" borderId="5" xfId="6" applyFont="1" applyFill="1" applyBorder="1" applyProtection="1"/>
    <xf numFmtId="1" fontId="4" fillId="23" borderId="50" xfId="6" applyNumberFormat="1" applyFont="1" applyFill="1" applyBorder="1" applyAlignment="1" applyProtection="1">
      <alignment horizontal="left"/>
    </xf>
    <xf numFmtId="0" fontId="6" fillId="23" borderId="2" xfId="6" applyFont="1" applyFill="1" applyBorder="1" applyAlignment="1" applyProtection="1">
      <alignment horizontal="left"/>
    </xf>
    <xf numFmtId="0" fontId="6" fillId="23" borderId="2" xfId="6" applyFont="1" applyFill="1" applyBorder="1" applyAlignment="1" applyProtection="1">
      <alignment wrapText="1"/>
    </xf>
    <xf numFmtId="0" fontId="6" fillId="23" borderId="5" xfId="6" applyFont="1" applyFill="1" applyBorder="1" applyAlignment="1" applyProtection="1">
      <alignment wrapText="1"/>
    </xf>
    <xf numFmtId="1" fontId="4" fillId="23" borderId="50" xfId="6" applyNumberFormat="1" applyFont="1" applyFill="1" applyBorder="1" applyProtection="1"/>
    <xf numFmtId="1" fontId="6" fillId="23" borderId="196" xfId="6" applyNumberFormat="1" applyFont="1" applyFill="1" applyBorder="1" applyAlignment="1" applyProtection="1">
      <alignment horizontal="left"/>
    </xf>
    <xf numFmtId="0" fontId="6" fillId="23" borderId="9" xfId="6" applyFont="1" applyFill="1" applyBorder="1" applyProtection="1"/>
    <xf numFmtId="1" fontId="4" fillId="23" borderId="49" xfId="6" applyNumberFormat="1" applyFont="1" applyFill="1" applyBorder="1" applyAlignment="1" applyProtection="1">
      <alignment horizontal="left"/>
    </xf>
    <xf numFmtId="49" fontId="4" fillId="23" borderId="5" xfId="6" applyNumberFormat="1" applyFont="1" applyFill="1" applyBorder="1" applyAlignment="1" applyProtection="1">
      <alignment horizontal="left"/>
    </xf>
    <xf numFmtId="0" fontId="4" fillId="23" borderId="6" xfId="6" applyFont="1" applyFill="1" applyBorder="1" applyAlignment="1" applyProtection="1">
      <alignment wrapText="1"/>
    </xf>
    <xf numFmtId="3" fontId="49" fillId="23" borderId="135" xfId="6" applyNumberFormat="1" applyFont="1" applyFill="1" applyBorder="1" applyProtection="1"/>
    <xf numFmtId="3" fontId="4" fillId="23" borderId="197" xfId="6" applyNumberFormat="1" applyFont="1" applyFill="1" applyBorder="1" applyProtection="1"/>
    <xf numFmtId="3" fontId="4" fillId="23" borderId="56" xfId="6" applyNumberFormat="1" applyFont="1" applyFill="1" applyBorder="1" applyAlignment="1" applyProtection="1">
      <alignment horizontal="left"/>
    </xf>
    <xf numFmtId="3" fontId="3" fillId="23" borderId="5" xfId="6" applyNumberFormat="1" applyFont="1" applyFill="1" applyBorder="1" applyProtection="1"/>
    <xf numFmtId="3" fontId="49" fillId="23" borderId="5" xfId="6" applyNumberFormat="1" applyFont="1" applyFill="1" applyBorder="1" applyAlignment="1" applyProtection="1">
      <alignment horizontal="right"/>
    </xf>
    <xf numFmtId="9" fontId="49" fillId="23" borderId="5" xfId="6" quotePrefix="1" applyNumberFormat="1" applyFont="1" applyFill="1" applyBorder="1" applyAlignment="1" applyProtection="1">
      <alignment horizontal="right"/>
    </xf>
    <xf numFmtId="3" fontId="45" fillId="23" borderId="55" xfId="6" applyNumberFormat="1" applyFont="1" applyFill="1" applyBorder="1" applyAlignment="1" applyProtection="1">
      <alignment horizontal="right"/>
    </xf>
    <xf numFmtId="3" fontId="49" fillId="23" borderId="2" xfId="6" applyNumberFormat="1" applyFont="1" applyFill="1" applyBorder="1" applyAlignment="1" applyProtection="1">
      <alignment horizontal="right"/>
    </xf>
    <xf numFmtId="3" fontId="46" fillId="23" borderId="11" xfId="6" applyNumberFormat="1" applyFont="1" applyFill="1" applyBorder="1" applyAlignment="1" applyProtection="1">
      <alignment horizontal="right"/>
    </xf>
    <xf numFmtId="3" fontId="45" fillId="23" borderId="0" xfId="6" applyNumberFormat="1" applyFont="1" applyFill="1" applyBorder="1" applyAlignment="1" applyProtection="1">
      <alignment horizontal="right"/>
    </xf>
    <xf numFmtId="3" fontId="46" fillId="23" borderId="170" xfId="6" applyNumberFormat="1" applyFont="1" applyFill="1" applyBorder="1" applyAlignment="1" applyProtection="1">
      <alignment horizontal="right"/>
    </xf>
    <xf numFmtId="3" fontId="46" fillId="23" borderId="0" xfId="6" applyNumberFormat="1" applyFont="1" applyFill="1" applyBorder="1" applyAlignment="1" applyProtection="1">
      <alignment horizontal="right"/>
    </xf>
    <xf numFmtId="3" fontId="46" fillId="23" borderId="85" xfId="6" applyNumberFormat="1" applyFont="1" applyFill="1" applyBorder="1" applyAlignment="1" applyProtection="1">
      <alignment horizontal="right"/>
    </xf>
    <xf numFmtId="3" fontId="46" fillId="23" borderId="38" xfId="6" applyNumberFormat="1" applyFont="1" applyFill="1" applyBorder="1" applyAlignment="1" applyProtection="1">
      <alignment horizontal="right"/>
    </xf>
    <xf numFmtId="3" fontId="38" fillId="23" borderId="38" xfId="6" quotePrefix="1" applyNumberFormat="1" applyFont="1" applyFill="1" applyBorder="1" applyAlignment="1" applyProtection="1">
      <alignment horizontal="left"/>
    </xf>
    <xf numFmtId="3" fontId="45" fillId="23" borderId="38" xfId="6" applyNumberFormat="1" applyFont="1" applyFill="1" applyBorder="1" applyAlignment="1" applyProtection="1">
      <alignment horizontal="right"/>
    </xf>
    <xf numFmtId="3" fontId="45" fillId="23" borderId="58" xfId="6" applyNumberFormat="1" applyFont="1" applyFill="1" applyBorder="1" applyAlignment="1" applyProtection="1">
      <alignment horizontal="left"/>
    </xf>
    <xf numFmtId="3" fontId="3" fillId="23" borderId="9" xfId="6" applyNumberFormat="1" applyFont="1" applyFill="1" applyBorder="1" applyProtection="1"/>
    <xf numFmtId="3" fontId="49" fillId="23" borderId="9" xfId="6" applyNumberFormat="1" applyFont="1" applyFill="1" applyBorder="1" applyProtection="1"/>
    <xf numFmtId="9" fontId="49" fillId="23" borderId="9" xfId="6" applyNumberFormat="1" applyFont="1" applyFill="1" applyBorder="1" applyProtection="1"/>
    <xf numFmtId="3" fontId="4" fillId="23" borderId="94" xfId="6" applyNumberFormat="1" applyFont="1" applyFill="1" applyBorder="1" applyProtection="1"/>
    <xf numFmtId="167" fontId="4" fillId="23" borderId="120" xfId="6" applyNumberFormat="1" applyFont="1" applyFill="1" applyBorder="1" applyAlignment="1" applyProtection="1">
      <alignment horizontal="left"/>
    </xf>
    <xf numFmtId="3" fontId="3" fillId="23" borderId="2" xfId="6" applyNumberFormat="1" applyFont="1" applyFill="1" applyBorder="1" applyAlignment="1" applyProtection="1">
      <alignment horizontal="right"/>
    </xf>
    <xf numFmtId="167" fontId="45" fillId="23" borderId="56" xfId="6" applyNumberFormat="1" applyFont="1" applyFill="1" applyBorder="1" applyAlignment="1" applyProtection="1">
      <alignment horizontal="left"/>
    </xf>
    <xf numFmtId="3" fontId="3" fillId="23" borderId="5" xfId="6" applyNumberFormat="1" applyFont="1" applyFill="1" applyBorder="1" applyAlignment="1" applyProtection="1">
      <alignment horizontal="right"/>
    </xf>
    <xf numFmtId="3" fontId="3" fillId="23" borderId="9" xfId="6" applyNumberFormat="1" applyFont="1" applyFill="1" applyBorder="1" applyAlignment="1" applyProtection="1">
      <alignment horizontal="right"/>
    </xf>
    <xf numFmtId="3" fontId="4" fillId="23" borderId="51" xfId="6" applyNumberFormat="1" applyFont="1" applyFill="1" applyBorder="1" applyAlignment="1" applyProtection="1">
      <alignment horizontal="left"/>
    </xf>
    <xf numFmtId="3" fontId="4" fillId="23" borderId="52" xfId="6" applyNumberFormat="1" applyFont="1" applyFill="1" applyBorder="1" applyAlignment="1" applyProtection="1">
      <alignment horizontal="left"/>
    </xf>
    <xf numFmtId="0" fontId="3" fillId="23" borderId="0" xfId="6" applyFont="1" applyFill="1" applyProtection="1"/>
    <xf numFmtId="0" fontId="25" fillId="23" borderId="0" xfId="6" applyFill="1" applyProtection="1"/>
    <xf numFmtId="3" fontId="39" fillId="23" borderId="0" xfId="6" applyNumberFormat="1" applyFont="1" applyFill="1" applyBorder="1" applyProtection="1"/>
    <xf numFmtId="0" fontId="25" fillId="23" borderId="0" xfId="6" applyFont="1" applyFill="1" applyProtection="1"/>
    <xf numFmtId="0" fontId="3" fillId="23" borderId="0" xfId="6" applyFont="1" applyFill="1" applyBorder="1" applyProtection="1"/>
    <xf numFmtId="0" fontId="4" fillId="23" borderId="117" xfId="6" applyFont="1" applyFill="1" applyBorder="1" applyProtection="1"/>
    <xf numFmtId="0" fontId="4" fillId="23" borderId="120" xfId="6" applyFont="1" applyFill="1" applyBorder="1" applyProtection="1"/>
    <xf numFmtId="0" fontId="4" fillId="23" borderId="153" xfId="6" applyFont="1" applyFill="1" applyBorder="1" applyProtection="1"/>
    <xf numFmtId="0" fontId="4" fillId="23" borderId="56" xfId="6" applyFont="1" applyFill="1" applyBorder="1" applyProtection="1"/>
    <xf numFmtId="1" fontId="6" fillId="23" borderId="198" xfId="6" applyNumberFormat="1" applyFont="1" applyFill="1" applyBorder="1" applyAlignment="1" applyProtection="1">
      <alignment horizontal="left"/>
    </xf>
    <xf numFmtId="0" fontId="6" fillId="23" borderId="166" xfId="6" applyFont="1" applyFill="1" applyBorder="1" applyProtection="1"/>
    <xf numFmtId="0" fontId="4" fillId="23" borderId="3" xfId="6" applyFont="1" applyFill="1" applyBorder="1" applyProtection="1"/>
    <xf numFmtId="0" fontId="4" fillId="23" borderId="6" xfId="6" applyFont="1" applyFill="1" applyBorder="1" applyProtection="1"/>
    <xf numFmtId="1" fontId="6" fillId="23" borderId="57" xfId="6" applyNumberFormat="1" applyFont="1" applyFill="1" applyBorder="1" applyAlignment="1" applyProtection="1">
      <alignment horizontal="left"/>
    </xf>
    <xf numFmtId="1" fontId="4" fillId="23" borderId="57" xfId="6" applyNumberFormat="1" applyFont="1" applyFill="1" applyBorder="1" applyAlignment="1" applyProtection="1">
      <alignment horizontal="left"/>
    </xf>
    <xf numFmtId="1" fontId="6" fillId="23" borderId="124" xfId="6" applyNumberFormat="1" applyFont="1" applyFill="1" applyBorder="1" applyAlignment="1" applyProtection="1">
      <alignment horizontal="left"/>
    </xf>
    <xf numFmtId="0" fontId="6" fillId="23" borderId="113" xfId="6" applyFont="1" applyFill="1" applyBorder="1" applyProtection="1"/>
    <xf numFmtId="0" fontId="4" fillId="23" borderId="71" xfId="6" applyFont="1" applyFill="1" applyBorder="1" applyProtection="1"/>
    <xf numFmtId="3" fontId="4" fillId="23" borderId="55" xfId="0" applyNumberFormat="1" applyFont="1" applyFill="1" applyBorder="1" applyProtection="1"/>
    <xf numFmtId="49" fontId="8" fillId="23" borderId="57" xfId="0" applyNumberFormat="1" applyFont="1" applyFill="1" applyBorder="1" applyAlignment="1" applyProtection="1">
      <alignment horizontal="left"/>
    </xf>
    <xf numFmtId="49" fontId="13" fillId="23" borderId="57" xfId="0" applyNumberFormat="1" applyFont="1" applyFill="1" applyBorder="1" applyAlignment="1" applyProtection="1">
      <alignment horizontal="left"/>
    </xf>
    <xf numFmtId="1" fontId="6" fillId="23" borderId="133" xfId="0" applyNumberFormat="1" applyFont="1" applyFill="1" applyBorder="1" applyAlignment="1" applyProtection="1">
      <alignment horizontal="left"/>
    </xf>
    <xf numFmtId="1" fontId="4" fillId="23" borderId="22" xfId="0" applyNumberFormat="1" applyFont="1" applyFill="1" applyBorder="1" applyAlignment="1" applyProtection="1">
      <alignment horizontal="left"/>
    </xf>
    <xf numFmtId="1" fontId="6" fillId="23" borderId="22" xfId="0" applyNumberFormat="1" applyFont="1" applyFill="1" applyBorder="1" applyAlignment="1" applyProtection="1">
      <alignment horizontal="left"/>
    </xf>
    <xf numFmtId="1" fontId="4" fillId="23" borderId="24" xfId="0" applyNumberFormat="1" applyFont="1" applyFill="1" applyBorder="1" applyAlignment="1" applyProtection="1">
      <alignment horizontal="left"/>
    </xf>
    <xf numFmtId="1" fontId="6" fillId="23" borderId="57" xfId="0" applyNumberFormat="1" applyFont="1" applyFill="1" applyBorder="1" applyAlignment="1" applyProtection="1">
      <alignment horizontal="left"/>
    </xf>
    <xf numFmtId="1" fontId="6" fillId="23" borderId="128" xfId="0" applyNumberFormat="1" applyFont="1" applyFill="1" applyBorder="1" applyAlignment="1" applyProtection="1">
      <alignment horizontal="left"/>
    </xf>
    <xf numFmtId="1" fontId="6" fillId="23" borderId="129" xfId="0" applyNumberFormat="1" applyFont="1" applyFill="1" applyBorder="1" applyAlignment="1" applyProtection="1">
      <alignment horizontal="left"/>
    </xf>
    <xf numFmtId="3" fontId="4" fillId="23" borderId="194" xfId="0" applyNumberFormat="1" applyFont="1" applyFill="1" applyBorder="1" applyAlignment="1" applyProtection="1">
      <alignment wrapText="1"/>
    </xf>
    <xf numFmtId="3" fontId="4" fillId="23" borderId="120" xfId="0" applyNumberFormat="1" applyFont="1" applyFill="1" applyBorder="1" applyAlignment="1" applyProtection="1">
      <alignment wrapText="1"/>
    </xf>
    <xf numFmtId="3" fontId="4" fillId="23" borderId="43" xfId="0" applyNumberFormat="1" applyFont="1" applyFill="1" applyBorder="1" applyProtection="1"/>
    <xf numFmtId="3" fontId="4" fillId="23" borderId="0" xfId="0" applyNumberFormat="1" applyFont="1" applyFill="1" applyBorder="1" applyProtection="1"/>
    <xf numFmtId="0" fontId="3" fillId="23" borderId="0" xfId="0" applyFont="1" applyFill="1" applyBorder="1" applyAlignment="1" applyProtection="1">
      <alignment wrapText="1"/>
    </xf>
    <xf numFmtId="0" fontId="3" fillId="23" borderId="56" xfId="0" applyFont="1" applyFill="1" applyBorder="1" applyAlignment="1" applyProtection="1">
      <alignment wrapText="1"/>
    </xf>
    <xf numFmtId="0" fontId="10" fillId="23" borderId="175" xfId="0" applyFont="1" applyFill="1" applyBorder="1" applyAlignment="1" applyProtection="1">
      <alignment horizontal="left" wrapText="1"/>
    </xf>
    <xf numFmtId="0" fontId="10" fillId="23" borderId="175" xfId="0" applyFont="1" applyFill="1" applyBorder="1" applyAlignment="1" applyProtection="1">
      <alignment horizontal="left"/>
    </xf>
    <xf numFmtId="0" fontId="10" fillId="23" borderId="1" xfId="0" applyFont="1" applyFill="1" applyBorder="1" applyAlignment="1" applyProtection="1">
      <alignment horizontal="left" wrapText="1"/>
    </xf>
    <xf numFmtId="0" fontId="10" fillId="23" borderId="56" xfId="0" applyFont="1" applyFill="1" applyBorder="1" applyAlignment="1" applyProtection="1">
      <alignment horizontal="left" wrapText="1"/>
    </xf>
    <xf numFmtId="3" fontId="3" fillId="23" borderId="135" xfId="0" applyNumberFormat="1" applyFont="1" applyFill="1" applyBorder="1" applyAlignment="1" applyProtection="1">
      <alignment horizontal="right"/>
    </xf>
    <xf numFmtId="3" fontId="49" fillId="23" borderId="35" xfId="0" quotePrefix="1" applyNumberFormat="1" applyFont="1" applyFill="1" applyBorder="1" applyAlignment="1" applyProtection="1">
      <alignment horizontal="right"/>
    </xf>
    <xf numFmtId="3" fontId="4" fillId="23" borderId="197" xfId="0" applyNumberFormat="1" applyFont="1" applyFill="1" applyBorder="1" applyAlignment="1" applyProtection="1">
      <alignment horizontal="right"/>
    </xf>
    <xf numFmtId="3" fontId="4" fillId="23" borderId="169" xfId="0" applyNumberFormat="1" applyFont="1" applyFill="1" applyBorder="1" applyAlignment="1" applyProtection="1">
      <alignment horizontal="left"/>
    </xf>
    <xf numFmtId="3" fontId="3" fillId="23" borderId="5" xfId="0" applyNumberFormat="1" applyFont="1" applyFill="1" applyBorder="1" applyAlignment="1" applyProtection="1">
      <alignment horizontal="right"/>
    </xf>
    <xf numFmtId="3" fontId="49" fillId="23" borderId="2" xfId="0" applyNumberFormat="1" applyFont="1" applyFill="1" applyBorder="1" applyAlignment="1" applyProtection="1">
      <alignment horizontal="right"/>
    </xf>
    <xf numFmtId="3" fontId="38" fillId="23" borderId="2" xfId="0" quotePrefix="1" applyNumberFormat="1" applyFont="1" applyFill="1" applyBorder="1" applyAlignment="1" applyProtection="1">
      <alignment horizontal="left"/>
    </xf>
    <xf numFmtId="3" fontId="45" fillId="23" borderId="56" xfId="0" applyNumberFormat="1" applyFont="1" applyFill="1" applyBorder="1" applyAlignment="1" applyProtection="1">
      <alignment horizontal="left"/>
    </xf>
    <xf numFmtId="3" fontId="49" fillId="23" borderId="5" xfId="0" applyNumberFormat="1" applyFont="1" applyFill="1" applyBorder="1" applyAlignment="1" applyProtection="1">
      <alignment horizontal="right"/>
    </xf>
    <xf numFmtId="3" fontId="3" fillId="23" borderId="170" xfId="0" applyNumberFormat="1" applyFont="1" applyFill="1" applyBorder="1" applyAlignment="1" applyProtection="1">
      <alignment horizontal="right"/>
    </xf>
    <xf numFmtId="3" fontId="49" fillId="23" borderId="11" xfId="0" applyNumberFormat="1" applyFont="1" applyFill="1" applyBorder="1" applyAlignment="1" applyProtection="1">
      <alignment horizontal="right"/>
    </xf>
    <xf numFmtId="3" fontId="38" fillId="23" borderId="11" xfId="0" applyNumberFormat="1" applyFont="1" applyFill="1" applyBorder="1" applyAlignment="1" applyProtection="1">
      <alignment horizontal="left"/>
    </xf>
    <xf numFmtId="3" fontId="3" fillId="23" borderId="85" xfId="0" applyNumberFormat="1" applyFont="1" applyFill="1" applyBorder="1" applyAlignment="1" applyProtection="1">
      <alignment horizontal="right"/>
    </xf>
    <xf numFmtId="3" fontId="49" fillId="23" borderId="38" xfId="0" applyNumberFormat="1" applyFont="1" applyFill="1" applyBorder="1" applyAlignment="1" applyProtection="1">
      <alignment horizontal="right"/>
    </xf>
    <xf numFmtId="3" fontId="38" fillId="23" borderId="38" xfId="0" quotePrefix="1" applyNumberFormat="1" applyFont="1" applyFill="1" applyBorder="1" applyAlignment="1" applyProtection="1">
      <alignment horizontal="left"/>
    </xf>
    <xf numFmtId="3" fontId="45" fillId="23" borderId="38" xfId="0" applyNumberFormat="1" applyFont="1" applyFill="1" applyBorder="1" applyAlignment="1" applyProtection="1">
      <alignment horizontal="right"/>
    </xf>
    <xf numFmtId="3" fontId="3" fillId="23" borderId="2" xfId="0" applyNumberFormat="1" applyFont="1" applyFill="1" applyBorder="1" applyAlignment="1" applyProtection="1">
      <alignment horizontal="right"/>
    </xf>
    <xf numFmtId="3" fontId="38" fillId="23" borderId="2" xfId="0" applyNumberFormat="1" applyFont="1" applyFill="1" applyBorder="1" applyAlignment="1" applyProtection="1">
      <alignment horizontal="left"/>
    </xf>
    <xf numFmtId="3" fontId="4" fillId="23" borderId="55" xfId="0" applyNumberFormat="1" applyFont="1" applyFill="1" applyBorder="1" applyAlignment="1" applyProtection="1">
      <alignment horizontal="right"/>
    </xf>
    <xf numFmtId="3" fontId="4" fillId="23" borderId="120" xfId="0" applyNumberFormat="1" applyFont="1" applyFill="1" applyBorder="1" applyAlignment="1" applyProtection="1">
      <alignment horizontal="left"/>
    </xf>
    <xf numFmtId="3" fontId="38" fillId="23" borderId="38" xfId="0" applyNumberFormat="1" applyFont="1" applyFill="1" applyBorder="1" applyAlignment="1" applyProtection="1">
      <alignment horizontal="left"/>
    </xf>
    <xf numFmtId="3" fontId="45" fillId="23" borderId="53" xfId="0" applyNumberFormat="1" applyFont="1" applyFill="1" applyBorder="1" applyAlignment="1" applyProtection="1">
      <alignment horizontal="right"/>
    </xf>
    <xf numFmtId="3" fontId="4" fillId="23" borderId="53" xfId="0" applyNumberFormat="1" applyFont="1" applyFill="1" applyBorder="1" applyAlignment="1" applyProtection="1">
      <alignment horizontal="right"/>
    </xf>
    <xf numFmtId="3" fontId="4" fillId="23" borderId="51" xfId="0" applyNumberFormat="1" applyFont="1" applyFill="1" applyBorder="1" applyAlignment="1" applyProtection="1">
      <alignment horizontal="left"/>
    </xf>
    <xf numFmtId="3" fontId="3" fillId="23" borderId="25" xfId="0" applyNumberFormat="1" applyFont="1" applyFill="1" applyBorder="1" applyAlignment="1" applyProtection="1">
      <alignment horizontal="right"/>
    </xf>
    <xf numFmtId="3" fontId="49" fillId="23" borderId="13" xfId="0" quotePrefix="1" applyNumberFormat="1" applyFont="1" applyFill="1" applyBorder="1" applyAlignment="1" applyProtection="1">
      <alignment horizontal="right"/>
    </xf>
    <xf numFmtId="3" fontId="38" fillId="23" borderId="13" xfId="0" applyNumberFormat="1" applyFont="1" applyFill="1" applyBorder="1" applyAlignment="1" applyProtection="1">
      <alignment horizontal="left"/>
    </xf>
    <xf numFmtId="3" fontId="45" fillId="23" borderId="85" xfId="0" applyNumberFormat="1" applyFont="1" applyFill="1" applyBorder="1" applyAlignment="1" applyProtection="1">
      <alignment horizontal="right"/>
    </xf>
    <xf numFmtId="3" fontId="45" fillId="23" borderId="79" xfId="0" applyNumberFormat="1" applyFont="1" applyFill="1" applyBorder="1" applyAlignment="1" applyProtection="1">
      <alignment horizontal="right"/>
    </xf>
    <xf numFmtId="3" fontId="4" fillId="23" borderId="56" xfId="0" applyNumberFormat="1" applyFont="1" applyFill="1" applyBorder="1" applyAlignment="1" applyProtection="1">
      <alignment horizontal="left"/>
    </xf>
    <xf numFmtId="3" fontId="46" fillId="23" borderId="15" xfId="0" applyNumberFormat="1" applyFont="1" applyFill="1" applyBorder="1" applyAlignment="1" applyProtection="1">
      <alignment horizontal="right"/>
    </xf>
    <xf numFmtId="3" fontId="49" fillId="23" borderId="15" xfId="0" applyNumberFormat="1" applyFont="1" applyFill="1" applyBorder="1" applyAlignment="1" applyProtection="1">
      <alignment horizontal="right"/>
    </xf>
    <xf numFmtId="3" fontId="46" fillId="23" borderId="25" xfId="0" applyNumberFormat="1" applyFont="1" applyFill="1" applyBorder="1" applyAlignment="1" applyProtection="1">
      <alignment horizontal="right"/>
    </xf>
    <xf numFmtId="3" fontId="49" fillId="23" borderId="25" xfId="0" applyNumberFormat="1" applyFont="1" applyFill="1" applyBorder="1" applyAlignment="1" applyProtection="1">
      <alignment horizontal="right"/>
    </xf>
    <xf numFmtId="3" fontId="38" fillId="23" borderId="25" xfId="0" quotePrefix="1" applyNumberFormat="1" applyFont="1" applyFill="1" applyBorder="1" applyAlignment="1" applyProtection="1">
      <alignment horizontal="left"/>
    </xf>
    <xf numFmtId="0" fontId="126" fillId="0" borderId="0" xfId="5" applyFont="1" applyFill="1" applyAlignment="1" applyProtection="1"/>
    <xf numFmtId="3" fontId="3" fillId="9" borderId="20" xfId="0" applyNumberFormat="1" applyFont="1" applyFill="1" applyBorder="1" applyProtection="1"/>
    <xf numFmtId="3" fontId="3" fillId="9" borderId="19" xfId="0" applyNumberFormat="1" applyFont="1" applyFill="1" applyBorder="1" applyProtection="1"/>
    <xf numFmtId="0" fontId="127" fillId="0" borderId="0" xfId="5" applyFont="1" applyFill="1" applyBorder="1" applyAlignment="1" applyProtection="1"/>
    <xf numFmtId="49" fontId="127" fillId="0" borderId="0" xfId="5" applyNumberFormat="1" applyFont="1" applyAlignment="1" applyProtection="1">
      <alignment horizontal="left"/>
    </xf>
    <xf numFmtId="0" fontId="127" fillId="0" borderId="0" xfId="5" applyFont="1" applyFill="1" applyAlignment="1" applyProtection="1"/>
    <xf numFmtId="0" fontId="127" fillId="2" borderId="0" xfId="5" applyFont="1" applyFill="1" applyAlignment="1" applyProtection="1">
      <alignment vertical="top"/>
    </xf>
    <xf numFmtId="49" fontId="136" fillId="16" borderId="5" xfId="0" applyNumberFormat="1" applyFont="1" applyFill="1" applyBorder="1" applyAlignment="1" applyProtection="1">
      <alignment horizontal="right"/>
    </xf>
    <xf numFmtId="170" fontId="38" fillId="0" borderId="0" xfId="0" applyNumberFormat="1" applyFont="1" applyFill="1" applyBorder="1" applyAlignment="1" applyProtection="1">
      <alignment horizontal="left" vertical="justify" wrapText="1"/>
    </xf>
    <xf numFmtId="0" fontId="4" fillId="23" borderId="117" xfId="0" applyFont="1" applyFill="1" applyBorder="1" applyAlignment="1" applyProtection="1">
      <alignment horizontal="right"/>
    </xf>
    <xf numFmtId="9" fontId="4" fillId="23" borderId="117" xfId="0" applyNumberFormat="1" applyFont="1" applyFill="1" applyBorder="1" applyAlignment="1" applyProtection="1">
      <alignment horizontal="right"/>
    </xf>
    <xf numFmtId="9" fontId="4" fillId="23" borderId="15" xfId="0" applyNumberFormat="1" applyFont="1" applyFill="1" applyBorder="1" applyAlignment="1" applyProtection="1">
      <alignment horizontal="right"/>
    </xf>
    <xf numFmtId="9" fontId="4" fillId="23" borderId="13" xfId="0" applyNumberFormat="1" applyFont="1" applyFill="1" applyBorder="1" applyAlignment="1" applyProtection="1">
      <alignment horizontal="right"/>
    </xf>
    <xf numFmtId="0" fontId="9" fillId="23" borderId="97" xfId="0" applyFont="1" applyFill="1" applyBorder="1" applyAlignment="1" applyProtection="1">
      <alignment horizontal="center"/>
    </xf>
    <xf numFmtId="0" fontId="9" fillId="23" borderId="126" xfId="0" applyFont="1" applyFill="1" applyBorder="1" applyAlignment="1" applyProtection="1">
      <alignment horizontal="center"/>
    </xf>
    <xf numFmtId="9" fontId="4" fillId="23" borderId="67" xfId="0" applyNumberFormat="1" applyFont="1" applyFill="1" applyBorder="1" applyAlignment="1" applyProtection="1">
      <alignment horizontal="right"/>
    </xf>
    <xf numFmtId="0" fontId="9" fillId="23" borderId="129" xfId="0" applyFont="1" applyFill="1" applyBorder="1" applyAlignment="1" applyProtection="1">
      <alignment horizontal="center"/>
    </xf>
    <xf numFmtId="0" fontId="4" fillId="23" borderId="97" xfId="0" applyFont="1" applyFill="1" applyBorder="1" applyAlignment="1" applyProtection="1">
      <alignment horizontal="center"/>
    </xf>
    <xf numFmtId="0" fontId="137" fillId="23" borderId="87" xfId="0" applyFont="1" applyFill="1" applyBorder="1" applyAlignment="1" applyProtection="1">
      <alignment horizontal="left"/>
    </xf>
    <xf numFmtId="0" fontId="137" fillId="23" borderId="59" xfId="0" applyFont="1" applyFill="1" applyBorder="1" applyAlignment="1" applyProtection="1">
      <alignment horizontal="left"/>
    </xf>
    <xf numFmtId="0" fontId="137" fillId="23" borderId="18" xfId="0" applyFont="1" applyFill="1" applyBorder="1" applyAlignment="1" applyProtection="1">
      <alignment horizontal="left"/>
    </xf>
    <xf numFmtId="0" fontId="137" fillId="23" borderId="68" xfId="0" applyFont="1" applyFill="1" applyBorder="1" applyAlignment="1" applyProtection="1">
      <alignment horizontal="left"/>
    </xf>
    <xf numFmtId="0" fontId="137" fillId="23" borderId="84" xfId="0" applyFont="1" applyFill="1" applyBorder="1" applyAlignment="1" applyProtection="1">
      <alignment horizontal="left"/>
    </xf>
    <xf numFmtId="0" fontId="137" fillId="23" borderId="87" xfId="0" applyFont="1" applyFill="1" applyBorder="1" applyAlignment="1" applyProtection="1">
      <alignment horizontal="right"/>
    </xf>
    <xf numFmtId="0" fontId="137" fillId="23" borderId="59" xfId="0" applyFont="1" applyFill="1" applyBorder="1" applyAlignment="1" applyProtection="1">
      <alignment horizontal="right"/>
    </xf>
    <xf numFmtId="0" fontId="137" fillId="23" borderId="18" xfId="0" applyFont="1" applyFill="1" applyBorder="1" applyAlignment="1" applyProtection="1">
      <alignment horizontal="right"/>
    </xf>
    <xf numFmtId="9" fontId="137" fillId="23" borderId="26" xfId="0" applyNumberFormat="1" applyFont="1" applyFill="1" applyBorder="1" applyAlignment="1" applyProtection="1">
      <alignment horizontal="right"/>
    </xf>
    <xf numFmtId="0" fontId="137" fillId="23" borderId="68" xfId="0" applyFont="1" applyFill="1" applyBorder="1" applyAlignment="1" applyProtection="1">
      <alignment horizontal="right"/>
    </xf>
    <xf numFmtId="9" fontId="137" fillId="23" borderId="84" xfId="0" applyNumberFormat="1" applyFont="1" applyFill="1" applyBorder="1" applyAlignment="1" applyProtection="1">
      <alignment horizontal="right"/>
    </xf>
    <xf numFmtId="0" fontId="9" fillId="0" borderId="123" xfId="0" applyFont="1" applyFill="1" applyBorder="1" applyAlignment="1" applyProtection="1">
      <alignment horizontal="center"/>
    </xf>
    <xf numFmtId="0" fontId="4" fillId="0" borderId="123" xfId="0" applyFont="1" applyFill="1" applyBorder="1" applyAlignment="1" applyProtection="1">
      <alignment horizontal="right"/>
    </xf>
    <xf numFmtId="9" fontId="4" fillId="0" borderId="123" xfId="0" applyNumberFormat="1" applyFont="1" applyFill="1" applyBorder="1" applyAlignment="1" applyProtection="1">
      <alignment horizontal="right"/>
    </xf>
    <xf numFmtId="0" fontId="137" fillId="0" borderId="123" xfId="0" applyFont="1" applyFill="1" applyBorder="1" applyAlignment="1" applyProtection="1">
      <alignment horizontal="right"/>
    </xf>
    <xf numFmtId="9" fontId="4" fillId="23" borderId="106" xfId="0" applyNumberFormat="1" applyFont="1" applyFill="1" applyBorder="1" applyAlignment="1" applyProtection="1">
      <alignment horizontal="right"/>
    </xf>
    <xf numFmtId="9" fontId="4" fillId="23" borderId="53" xfId="0" applyNumberFormat="1" applyFont="1" applyFill="1" applyBorder="1" applyAlignment="1" applyProtection="1">
      <alignment horizontal="right"/>
    </xf>
    <xf numFmtId="0" fontId="38" fillId="0" borderId="0" xfId="0" applyFont="1" applyFill="1" applyAlignment="1" applyProtection="1">
      <alignment horizontal="right"/>
    </xf>
    <xf numFmtId="0" fontId="0" fillId="30" borderId="0" xfId="0" applyFill="1"/>
    <xf numFmtId="49" fontId="25" fillId="2" borderId="123" xfId="0" applyNumberFormat="1" applyFont="1" applyFill="1" applyBorder="1" applyProtection="1"/>
    <xf numFmtId="0" fontId="25" fillId="2" borderId="123" xfId="0" applyFont="1" applyFill="1" applyBorder="1" applyProtection="1"/>
    <xf numFmtId="0" fontId="9" fillId="2" borderId="123" xfId="0" applyFont="1" applyFill="1" applyBorder="1" applyProtection="1"/>
    <xf numFmtId="0" fontId="3" fillId="0" borderId="0" xfId="0" applyFont="1" applyFill="1" applyBorder="1" applyAlignment="1" applyProtection="1">
      <alignment vertical="top"/>
    </xf>
    <xf numFmtId="0" fontId="3" fillId="0" borderId="0" xfId="0" applyFont="1" applyFill="1" applyBorder="1" applyAlignment="1" applyProtection="1"/>
    <xf numFmtId="0" fontId="25" fillId="2" borderId="0" xfId="0" applyFont="1" applyFill="1" applyBorder="1" applyAlignment="1" applyProtection="1">
      <alignment vertical="top"/>
    </xf>
    <xf numFmtId="0" fontId="0" fillId="0" borderId="0" xfId="0" applyBorder="1" applyAlignment="1">
      <alignment vertical="top"/>
    </xf>
    <xf numFmtId="0" fontId="3" fillId="0" borderId="66" xfId="0" applyFont="1" applyFill="1" applyBorder="1" applyAlignment="1" applyProtection="1">
      <alignment vertical="top"/>
    </xf>
    <xf numFmtId="0" fontId="3" fillId="0" borderId="141" xfId="0" applyFont="1" applyFill="1" applyBorder="1" applyAlignment="1" applyProtection="1">
      <alignment vertical="top"/>
    </xf>
    <xf numFmtId="0" fontId="3" fillId="0" borderId="1" xfId="0" applyFont="1" applyFill="1" applyBorder="1" applyAlignment="1" applyProtection="1">
      <alignment vertical="top"/>
    </xf>
    <xf numFmtId="0" fontId="3"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wrapText="1"/>
    </xf>
    <xf numFmtId="0" fontId="39" fillId="0" borderId="57" xfId="0" applyFont="1" applyFill="1" applyBorder="1" applyProtection="1"/>
    <xf numFmtId="0" fontId="39" fillId="0" borderId="0" xfId="0" applyFont="1" applyFill="1" applyProtection="1"/>
    <xf numFmtId="0" fontId="137" fillId="0" borderId="0" xfId="0" applyFont="1" applyFill="1" applyProtection="1"/>
    <xf numFmtId="0" fontId="137" fillId="23" borderId="19" xfId="0" applyFont="1" applyFill="1" applyBorder="1" applyAlignment="1" applyProtection="1">
      <alignment horizontal="left"/>
    </xf>
    <xf numFmtId="0" fontId="6" fillId="23" borderId="41" xfId="0" applyFont="1" applyFill="1" applyBorder="1" applyAlignment="1" applyProtection="1">
      <alignment wrapText="1"/>
    </xf>
    <xf numFmtId="3" fontId="40" fillId="0" borderId="0" xfId="0" applyNumberFormat="1" applyFont="1" applyFill="1" applyBorder="1" applyProtection="1"/>
    <xf numFmtId="3" fontId="3" fillId="31" borderId="18" xfId="0" applyNumberFormat="1" applyFont="1" applyFill="1" applyBorder="1" applyAlignment="1" applyProtection="1">
      <alignment horizontal="right"/>
    </xf>
    <xf numFmtId="0" fontId="138" fillId="0" borderId="123" xfId="0" applyFont="1" applyFill="1" applyBorder="1" applyProtection="1"/>
    <xf numFmtId="3" fontId="38" fillId="23" borderId="135" xfId="6" quotePrefix="1" applyNumberFormat="1" applyFont="1" applyFill="1" applyBorder="1" applyProtection="1"/>
    <xf numFmtId="3" fontId="38" fillId="23" borderId="9" xfId="6" quotePrefix="1" applyNumberFormat="1" applyFont="1" applyFill="1" applyBorder="1" applyProtection="1"/>
    <xf numFmtId="3" fontId="3" fillId="23" borderId="155" xfId="0" applyNumberFormat="1" applyFont="1" applyFill="1" applyBorder="1" applyAlignment="1" applyProtection="1">
      <alignment horizontal="right"/>
    </xf>
    <xf numFmtId="3" fontId="3" fillId="23" borderId="117" xfId="0" applyNumberFormat="1" applyFont="1" applyFill="1" applyBorder="1" applyAlignment="1" applyProtection="1">
      <alignment horizontal="right"/>
    </xf>
    <xf numFmtId="3" fontId="3" fillId="23" borderId="13" xfId="0" applyNumberFormat="1" applyFont="1" applyFill="1" applyBorder="1" applyAlignment="1" applyProtection="1">
      <alignment horizontal="right"/>
    </xf>
    <xf numFmtId="0" fontId="139" fillId="0" borderId="0" xfId="0" applyFont="1" applyFill="1" applyProtection="1"/>
    <xf numFmtId="0" fontId="140" fillId="2" borderId="0" xfId="0" applyFont="1" applyFill="1" applyAlignment="1" applyProtection="1">
      <alignment horizontal="left"/>
    </xf>
    <xf numFmtId="0" fontId="10" fillId="0" borderId="0" xfId="0" applyFont="1" applyProtection="1"/>
    <xf numFmtId="3" fontId="11" fillId="31" borderId="7" xfId="0" applyNumberFormat="1" applyFont="1" applyFill="1" applyBorder="1" applyProtection="1"/>
    <xf numFmtId="3" fontId="11" fillId="31" borderId="5" xfId="0" applyNumberFormat="1" applyFont="1" applyFill="1" applyBorder="1" applyProtection="1"/>
    <xf numFmtId="3" fontId="11" fillId="31" borderId="19" xfId="0" applyNumberFormat="1" applyFont="1" applyFill="1" applyBorder="1" applyProtection="1"/>
    <xf numFmtId="0" fontId="38" fillId="23" borderId="0" xfId="0" applyFont="1" applyFill="1" applyBorder="1" applyAlignment="1" applyProtection="1"/>
    <xf numFmtId="0" fontId="38" fillId="23" borderId="38" xfId="0" applyFont="1" applyFill="1" applyBorder="1" applyAlignment="1" applyProtection="1"/>
    <xf numFmtId="0" fontId="38" fillId="23" borderId="27" xfId="0" applyFont="1" applyFill="1" applyBorder="1" applyProtection="1"/>
    <xf numFmtId="49" fontId="3" fillId="10" borderId="138" xfId="0" applyNumberFormat="1" applyFont="1" applyFill="1" applyBorder="1" applyAlignment="1" applyProtection="1"/>
    <xf numFmtId="0" fontId="38" fillId="23" borderId="57" xfId="0" applyFont="1" applyFill="1" applyBorder="1" applyProtection="1"/>
    <xf numFmtId="0" fontId="38" fillId="23" borderId="0" xfId="0" applyFont="1" applyFill="1" applyAlignment="1" applyProtection="1">
      <alignment horizontal="left"/>
    </xf>
    <xf numFmtId="0" fontId="141" fillId="7" borderId="0" xfId="0" applyFont="1" applyFill="1" applyProtection="1"/>
    <xf numFmtId="1" fontId="4" fillId="23" borderId="200" xfId="0" applyNumberFormat="1" applyFont="1" applyFill="1" applyBorder="1" applyAlignment="1" applyProtection="1">
      <alignment horizontal="center" wrapText="1"/>
    </xf>
    <xf numFmtId="0" fontId="2" fillId="0" borderId="0" xfId="0" applyFont="1" applyFill="1" applyProtection="1"/>
    <xf numFmtId="0" fontId="44" fillId="0" borderId="0" xfId="0" applyFont="1" applyFill="1" applyBorder="1" applyAlignment="1" applyProtection="1">
      <alignment horizontal="center"/>
    </xf>
    <xf numFmtId="3" fontId="85" fillId="0" borderId="0" xfId="0" applyNumberFormat="1" applyFont="1" applyFill="1" applyBorder="1" applyAlignment="1" applyProtection="1">
      <alignment horizontal="center"/>
    </xf>
    <xf numFmtId="0" fontId="42" fillId="0" borderId="0" xfId="0" applyFont="1" applyFill="1" applyProtection="1"/>
    <xf numFmtId="3" fontId="137" fillId="0" borderId="0" xfId="0" quotePrefix="1"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1" fontId="6" fillId="0" borderId="0" xfId="0" applyNumberFormat="1" applyFont="1" applyFill="1" applyBorder="1" applyAlignment="1" applyProtection="1">
      <alignment horizontal="left"/>
    </xf>
    <xf numFmtId="0" fontId="106" fillId="0" borderId="0" xfId="0" applyFont="1" applyFill="1" applyProtection="1"/>
    <xf numFmtId="0" fontId="137" fillId="2" borderId="0" xfId="0" applyFont="1" applyFill="1" applyProtection="1"/>
    <xf numFmtId="0" fontId="6" fillId="23" borderId="69" xfId="0" applyFont="1" applyFill="1" applyBorder="1" applyAlignment="1" applyProtection="1">
      <alignment horizontal="left"/>
    </xf>
    <xf numFmtId="165" fontId="49" fillId="23" borderId="0" xfId="0" applyNumberFormat="1" applyFont="1" applyFill="1" applyBorder="1" applyProtection="1"/>
    <xf numFmtId="3" fontId="49" fillId="24" borderId="0" xfId="0" applyNumberFormat="1" applyFont="1" applyFill="1" applyBorder="1" applyAlignment="1" applyProtection="1">
      <alignment horizontal="right"/>
    </xf>
    <xf numFmtId="3" fontId="49" fillId="25" borderId="0" xfId="0" applyNumberFormat="1" applyFont="1" applyFill="1" applyBorder="1" applyProtection="1"/>
    <xf numFmtId="165" fontId="49" fillId="0" borderId="0" xfId="0" applyNumberFormat="1" applyFont="1" applyFill="1" applyBorder="1" applyProtection="1"/>
    <xf numFmtId="3" fontId="49" fillId="0" borderId="0" xfId="0" applyNumberFormat="1" applyFont="1" applyFill="1" applyBorder="1" applyAlignment="1" applyProtection="1">
      <alignment horizontal="right"/>
    </xf>
    <xf numFmtId="3" fontId="49" fillId="0" borderId="0" xfId="0" applyNumberFormat="1" applyFont="1" applyFill="1" applyBorder="1" applyProtection="1"/>
    <xf numFmtId="3" fontId="49" fillId="24" borderId="121" xfId="0" applyNumberFormat="1" applyFont="1" applyFill="1" applyBorder="1" applyProtection="1"/>
    <xf numFmtId="3" fontId="11" fillId="0" borderId="10" xfId="0" applyNumberFormat="1" applyFont="1" applyFill="1" applyBorder="1" applyAlignment="1" applyProtection="1">
      <alignment horizontal="right"/>
      <protection locked="0"/>
    </xf>
    <xf numFmtId="3" fontId="14" fillId="0" borderId="71" xfId="0" applyNumberFormat="1" applyFont="1" applyFill="1" applyBorder="1" applyAlignment="1" applyProtection="1">
      <alignment horizontal="right"/>
      <protection locked="0"/>
    </xf>
    <xf numFmtId="49" fontId="9" fillId="23" borderId="201" xfId="0" applyNumberFormat="1" applyFont="1" applyFill="1" applyBorder="1" applyAlignment="1" applyProtection="1">
      <alignment horizontal="center"/>
    </xf>
    <xf numFmtId="1" fontId="9" fillId="23" borderId="202" xfId="0" applyNumberFormat="1" applyFont="1" applyFill="1" applyBorder="1" applyAlignment="1" applyProtection="1">
      <alignment horizontal="center"/>
    </xf>
    <xf numFmtId="1" fontId="9" fillId="23" borderId="202" xfId="0" applyNumberFormat="1" applyFont="1" applyFill="1" applyBorder="1" applyAlignment="1" applyProtection="1">
      <alignment horizontal="left"/>
    </xf>
    <xf numFmtId="3" fontId="14" fillId="2" borderId="203" xfId="0" applyNumberFormat="1" applyFont="1" applyFill="1" applyBorder="1" applyAlignment="1" applyProtection="1">
      <alignment horizontal="right"/>
      <protection locked="0"/>
    </xf>
    <xf numFmtId="0" fontId="4" fillId="23" borderId="116" xfId="0" applyFont="1" applyFill="1" applyBorder="1" applyAlignment="1" applyProtection="1">
      <alignment horizontal="left" vertical="top" wrapText="1"/>
    </xf>
    <xf numFmtId="0" fontId="36" fillId="23" borderId="167" xfId="0" applyFont="1" applyFill="1" applyBorder="1" applyAlignment="1" applyProtection="1">
      <alignment horizontal="left" vertical="top" wrapText="1"/>
    </xf>
    <xf numFmtId="0" fontId="25" fillId="23" borderId="157" xfId="0" applyFont="1" applyFill="1" applyBorder="1" applyAlignment="1" applyProtection="1">
      <alignment horizontal="left" wrapText="1"/>
    </xf>
    <xf numFmtId="0" fontId="4" fillId="23" borderId="156" xfId="0" applyFont="1" applyFill="1" applyBorder="1" applyAlignment="1" applyProtection="1">
      <alignment vertical="top" wrapText="1"/>
    </xf>
    <xf numFmtId="0" fontId="4" fillId="23" borderId="135" xfId="0" applyFont="1" applyFill="1" applyBorder="1" applyAlignment="1" applyProtection="1">
      <alignment horizontal="left" vertical="top" wrapText="1"/>
    </xf>
    <xf numFmtId="49" fontId="4" fillId="23" borderId="132" xfId="0" applyNumberFormat="1" applyFont="1" applyFill="1" applyBorder="1" applyAlignment="1" applyProtection="1">
      <alignment horizontal="left"/>
    </xf>
    <xf numFmtId="0" fontId="9" fillId="0" borderId="0" xfId="0" applyFont="1" applyFill="1" applyBorder="1" applyAlignment="1" applyProtection="1">
      <alignment horizontal="center"/>
    </xf>
    <xf numFmtId="3" fontId="3" fillId="3" borderId="39" xfId="0" applyNumberFormat="1" applyFont="1" applyFill="1" applyBorder="1" applyProtection="1"/>
    <xf numFmtId="3" fontId="4" fillId="23" borderId="160" xfId="0" applyNumberFormat="1" applyFont="1" applyFill="1" applyBorder="1" applyAlignment="1" applyProtection="1">
      <alignment horizontal="left" vertical="top" wrapText="1"/>
    </xf>
    <xf numFmtId="0" fontId="4" fillId="23" borderId="55" xfId="0" applyFont="1" applyFill="1" applyBorder="1" applyAlignment="1" applyProtection="1">
      <alignment vertical="top" wrapText="1"/>
    </xf>
    <xf numFmtId="0" fontId="4" fillId="23" borderId="61" xfId="0" applyFont="1" applyFill="1" applyBorder="1" applyProtection="1"/>
    <xf numFmtId="3" fontId="4" fillId="23" borderId="157" xfId="0" applyNumberFormat="1" applyFont="1" applyFill="1" applyBorder="1" applyAlignment="1" applyProtection="1">
      <alignment vertical="top" wrapText="1"/>
    </xf>
    <xf numFmtId="3" fontId="4" fillId="23" borderId="16" xfId="0" applyNumberFormat="1" applyFont="1" applyFill="1" applyBorder="1" applyAlignment="1" applyProtection="1">
      <alignment vertical="top" wrapText="1"/>
    </xf>
    <xf numFmtId="0" fontId="4" fillId="23" borderId="97" xfId="0" applyFont="1" applyFill="1" applyBorder="1" applyAlignment="1" applyProtection="1">
      <alignment vertical="top"/>
    </xf>
    <xf numFmtId="0" fontId="4" fillId="23" borderId="123" xfId="0" applyFont="1" applyFill="1" applyBorder="1" applyAlignment="1" applyProtection="1">
      <alignment vertical="top"/>
    </xf>
    <xf numFmtId="0" fontId="4" fillId="23" borderId="101" xfId="0" applyFont="1" applyFill="1" applyBorder="1" applyAlignment="1" applyProtection="1">
      <alignment vertical="top"/>
    </xf>
    <xf numFmtId="0" fontId="4" fillId="23" borderId="95" xfId="0" applyFont="1" applyFill="1" applyBorder="1" applyAlignment="1" applyProtection="1">
      <alignment vertical="top"/>
    </xf>
    <xf numFmtId="0" fontId="6" fillId="23" borderId="163" xfId="0" applyFont="1" applyFill="1" applyBorder="1" applyAlignment="1" applyProtection="1">
      <alignment vertical="top"/>
    </xf>
    <xf numFmtId="0" fontId="4" fillId="23" borderId="163" xfId="0" applyFont="1" applyFill="1" applyBorder="1" applyAlignment="1" applyProtection="1">
      <alignment vertical="top"/>
    </xf>
    <xf numFmtId="0" fontId="4" fillId="23" borderId="204" xfId="0" applyFont="1" applyFill="1" applyBorder="1" applyAlignment="1" applyProtection="1">
      <alignment vertical="top"/>
    </xf>
    <xf numFmtId="0" fontId="4" fillId="23" borderId="136" xfId="0" applyFont="1" applyFill="1" applyBorder="1" applyAlignment="1" applyProtection="1">
      <alignment vertical="top"/>
    </xf>
    <xf numFmtId="0" fontId="8" fillId="0" borderId="0" xfId="0" applyFont="1" applyFill="1" applyBorder="1" applyAlignment="1" applyProtection="1">
      <alignment vertical="top"/>
    </xf>
    <xf numFmtId="0" fontId="6" fillId="23" borderId="194" xfId="0" applyFont="1" applyFill="1" applyBorder="1" applyAlignment="1" applyProtection="1">
      <alignment vertical="center"/>
    </xf>
    <xf numFmtId="0" fontId="6" fillId="23" borderId="205" xfId="0" applyFont="1" applyFill="1" applyBorder="1" applyAlignment="1" applyProtection="1">
      <alignment vertical="center"/>
    </xf>
    <xf numFmtId="1" fontId="9" fillId="23" borderId="129" xfId="0" applyNumberFormat="1" applyFont="1" applyFill="1" applyBorder="1" applyAlignment="1" applyProtection="1">
      <alignment horizontal="left"/>
    </xf>
    <xf numFmtId="1" fontId="9" fillId="23" borderId="93" xfId="0" applyNumberFormat="1" applyFont="1" applyFill="1" applyBorder="1" applyAlignment="1" applyProtection="1">
      <alignment horizontal="left"/>
    </xf>
    <xf numFmtId="3" fontId="9" fillId="23" borderId="7" xfId="0" applyNumberFormat="1" applyFont="1" applyFill="1" applyBorder="1" applyProtection="1"/>
    <xf numFmtId="0" fontId="4" fillId="23" borderId="100" xfId="6" applyFont="1" applyFill="1" applyBorder="1" applyAlignment="1" applyProtection="1">
      <alignment horizontal="left" wrapText="1"/>
    </xf>
    <xf numFmtId="9" fontId="49" fillId="23" borderId="5" xfId="0" quotePrefix="1" applyNumberFormat="1" applyFont="1" applyFill="1" applyBorder="1" applyAlignment="1" applyProtection="1">
      <alignment horizontal="right"/>
    </xf>
    <xf numFmtId="9" fontId="49" fillId="23" borderId="9" xfId="0" quotePrefix="1" applyNumberFormat="1" applyFont="1" applyFill="1" applyBorder="1" applyAlignment="1" applyProtection="1">
      <alignment horizontal="right"/>
    </xf>
    <xf numFmtId="9" fontId="49" fillId="23" borderId="25" xfId="0" quotePrefix="1" applyNumberFormat="1" applyFont="1" applyFill="1" applyBorder="1" applyAlignment="1" applyProtection="1">
      <alignment horizontal="right"/>
    </xf>
    <xf numFmtId="0" fontId="4" fillId="23" borderId="55" xfId="6" applyFont="1" applyFill="1" applyBorder="1" applyAlignment="1" applyProtection="1">
      <alignment horizontal="right"/>
    </xf>
    <xf numFmtId="0" fontId="0" fillId="0" borderId="0" xfId="0" applyFill="1" applyAlignment="1">
      <alignment vertical="top" wrapText="1"/>
    </xf>
    <xf numFmtId="3" fontId="3" fillId="0" borderId="0" xfId="0" applyNumberFormat="1" applyFont="1" applyFill="1" applyBorder="1" applyProtection="1"/>
    <xf numFmtId="0" fontId="22" fillId="0" borderId="0" xfId="6" applyFont="1" applyFill="1" applyBorder="1" applyAlignment="1" applyProtection="1">
      <alignment horizontal="left"/>
    </xf>
    <xf numFmtId="0" fontId="10" fillId="0" borderId="0" xfId="6" applyFont="1" applyFill="1" applyProtection="1"/>
    <xf numFmtId="0" fontId="22" fillId="2" borderId="0" xfId="6" applyNumberFormat="1" applyFont="1" applyFill="1" applyAlignment="1" applyProtection="1">
      <alignment horizontal="left"/>
    </xf>
    <xf numFmtId="0" fontId="10" fillId="0" borderId="0" xfId="6" applyFont="1" applyFill="1" applyBorder="1" applyAlignment="1" applyProtection="1">
      <alignment horizontal="left"/>
    </xf>
    <xf numFmtId="0" fontId="10" fillId="2" borderId="0" xfId="6" applyNumberFormat="1" applyFont="1" applyFill="1" applyAlignment="1" applyProtection="1">
      <alignment horizontal="left"/>
    </xf>
    <xf numFmtId="0" fontId="22" fillId="0" borderId="0" xfId="6" applyFont="1" applyFill="1" applyProtection="1"/>
    <xf numFmtId="3" fontId="4" fillId="23" borderId="158" xfId="6" applyNumberFormat="1" applyFont="1" applyFill="1" applyBorder="1" applyAlignment="1" applyProtection="1">
      <alignment vertical="top"/>
    </xf>
    <xf numFmtId="0" fontId="6" fillId="23" borderId="156" xfId="6" applyFont="1" applyFill="1" applyBorder="1" applyProtection="1"/>
    <xf numFmtId="0" fontId="4" fillId="23" borderId="0" xfId="6" applyFont="1" applyFill="1" applyBorder="1" applyAlignment="1" applyProtection="1">
      <alignment wrapText="1"/>
    </xf>
    <xf numFmtId="3" fontId="14" fillId="2" borderId="184" xfId="0" applyNumberFormat="1" applyFont="1" applyFill="1" applyBorder="1" applyAlignment="1" applyProtection="1">
      <alignment horizontal="right"/>
      <protection locked="0"/>
    </xf>
    <xf numFmtId="0" fontId="3" fillId="0" borderId="0" xfId="0" applyFont="1" applyFill="1" applyBorder="1" applyAlignment="1" applyProtection="1">
      <alignment vertical="top" wrapText="1"/>
      <protection locked="0"/>
    </xf>
    <xf numFmtId="0" fontId="4" fillId="23" borderId="87" xfId="0" applyFont="1" applyFill="1" applyBorder="1" applyAlignment="1" applyProtection="1">
      <alignment vertical="top" wrapText="1"/>
    </xf>
    <xf numFmtId="0" fontId="4" fillId="23" borderId="117" xfId="0" applyFont="1" applyFill="1" applyBorder="1" applyAlignment="1" applyProtection="1">
      <alignment vertical="top" wrapText="1"/>
    </xf>
    <xf numFmtId="0" fontId="6" fillId="23" borderId="123" xfId="0" applyFont="1" applyFill="1" applyBorder="1" applyAlignment="1" applyProtection="1">
      <alignment wrapText="1"/>
    </xf>
    <xf numFmtId="0" fontId="6" fillId="0" borderId="0" xfId="0" applyFont="1" applyFill="1" applyAlignment="1" applyProtection="1">
      <alignment horizontal="right"/>
    </xf>
    <xf numFmtId="0" fontId="137" fillId="0" borderId="0" xfId="0" applyNumberFormat="1" applyFont="1" applyFill="1" applyProtection="1"/>
    <xf numFmtId="0" fontId="137" fillId="0" borderId="38" xfId="0" applyNumberFormat="1" applyFont="1" applyFill="1" applyBorder="1" applyAlignment="1" applyProtection="1">
      <alignment horizontal="left"/>
    </xf>
    <xf numFmtId="0" fontId="140" fillId="0" borderId="0" xfId="0" applyFont="1" applyFill="1" applyAlignment="1" applyProtection="1">
      <alignment horizontal="left"/>
    </xf>
    <xf numFmtId="0" fontId="4" fillId="23" borderId="0" xfId="0" applyFont="1" applyFill="1" applyBorder="1" applyAlignment="1" applyProtection="1">
      <alignment vertical="top" wrapText="1"/>
    </xf>
    <xf numFmtId="0" fontId="4" fillId="23" borderId="0" xfId="0" applyFont="1" applyFill="1" applyBorder="1" applyAlignment="1" applyProtection="1">
      <alignment vertical="top"/>
    </xf>
    <xf numFmtId="3" fontId="4" fillId="23" borderId="43" xfId="6" applyNumberFormat="1" applyFont="1" applyFill="1" applyBorder="1" applyAlignment="1" applyProtection="1">
      <alignment vertical="center"/>
    </xf>
    <xf numFmtId="3" fontId="6" fillId="23" borderId="158" xfId="6" applyNumberFormat="1" applyFont="1" applyFill="1" applyBorder="1" applyAlignment="1" applyProtection="1">
      <alignment vertical="top"/>
    </xf>
    <xf numFmtId="3" fontId="130" fillId="23" borderId="15" xfId="0" applyNumberFormat="1" applyFont="1" applyFill="1" applyBorder="1" applyAlignment="1" applyProtection="1">
      <alignment vertical="center"/>
    </xf>
    <xf numFmtId="0" fontId="6" fillId="23" borderId="123" xfId="0" applyFont="1" applyFill="1" applyBorder="1" applyProtection="1"/>
    <xf numFmtId="49" fontId="6" fillId="23" borderId="97" xfId="0" applyNumberFormat="1" applyFont="1" applyFill="1" applyBorder="1" applyAlignment="1" applyProtection="1">
      <alignment horizontal="left"/>
    </xf>
    <xf numFmtId="49" fontId="6" fillId="23" borderId="126" xfId="0" applyNumberFormat="1" applyFont="1" applyFill="1" applyBorder="1" applyAlignment="1" applyProtection="1">
      <alignment horizontal="left" vertical="top"/>
    </xf>
    <xf numFmtId="49" fontId="3" fillId="10" borderId="157" xfId="0" applyNumberFormat="1" applyFont="1" applyFill="1" applyBorder="1" applyAlignment="1" applyProtection="1"/>
    <xf numFmtId="3" fontId="50" fillId="20" borderId="38" xfId="0" applyNumberFormat="1" applyFont="1" applyFill="1" applyBorder="1" applyAlignment="1" applyProtection="1">
      <alignment horizontal="right"/>
    </xf>
    <xf numFmtId="0" fontId="0" fillId="0" borderId="0" xfId="0" applyFill="1" applyAlignment="1" applyProtection="1">
      <alignment vertical="top"/>
    </xf>
    <xf numFmtId="0" fontId="137" fillId="0" borderId="0" xfId="0" applyFont="1" applyFill="1" applyBorder="1" applyAlignment="1" applyProtection="1">
      <alignment horizontal="right"/>
    </xf>
    <xf numFmtId="0" fontId="110" fillId="0" borderId="0" xfId="0" applyFont="1" applyFill="1" applyProtection="1"/>
    <xf numFmtId="0" fontId="6" fillId="0" borderId="0" xfId="0" applyFont="1" applyFill="1" applyBorder="1" applyAlignment="1" applyProtection="1">
      <alignment horizontal="center"/>
    </xf>
    <xf numFmtId="0" fontId="137" fillId="0" borderId="0" xfId="0" applyFont="1" applyFill="1" applyBorder="1" applyAlignment="1" applyProtection="1">
      <alignment horizontal="left"/>
    </xf>
    <xf numFmtId="9" fontId="137" fillId="0" borderId="0" xfId="0" applyNumberFormat="1" applyFont="1" applyFill="1" applyBorder="1" applyAlignment="1" applyProtection="1">
      <alignment horizontal="right"/>
    </xf>
    <xf numFmtId="0" fontId="4" fillId="0" borderId="0" xfId="0" applyFont="1" applyFill="1" applyBorder="1" applyAlignment="1" applyProtection="1">
      <alignment horizontal="center"/>
    </xf>
    <xf numFmtId="1" fontId="6" fillId="0" borderId="0" xfId="0" applyNumberFormat="1" applyFont="1" applyFill="1" applyBorder="1" applyAlignment="1" applyProtection="1">
      <alignment horizontal="center"/>
    </xf>
    <xf numFmtId="0" fontId="6" fillId="0" borderId="0" xfId="0" applyFont="1" applyFill="1" applyBorder="1" applyAlignment="1" applyProtection="1"/>
    <xf numFmtId="0" fontId="6" fillId="0" borderId="0" xfId="0" applyFont="1" applyFill="1" applyBorder="1" applyAlignment="1" applyProtection="1">
      <alignment horizontal="right"/>
    </xf>
    <xf numFmtId="0" fontId="114" fillId="0" borderId="0" xfId="0" applyFont="1" applyFill="1" applyBorder="1" applyProtection="1"/>
    <xf numFmtId="0" fontId="8" fillId="0" borderId="0" xfId="0" applyFont="1" applyFill="1" applyBorder="1" applyAlignment="1" applyProtection="1"/>
    <xf numFmtId="3" fontId="6" fillId="0" borderId="0" xfId="0" applyNumberFormat="1" applyFont="1" applyFill="1" applyBorder="1" applyProtection="1"/>
    <xf numFmtId="3" fontId="6" fillId="0" borderId="0" xfId="0" applyNumberFormat="1" applyFont="1" applyFill="1" applyBorder="1" applyAlignment="1" applyProtection="1">
      <alignment horizontal="center" vertical="center" wrapText="1"/>
    </xf>
    <xf numFmtId="49" fontId="4" fillId="23" borderId="9" xfId="0" applyNumberFormat="1" applyFont="1" applyFill="1" applyBorder="1" applyAlignment="1" applyProtection="1">
      <alignment horizontal="left"/>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center"/>
    </xf>
    <xf numFmtId="49" fontId="9" fillId="0" borderId="0" xfId="0" applyNumberFormat="1" applyFont="1" applyFill="1" applyBorder="1" applyAlignment="1" applyProtection="1">
      <alignment horizontal="left"/>
    </xf>
    <xf numFmtId="3" fontId="4" fillId="23" borderId="74" xfId="0" applyNumberFormat="1" applyFont="1" applyFill="1" applyBorder="1" applyAlignment="1" applyProtection="1"/>
    <xf numFmtId="3" fontId="9" fillId="23" borderId="75" xfId="0" applyNumberFormat="1" applyFont="1" applyFill="1" applyBorder="1" applyAlignment="1" applyProtection="1"/>
    <xf numFmtId="3" fontId="9" fillId="23" borderId="91" xfId="0" applyNumberFormat="1" applyFont="1" applyFill="1" applyBorder="1" applyAlignment="1" applyProtection="1"/>
    <xf numFmtId="3" fontId="3" fillId="0" borderId="206" xfId="0" applyNumberFormat="1" applyFont="1" applyFill="1" applyBorder="1" applyAlignment="1" applyProtection="1">
      <alignment horizontal="right"/>
      <protection locked="0"/>
    </xf>
    <xf numFmtId="49" fontId="4" fillId="0" borderId="0" xfId="10" applyNumberFormat="1" applyFont="1" applyFill="1" applyAlignment="1" applyProtection="1">
      <alignment horizontal="left"/>
    </xf>
    <xf numFmtId="1" fontId="4" fillId="23" borderId="25" xfId="0" applyNumberFormat="1" applyFont="1" applyFill="1" applyBorder="1" applyAlignment="1" applyProtection="1">
      <alignment horizontal="left"/>
    </xf>
    <xf numFmtId="0" fontId="4" fillId="23" borderId="69" xfId="0" applyFont="1" applyFill="1" applyBorder="1" applyProtection="1"/>
    <xf numFmtId="0" fontId="6" fillId="23" borderId="13" xfId="0" applyFont="1" applyFill="1" applyBorder="1" applyAlignment="1" applyProtection="1">
      <alignment vertical="top" wrapText="1"/>
    </xf>
    <xf numFmtId="0" fontId="17" fillId="23" borderId="25" xfId="0" applyFont="1" applyFill="1" applyBorder="1" applyProtection="1"/>
    <xf numFmtId="0" fontId="6" fillId="23" borderId="83" xfId="0" applyFont="1" applyFill="1" applyBorder="1" applyAlignment="1" applyProtection="1">
      <alignment wrapText="1"/>
    </xf>
    <xf numFmtId="1" fontId="4" fillId="23" borderId="13" xfId="0" applyNumberFormat="1" applyFont="1" applyFill="1" applyBorder="1" applyAlignment="1" applyProtection="1">
      <alignment horizontal="center"/>
    </xf>
    <xf numFmtId="0" fontId="4" fillId="23" borderId="13" xfId="0" applyFont="1" applyFill="1" applyBorder="1" applyProtection="1"/>
    <xf numFmtId="1" fontId="9"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vertical="center" wrapText="1"/>
    </xf>
    <xf numFmtId="0" fontId="4" fillId="0" borderId="57" xfId="0" applyFont="1" applyFill="1" applyBorder="1" applyAlignment="1" applyProtection="1">
      <alignment horizontal="center"/>
    </xf>
    <xf numFmtId="0" fontId="4" fillId="0" borderId="57" xfId="0" applyFont="1" applyFill="1" applyBorder="1" applyAlignment="1" applyProtection="1">
      <alignment horizontal="left"/>
    </xf>
    <xf numFmtId="0" fontId="17" fillId="0" borderId="57" xfId="0" applyFont="1" applyFill="1" applyBorder="1" applyProtection="1"/>
    <xf numFmtId="0" fontId="142" fillId="2" borderId="0" xfId="0" applyFont="1" applyFill="1" applyBorder="1" applyProtection="1"/>
    <xf numFmtId="0" fontId="142" fillId="32" borderId="0" xfId="0" applyFont="1" applyFill="1" applyProtection="1"/>
    <xf numFmtId="0" fontId="6" fillId="23" borderId="194" xfId="6" applyFont="1" applyFill="1" applyBorder="1" applyProtection="1"/>
    <xf numFmtId="3" fontId="6" fillId="23" borderId="156" xfId="6" applyNumberFormat="1" applyFont="1" applyFill="1" applyBorder="1" applyProtection="1"/>
    <xf numFmtId="0" fontId="6" fillId="23" borderId="116" xfId="6" applyFont="1" applyFill="1" applyBorder="1" applyProtection="1"/>
    <xf numFmtId="0" fontId="13" fillId="23" borderId="158" xfId="6" applyFont="1" applyFill="1" applyBorder="1" applyProtection="1"/>
    <xf numFmtId="0" fontId="4" fillId="23" borderId="16" xfId="6" applyFont="1" applyFill="1" applyBorder="1" applyAlignment="1" applyProtection="1">
      <alignment vertical="top" wrapText="1"/>
    </xf>
    <xf numFmtId="3" fontId="6" fillId="23" borderId="158" xfId="0" applyNumberFormat="1" applyFont="1" applyFill="1" applyBorder="1" applyAlignment="1" applyProtection="1">
      <alignment vertical="top"/>
    </xf>
    <xf numFmtId="3" fontId="4" fillId="23" borderId="93" xfId="6" applyNumberFormat="1" applyFont="1" applyFill="1" applyBorder="1" applyAlignment="1" applyProtection="1"/>
    <xf numFmtId="166" fontId="10" fillId="0" borderId="0" xfId="0" applyNumberFormat="1" applyFont="1" applyFill="1" applyBorder="1" applyProtection="1"/>
    <xf numFmtId="0" fontId="119" fillId="0" borderId="0" xfId="0" applyFont="1" applyFill="1" applyBorder="1" applyProtection="1"/>
    <xf numFmtId="0" fontId="119" fillId="0" borderId="0" xfId="0" applyFont="1" applyFill="1" applyBorder="1" applyAlignment="1" applyProtection="1">
      <alignment horizontal="center"/>
    </xf>
    <xf numFmtId="0" fontId="4" fillId="23" borderId="154" xfId="0" applyFont="1" applyFill="1" applyBorder="1" applyAlignment="1" applyProtection="1">
      <alignment horizontal="left" vertical="top" wrapText="1"/>
    </xf>
    <xf numFmtId="0" fontId="4" fillId="23" borderId="90" xfId="0" applyFont="1" applyFill="1" applyBorder="1" applyAlignment="1" applyProtection="1">
      <alignment horizontal="left" vertical="top"/>
    </xf>
    <xf numFmtId="3" fontId="4" fillId="23" borderId="26" xfId="0" applyNumberFormat="1" applyFont="1" applyFill="1" applyBorder="1" applyAlignment="1" applyProtection="1">
      <alignment vertical="top" wrapText="1"/>
    </xf>
    <xf numFmtId="0" fontId="18" fillId="23" borderId="158" xfId="0" applyFont="1" applyFill="1" applyBorder="1" applyAlignment="1" applyProtection="1">
      <alignment vertical="top" wrapText="1"/>
    </xf>
    <xf numFmtId="0" fontId="4" fillId="23" borderId="173" xfId="0" applyFont="1" applyFill="1" applyBorder="1" applyAlignment="1" applyProtection="1">
      <alignment horizontal="left" wrapText="1"/>
    </xf>
    <xf numFmtId="0" fontId="18" fillId="23" borderId="157" xfId="0" applyFont="1" applyFill="1" applyBorder="1" applyAlignment="1" applyProtection="1">
      <alignment vertical="top" wrapText="1"/>
    </xf>
    <xf numFmtId="0" fontId="21" fillId="33" borderId="5" xfId="0" applyFont="1" applyFill="1" applyBorder="1" applyAlignment="1" applyProtection="1">
      <alignment horizontal="left"/>
    </xf>
    <xf numFmtId="0" fontId="33" fillId="33" borderId="5" xfId="0" applyFont="1" applyFill="1" applyBorder="1" applyProtection="1"/>
    <xf numFmtId="0" fontId="0" fillId="33" borderId="5" xfId="0" applyFill="1" applyBorder="1" applyProtection="1"/>
    <xf numFmtId="1" fontId="59" fillId="33" borderId="22" xfId="6" applyNumberFormat="1" applyFont="1" applyFill="1" applyBorder="1" applyAlignment="1" applyProtection="1">
      <alignment horizontal="center"/>
    </xf>
    <xf numFmtId="0" fontId="25" fillId="33" borderId="5" xfId="0" applyFont="1" applyFill="1" applyBorder="1" applyProtection="1"/>
    <xf numFmtId="0" fontId="92" fillId="33" borderId="5" xfId="0" applyFont="1" applyFill="1" applyBorder="1" applyProtection="1"/>
    <xf numFmtId="0" fontId="37" fillId="2" borderId="0" xfId="0" applyNumberFormat="1" applyFont="1" applyFill="1" applyBorder="1" applyAlignment="1" applyProtection="1">
      <alignment horizontal="center"/>
    </xf>
    <xf numFmtId="0" fontId="4" fillId="23" borderId="16" xfId="6" applyFont="1" applyFill="1" applyBorder="1" applyAlignment="1" applyProtection="1">
      <alignment horizontal="left" vertical="center" wrapText="1"/>
    </xf>
    <xf numFmtId="0" fontId="6" fillId="23" borderId="195" xfId="6" applyFont="1" applyFill="1" applyBorder="1" applyProtection="1"/>
    <xf numFmtId="0" fontId="4" fillId="0" borderId="0" xfId="10" applyFont="1" applyFill="1" applyProtection="1"/>
    <xf numFmtId="3" fontId="99" fillId="0" borderId="0" xfId="10" applyNumberFormat="1" applyFont="1" applyFill="1" applyBorder="1" applyAlignment="1" applyProtection="1"/>
    <xf numFmtId="0" fontId="0" fillId="0" borderId="1" xfId="0" applyFill="1" applyBorder="1"/>
    <xf numFmtId="3" fontId="125" fillId="0" borderId="27" xfId="10" applyNumberFormat="1" applyFont="1" applyFill="1" applyBorder="1" applyAlignment="1" applyProtection="1">
      <alignment horizontal="center" vertical="top"/>
    </xf>
    <xf numFmtId="0" fontId="129" fillId="0" borderId="27" xfId="0" applyFont="1" applyFill="1" applyBorder="1" applyAlignment="1">
      <alignment vertical="top"/>
    </xf>
    <xf numFmtId="0" fontId="129" fillId="0" borderId="110" xfId="0" applyFont="1" applyFill="1" applyBorder="1" applyAlignment="1">
      <alignment vertical="top"/>
    </xf>
    <xf numFmtId="0" fontId="138" fillId="2" borderId="0" xfId="0" applyFont="1" applyFill="1" applyProtection="1"/>
    <xf numFmtId="3" fontId="4" fillId="23" borderId="160" xfId="0" applyNumberFormat="1" applyFont="1" applyFill="1" applyBorder="1" applyAlignment="1" applyProtection="1">
      <alignment horizontal="left" vertical="top"/>
    </xf>
    <xf numFmtId="3" fontId="3" fillId="2" borderId="3" xfId="0" applyNumberFormat="1" applyFont="1" applyFill="1" applyBorder="1" applyAlignment="1" applyProtection="1">
      <alignment horizontal="right"/>
      <protection locked="0"/>
    </xf>
    <xf numFmtId="3" fontId="3" fillId="3" borderId="3" xfId="0" applyNumberFormat="1" applyFont="1" applyFill="1" applyBorder="1" applyAlignment="1" applyProtection="1">
      <alignment horizontal="right"/>
    </xf>
    <xf numFmtId="3" fontId="3" fillId="2" borderId="28" xfId="0" applyNumberFormat="1" applyFont="1" applyFill="1" applyBorder="1" applyAlignment="1" applyProtection="1">
      <alignment horizontal="right"/>
      <protection locked="0"/>
    </xf>
    <xf numFmtId="3" fontId="3" fillId="3" borderId="102" xfId="0" applyNumberFormat="1" applyFont="1" applyFill="1" applyBorder="1" applyAlignment="1" applyProtection="1">
      <alignment horizontal="right"/>
    </xf>
    <xf numFmtId="3" fontId="4" fillId="23" borderId="77" xfId="0" applyNumberFormat="1" applyFont="1" applyFill="1" applyBorder="1" applyProtection="1"/>
    <xf numFmtId="3" fontId="6" fillId="0" borderId="57" xfId="0" applyNumberFormat="1" applyFont="1" applyFill="1" applyBorder="1" applyProtection="1"/>
    <xf numFmtId="3" fontId="6" fillId="0" borderId="56" xfId="0" applyNumberFormat="1" applyFont="1" applyFill="1" applyBorder="1" applyProtection="1"/>
    <xf numFmtId="0" fontId="25" fillId="2" borderId="57" xfId="0" applyFont="1" applyFill="1" applyBorder="1" applyProtection="1"/>
    <xf numFmtId="0" fontId="4" fillId="23" borderId="111" xfId="0" applyFont="1" applyFill="1" applyBorder="1" applyProtection="1"/>
    <xf numFmtId="0" fontId="4" fillId="23" borderId="27" xfId="0" applyFont="1" applyFill="1" applyBorder="1" applyProtection="1"/>
    <xf numFmtId="3" fontId="3" fillId="24" borderId="0" xfId="0" applyNumberFormat="1" applyFont="1" applyFill="1" applyBorder="1" applyAlignment="1" applyProtection="1">
      <alignment horizontal="right"/>
    </xf>
    <xf numFmtId="0" fontId="3" fillId="23" borderId="56" xfId="0" applyFont="1" applyFill="1" applyBorder="1" applyProtection="1"/>
    <xf numFmtId="0" fontId="4" fillId="23" borderId="56" xfId="0" applyFont="1" applyFill="1" applyBorder="1" applyAlignment="1" applyProtection="1">
      <alignment horizontal="center"/>
    </xf>
    <xf numFmtId="0" fontId="3" fillId="24" borderId="0" xfId="0" applyFont="1" applyFill="1" applyBorder="1" applyProtection="1"/>
    <xf numFmtId="0" fontId="3" fillId="24" borderId="56" xfId="0" applyFont="1" applyFill="1" applyBorder="1" applyProtection="1"/>
    <xf numFmtId="14" fontId="4" fillId="23" borderId="123" xfId="0" applyNumberFormat="1" applyFont="1" applyFill="1" applyBorder="1" applyAlignment="1" applyProtection="1">
      <alignment horizontal="center"/>
    </xf>
    <xf numFmtId="14" fontId="4" fillId="23" borderId="120" xfId="0" applyNumberFormat="1" applyFont="1" applyFill="1" applyBorder="1" applyAlignment="1" applyProtection="1">
      <alignment horizontal="center"/>
    </xf>
    <xf numFmtId="0" fontId="4" fillId="23" borderId="100" xfId="0" applyFont="1" applyFill="1" applyBorder="1" applyProtection="1"/>
    <xf numFmtId="14" fontId="4" fillId="23" borderId="94" xfId="0" applyNumberFormat="1" applyFont="1" applyFill="1" applyBorder="1" applyAlignment="1" applyProtection="1">
      <alignment horizontal="center"/>
    </xf>
    <xf numFmtId="3" fontId="3" fillId="24" borderId="38" xfId="0" applyNumberFormat="1" applyFont="1" applyFill="1" applyBorder="1" applyAlignment="1" applyProtection="1">
      <alignment horizontal="right"/>
    </xf>
    <xf numFmtId="0" fontId="3" fillId="24" borderId="38" xfId="0" applyFont="1" applyFill="1" applyBorder="1" applyProtection="1"/>
    <xf numFmtId="0" fontId="3" fillId="24" borderId="58" xfId="0" applyFont="1" applyFill="1" applyBorder="1" applyProtection="1"/>
    <xf numFmtId="0" fontId="3" fillId="23" borderId="58" xfId="0" applyFont="1" applyFill="1" applyBorder="1" applyProtection="1"/>
    <xf numFmtId="14" fontId="4" fillId="23" borderId="0" xfId="0" applyNumberFormat="1" applyFont="1" applyFill="1" applyBorder="1" applyAlignment="1" applyProtection="1">
      <alignment horizontal="center"/>
    </xf>
    <xf numFmtId="0" fontId="4" fillId="23" borderId="38" xfId="0" applyFont="1" applyFill="1" applyBorder="1" applyProtection="1"/>
    <xf numFmtId="0" fontId="4" fillId="23" borderId="66" xfId="0" applyFont="1" applyFill="1" applyBorder="1" applyProtection="1"/>
    <xf numFmtId="0" fontId="4" fillId="23" borderId="169" xfId="0" applyFont="1" applyFill="1" applyBorder="1" applyProtection="1"/>
    <xf numFmtId="0" fontId="3" fillId="23" borderId="27" xfId="0" applyFont="1" applyFill="1" applyBorder="1" applyProtection="1"/>
    <xf numFmtId="14" fontId="4" fillId="23" borderId="56" xfId="0" applyNumberFormat="1" applyFont="1" applyFill="1" applyBorder="1" applyAlignment="1" applyProtection="1">
      <alignment horizontal="center"/>
    </xf>
    <xf numFmtId="14" fontId="4" fillId="23" borderId="38" xfId="0" applyNumberFormat="1" applyFont="1" applyFill="1" applyBorder="1" applyAlignment="1" applyProtection="1">
      <alignment horizontal="center"/>
    </xf>
    <xf numFmtId="49" fontId="3" fillId="10" borderId="37" xfId="0" applyNumberFormat="1" applyFont="1" applyFill="1" applyBorder="1" applyAlignment="1" applyProtection="1"/>
    <xf numFmtId="0" fontId="4" fillId="23" borderId="112" xfId="0" applyFont="1" applyFill="1" applyBorder="1" applyProtection="1"/>
    <xf numFmtId="0" fontId="4" fillId="23" borderId="67" xfId="0" applyFont="1" applyFill="1" applyBorder="1" applyAlignment="1" applyProtection="1">
      <alignment wrapText="1"/>
    </xf>
    <xf numFmtId="0" fontId="4" fillId="23" borderId="158" xfId="0" applyFont="1" applyFill="1" applyBorder="1" applyAlignment="1" applyProtection="1">
      <alignment vertical="top" wrapText="1"/>
    </xf>
    <xf numFmtId="49" fontId="4" fillId="23" borderId="41" xfId="0" applyNumberFormat="1" applyFont="1" applyFill="1" applyBorder="1" applyAlignment="1" applyProtection="1">
      <alignment horizontal="center" wrapText="1"/>
    </xf>
    <xf numFmtId="49" fontId="4" fillId="23" borderId="131" xfId="0" applyNumberFormat="1" applyFont="1" applyFill="1" applyBorder="1" applyAlignment="1" applyProtection="1">
      <alignment horizontal="center"/>
    </xf>
    <xf numFmtId="49" fontId="4" fillId="23" borderId="132" xfId="0" applyNumberFormat="1" applyFont="1" applyFill="1" applyBorder="1" applyAlignment="1" applyProtection="1">
      <alignment horizontal="center"/>
    </xf>
    <xf numFmtId="0" fontId="4" fillId="23" borderId="5" xfId="0" applyFont="1" applyFill="1" applyBorder="1" applyAlignment="1" applyProtection="1">
      <alignment horizontal="center" wrapText="1"/>
    </xf>
    <xf numFmtId="49" fontId="4" fillId="23" borderId="34" xfId="0" applyNumberFormat="1" applyFont="1" applyFill="1" applyBorder="1" applyAlignment="1" applyProtection="1">
      <alignment horizontal="center"/>
    </xf>
    <xf numFmtId="49" fontId="4" fillId="23" borderId="35" xfId="0" applyNumberFormat="1" applyFont="1" applyFill="1" applyBorder="1" applyAlignment="1" applyProtection="1">
      <alignment horizontal="center"/>
    </xf>
    <xf numFmtId="49" fontId="4" fillId="23" borderId="105" xfId="0" applyNumberFormat="1" applyFont="1" applyFill="1" applyBorder="1" applyAlignment="1" applyProtection="1">
      <alignment horizontal="center"/>
    </xf>
    <xf numFmtId="1" fontId="4" fillId="23" borderId="2" xfId="0" applyNumberFormat="1" applyFont="1" applyFill="1" applyBorder="1" applyAlignment="1" applyProtection="1">
      <alignment horizontal="center" wrapText="1"/>
    </xf>
    <xf numFmtId="0" fontId="9" fillId="0" borderId="0" xfId="0" applyFont="1" applyFill="1" applyProtection="1"/>
    <xf numFmtId="1" fontId="4" fillId="23" borderId="41" xfId="0" applyNumberFormat="1" applyFont="1" applyFill="1" applyBorder="1" applyAlignment="1" applyProtection="1">
      <alignment horizontal="center" vertical="top" wrapText="1"/>
    </xf>
    <xf numFmtId="49" fontId="4" fillId="23" borderId="14" xfId="0" applyNumberFormat="1" applyFont="1" applyFill="1" applyBorder="1" applyAlignment="1" applyProtection="1">
      <alignment horizontal="center"/>
    </xf>
    <xf numFmtId="49" fontId="4" fillId="23" borderId="9" xfId="0" applyNumberFormat="1" applyFont="1" applyFill="1" applyBorder="1" applyAlignment="1" applyProtection="1">
      <alignment horizontal="center"/>
    </xf>
    <xf numFmtId="0" fontId="4" fillId="23" borderId="90" xfId="0" applyFont="1" applyFill="1" applyBorder="1" applyAlignment="1" applyProtection="1">
      <alignment horizontal="center"/>
    </xf>
    <xf numFmtId="1" fontId="4" fillId="23" borderId="25" xfId="0" applyNumberFormat="1" applyFont="1" applyFill="1" applyBorder="1" applyAlignment="1" applyProtection="1">
      <alignment horizontal="center"/>
    </xf>
    <xf numFmtId="3" fontId="4" fillId="23" borderId="91" xfId="0" applyNumberFormat="1" applyFont="1" applyFill="1" applyBorder="1" applyAlignment="1" applyProtection="1"/>
    <xf numFmtId="0" fontId="4" fillId="34" borderId="100" xfId="0" applyFont="1" applyFill="1" applyBorder="1" applyAlignment="1" applyProtection="1">
      <alignment horizontal="left" vertical="top" wrapText="1"/>
    </xf>
    <xf numFmtId="0" fontId="4" fillId="34" borderId="116" xfId="0" applyFont="1" applyFill="1" applyBorder="1" applyAlignment="1" applyProtection="1">
      <alignment horizontal="left" vertical="top"/>
    </xf>
    <xf numFmtId="0" fontId="0" fillId="34" borderId="43" xfId="0" applyFill="1" applyBorder="1" applyProtection="1"/>
    <xf numFmtId="0" fontId="4" fillId="34" borderId="16" xfId="0" applyFont="1" applyFill="1" applyBorder="1" applyAlignment="1" applyProtection="1">
      <alignment horizontal="left" vertical="top" wrapText="1"/>
    </xf>
    <xf numFmtId="3" fontId="4" fillId="34" borderId="167" xfId="0" applyNumberFormat="1" applyFont="1" applyFill="1" applyBorder="1" applyProtection="1"/>
    <xf numFmtId="3" fontId="4" fillId="34" borderId="100" xfId="0" applyNumberFormat="1" applyFont="1" applyFill="1" applyBorder="1" applyAlignment="1" applyProtection="1">
      <alignment horizontal="left" vertical="top" wrapText="1"/>
    </xf>
    <xf numFmtId="0" fontId="4" fillId="34" borderId="119" xfId="0" applyFont="1" applyFill="1" applyBorder="1" applyAlignment="1" applyProtection="1">
      <alignment horizontal="left" vertical="top" wrapText="1"/>
    </xf>
    <xf numFmtId="3" fontId="4" fillId="34" borderId="117" xfId="0" applyNumberFormat="1" applyFont="1" applyFill="1" applyBorder="1" applyAlignment="1" applyProtection="1">
      <alignment horizontal="left" wrapText="1"/>
    </xf>
    <xf numFmtId="49" fontId="4" fillId="34" borderId="117" xfId="0" applyNumberFormat="1" applyFont="1" applyFill="1" applyBorder="1" applyAlignment="1" applyProtection="1">
      <alignment vertical="top"/>
    </xf>
    <xf numFmtId="3" fontId="4" fillId="34" borderId="100" xfId="0" applyNumberFormat="1" applyFont="1" applyFill="1" applyBorder="1" applyAlignment="1" applyProtection="1">
      <alignment vertical="top"/>
    </xf>
    <xf numFmtId="3" fontId="4" fillId="34" borderId="87" xfId="0" applyNumberFormat="1" applyFont="1" applyFill="1" applyBorder="1" applyAlignment="1" applyProtection="1">
      <alignment vertical="top" wrapText="1"/>
    </xf>
    <xf numFmtId="3" fontId="4" fillId="34" borderId="16" xfId="0" applyNumberFormat="1" applyFont="1" applyFill="1" applyBorder="1" applyAlignment="1" applyProtection="1">
      <alignment horizontal="left" vertical="top" wrapText="1"/>
    </xf>
    <xf numFmtId="0" fontId="4" fillId="34" borderId="153" xfId="0" applyFont="1" applyFill="1" applyBorder="1" applyAlignment="1" applyProtection="1">
      <alignment horizontal="left" vertical="top" wrapText="1"/>
    </xf>
    <xf numFmtId="3" fontId="4" fillId="34" borderId="15" xfId="0" applyNumberFormat="1" applyFont="1" applyFill="1" applyBorder="1" applyAlignment="1" applyProtection="1">
      <alignment horizontal="left" vertical="top" wrapText="1"/>
    </xf>
    <xf numFmtId="0" fontId="12" fillId="34" borderId="0" xfId="0" applyFont="1" applyFill="1" applyBorder="1" applyProtection="1"/>
    <xf numFmtId="3" fontId="4" fillId="34" borderId="16" xfId="0" applyNumberFormat="1" applyFont="1" applyFill="1" applyBorder="1" applyAlignment="1" applyProtection="1">
      <alignment vertical="top"/>
    </xf>
    <xf numFmtId="3" fontId="9" fillId="34" borderId="59" xfId="0" applyNumberFormat="1" applyFont="1" applyFill="1" applyBorder="1" applyProtection="1"/>
    <xf numFmtId="0" fontId="6" fillId="34" borderId="43" xfId="0" applyFont="1" applyFill="1" applyBorder="1" applyProtection="1"/>
    <xf numFmtId="3" fontId="9" fillId="34" borderId="16" xfId="0" applyNumberFormat="1" applyFont="1" applyFill="1" applyBorder="1" applyAlignment="1" applyProtection="1">
      <alignment horizontal="left"/>
    </xf>
    <xf numFmtId="0" fontId="9" fillId="34" borderId="167" xfId="0" applyFont="1" applyFill="1" applyBorder="1" applyProtection="1"/>
    <xf numFmtId="3" fontId="9" fillId="34" borderId="153" xfId="0" applyNumberFormat="1" applyFont="1" applyFill="1" applyBorder="1" applyAlignment="1" applyProtection="1">
      <alignment horizontal="left" vertical="top"/>
    </xf>
    <xf numFmtId="0" fontId="0" fillId="34" borderId="0" xfId="0" applyFill="1" applyBorder="1" applyAlignment="1" applyProtection="1">
      <alignment vertical="top" wrapText="1"/>
    </xf>
    <xf numFmtId="0" fontId="12" fillId="34" borderId="16" xfId="0" applyFont="1" applyFill="1" applyBorder="1" applyProtection="1"/>
    <xf numFmtId="0" fontId="9" fillId="34" borderId="59" xfId="0" applyFont="1" applyFill="1" applyBorder="1" applyProtection="1"/>
    <xf numFmtId="0" fontId="12" fillId="34" borderId="61" xfId="0" applyFont="1" applyFill="1" applyBorder="1" applyProtection="1"/>
    <xf numFmtId="0" fontId="9" fillId="34" borderId="149" xfId="0" applyFont="1" applyFill="1" applyBorder="1" applyProtection="1"/>
    <xf numFmtId="0" fontId="9" fillId="34" borderId="41" xfId="0" applyFont="1" applyFill="1" applyBorder="1" applyProtection="1"/>
    <xf numFmtId="3" fontId="9" fillId="34" borderId="149" xfId="0" applyNumberFormat="1" applyFont="1" applyFill="1" applyBorder="1" applyProtection="1"/>
    <xf numFmtId="3" fontId="4" fillId="34" borderId="15" xfId="0" applyNumberFormat="1" applyFont="1" applyFill="1" applyBorder="1" applyAlignment="1" applyProtection="1">
      <alignment horizontal="left" vertical="top"/>
    </xf>
    <xf numFmtId="49" fontId="9" fillId="34" borderId="88" xfId="0" applyNumberFormat="1" applyFont="1" applyFill="1" applyBorder="1" applyProtection="1"/>
    <xf numFmtId="0" fontId="9" fillId="34" borderId="89" xfId="0" applyFont="1" applyFill="1" applyBorder="1" applyProtection="1"/>
    <xf numFmtId="0" fontId="4" fillId="34" borderId="126" xfId="0" applyFont="1" applyFill="1" applyBorder="1" applyAlignment="1" applyProtection="1">
      <alignment vertical="top" wrapText="1"/>
    </xf>
    <xf numFmtId="0" fontId="4" fillId="34" borderId="15" xfId="0" applyFont="1" applyFill="1" applyBorder="1" applyAlignment="1" applyProtection="1">
      <alignment vertical="top" wrapText="1"/>
    </xf>
    <xf numFmtId="3" fontId="4" fillId="34" borderId="59" xfId="0" applyNumberFormat="1" applyFont="1" applyFill="1" applyBorder="1" applyAlignment="1" applyProtection="1">
      <alignment vertical="top" wrapText="1"/>
    </xf>
    <xf numFmtId="0" fontId="9" fillId="34" borderId="126" xfId="0" applyFont="1" applyFill="1" applyBorder="1" applyProtection="1"/>
    <xf numFmtId="0" fontId="9" fillId="34" borderId="15" xfId="0" applyFont="1" applyFill="1" applyBorder="1" applyProtection="1"/>
    <xf numFmtId="0" fontId="9" fillId="34" borderId="115" xfId="0" applyFont="1" applyFill="1" applyBorder="1" applyProtection="1"/>
    <xf numFmtId="169" fontId="38" fillId="0" borderId="0" xfId="0" applyNumberFormat="1" applyFont="1" applyFill="1" applyBorder="1" applyAlignment="1" applyProtection="1">
      <alignment horizontal="left" vertical="top" wrapText="1"/>
    </xf>
    <xf numFmtId="3" fontId="3" fillId="2" borderId="0" xfId="0" applyNumberFormat="1" applyFont="1" applyFill="1" applyBorder="1" applyAlignment="1" applyProtection="1">
      <alignment horizontal="right"/>
      <protection locked="0"/>
    </xf>
    <xf numFmtId="3" fontId="3" fillId="2" borderId="39" xfId="0" applyNumberFormat="1" applyFont="1" applyFill="1" applyBorder="1" applyAlignment="1" applyProtection="1">
      <alignment horizontal="right"/>
      <protection locked="0"/>
    </xf>
    <xf numFmtId="0" fontId="6" fillId="23" borderId="25" xfId="0" applyFont="1" applyFill="1" applyBorder="1" applyAlignment="1" applyProtection="1">
      <alignment horizontal="left"/>
    </xf>
    <xf numFmtId="49" fontId="9" fillId="0" borderId="209" xfId="0" applyNumberFormat="1" applyFont="1" applyFill="1" applyBorder="1" applyAlignment="1" applyProtection="1">
      <alignment horizontal="center"/>
    </xf>
    <xf numFmtId="49" fontId="4" fillId="0" borderId="209" xfId="0" applyNumberFormat="1" applyFont="1" applyFill="1" applyBorder="1" applyAlignment="1" applyProtection="1">
      <alignment horizontal="center" wrapText="1"/>
    </xf>
    <xf numFmtId="49" fontId="4" fillId="0" borderId="209" xfId="0" applyNumberFormat="1" applyFont="1" applyFill="1" applyBorder="1" applyAlignment="1" applyProtection="1">
      <alignment horizontal="left"/>
    </xf>
    <xf numFmtId="3" fontId="4" fillId="23" borderId="15" xfId="0" applyNumberFormat="1" applyFont="1" applyFill="1" applyBorder="1" applyAlignment="1" applyProtection="1">
      <alignment horizontal="left" wrapText="1"/>
    </xf>
    <xf numFmtId="0" fontId="78" fillId="2" borderId="0" xfId="0" applyFont="1" applyFill="1" applyAlignment="1" applyProtection="1"/>
    <xf numFmtId="3" fontId="6" fillId="23" borderId="117" xfId="0" applyNumberFormat="1" applyFont="1" applyFill="1" applyBorder="1" applyAlignment="1" applyProtection="1">
      <alignment horizontal="left"/>
    </xf>
    <xf numFmtId="3" fontId="6" fillId="23" borderId="15" xfId="0" applyNumberFormat="1" applyFont="1" applyFill="1" applyBorder="1" applyAlignment="1" applyProtection="1">
      <alignment horizontal="left" vertical="top" wrapText="1"/>
    </xf>
    <xf numFmtId="49" fontId="4" fillId="23" borderId="41" xfId="0" applyNumberFormat="1" applyFont="1" applyFill="1" applyBorder="1" applyAlignment="1" applyProtection="1">
      <alignment horizontal="left"/>
    </xf>
    <xf numFmtId="3" fontId="14" fillId="9" borderId="62" xfId="0" applyNumberFormat="1" applyFont="1" applyFill="1" applyBorder="1" applyProtection="1"/>
    <xf numFmtId="0" fontId="10" fillId="0" borderId="0" xfId="0" applyFont="1" applyFill="1" applyProtection="1"/>
    <xf numFmtId="3" fontId="11" fillId="0" borderId="5" xfId="0" quotePrefix="1" applyNumberFormat="1" applyFont="1" applyFill="1" applyBorder="1" applyAlignment="1" applyProtection="1">
      <alignment horizontal="right"/>
      <protection locked="0"/>
    </xf>
    <xf numFmtId="0" fontId="19" fillId="2" borderId="0" xfId="0" applyFont="1" applyFill="1" applyBorder="1" applyAlignment="1" applyProtection="1"/>
    <xf numFmtId="3" fontId="143" fillId="23" borderId="0" xfId="0" applyNumberFormat="1" applyFont="1" applyFill="1" applyBorder="1" applyAlignment="1" applyProtection="1"/>
    <xf numFmtId="3" fontId="143" fillId="23" borderId="43" xfId="0" applyNumberFormat="1" applyFont="1" applyFill="1" applyBorder="1" applyAlignment="1" applyProtection="1"/>
    <xf numFmtId="0" fontId="144" fillId="2" borderId="0" xfId="0" applyFont="1" applyFill="1" applyBorder="1" applyProtection="1"/>
    <xf numFmtId="164" fontId="8" fillId="0" borderId="1" xfId="0" applyNumberFormat="1" applyFont="1" applyFill="1" applyBorder="1" applyAlignment="1" applyProtection="1">
      <alignment horizontal="center" vertical="center"/>
    </xf>
    <xf numFmtId="0" fontId="0" fillId="2" borderId="1" xfId="0" applyFill="1" applyBorder="1" applyProtection="1"/>
    <xf numFmtId="0" fontId="4" fillId="2" borderId="1" xfId="0" applyFont="1" applyFill="1" applyBorder="1" applyProtection="1"/>
    <xf numFmtId="3" fontId="10" fillId="2" borderId="113" xfId="0" applyNumberFormat="1" applyFont="1" applyFill="1" applyBorder="1" applyProtection="1">
      <protection locked="0"/>
    </xf>
    <xf numFmtId="3" fontId="10" fillId="2" borderId="70" xfId="0" applyNumberFormat="1" applyFont="1" applyFill="1" applyBorder="1" applyProtection="1">
      <protection locked="0"/>
    </xf>
    <xf numFmtId="3" fontId="3" fillId="35" borderId="5" xfId="6" applyNumberFormat="1" applyFont="1" applyFill="1" applyBorder="1" applyAlignment="1" applyProtection="1"/>
    <xf numFmtId="0" fontId="4" fillId="23" borderId="133" xfId="0" applyFont="1" applyFill="1" applyBorder="1" applyAlignment="1" applyProtection="1">
      <alignment horizontal="center"/>
    </xf>
    <xf numFmtId="0" fontId="110" fillId="7" borderId="0" xfId="0" quotePrefix="1" applyFont="1" applyFill="1" applyBorder="1" applyAlignment="1" applyProtection="1">
      <alignment horizontal="left"/>
    </xf>
    <xf numFmtId="0" fontId="138" fillId="0" borderId="0" xfId="0" applyFont="1" applyFill="1" applyAlignment="1" applyProtection="1">
      <alignment wrapText="1"/>
    </xf>
    <xf numFmtId="3" fontId="4" fillId="23" borderId="9" xfId="0" applyNumberFormat="1" applyFont="1" applyFill="1" applyBorder="1" applyProtection="1"/>
    <xf numFmtId="3" fontId="10" fillId="23" borderId="0" xfId="0" applyNumberFormat="1" applyFont="1" applyFill="1" applyBorder="1" applyProtection="1"/>
    <xf numFmtId="3" fontId="10" fillId="23" borderId="38" xfId="0" applyNumberFormat="1" applyFont="1" applyFill="1" applyBorder="1" applyProtection="1"/>
    <xf numFmtId="3" fontId="8" fillId="23" borderId="0" xfId="0" applyNumberFormat="1" applyFont="1" applyFill="1" applyBorder="1" applyProtection="1"/>
    <xf numFmtId="3" fontId="8" fillId="23" borderId="0" xfId="0" applyNumberFormat="1" applyFont="1" applyFill="1" applyBorder="1" applyAlignment="1" applyProtection="1">
      <alignment horizontal="left" vertical="top" wrapText="1"/>
    </xf>
    <xf numFmtId="0" fontId="141" fillId="0" borderId="0" xfId="0" applyFont="1" applyFill="1" applyProtection="1"/>
    <xf numFmtId="0" fontId="4" fillId="23" borderId="46" xfId="0" applyFont="1" applyFill="1" applyBorder="1" applyAlignment="1" applyProtection="1">
      <alignment horizontal="center"/>
    </xf>
    <xf numFmtId="0" fontId="4" fillId="23" borderId="157" xfId="0" applyFont="1" applyFill="1" applyBorder="1" applyAlignment="1" applyProtection="1">
      <alignment horizontal="center"/>
    </xf>
    <xf numFmtId="0" fontId="6" fillId="23" borderId="157" xfId="0" applyFont="1" applyFill="1" applyBorder="1" applyAlignment="1" applyProtection="1">
      <alignment horizontal="center"/>
    </xf>
    <xf numFmtId="0" fontId="4" fillId="23" borderId="161" xfId="0" applyFont="1" applyFill="1" applyBorder="1" applyAlignment="1" applyProtection="1">
      <alignment horizontal="center"/>
    </xf>
    <xf numFmtId="3" fontId="3" fillId="23" borderId="46" xfId="0" applyNumberFormat="1" applyFont="1" applyFill="1" applyBorder="1" applyAlignment="1" applyProtection="1">
      <alignment horizontal="right"/>
    </xf>
    <xf numFmtId="3" fontId="3" fillId="23" borderId="157" xfId="0" applyNumberFormat="1" applyFont="1" applyFill="1" applyBorder="1" applyAlignment="1" applyProtection="1">
      <alignment horizontal="right"/>
    </xf>
    <xf numFmtId="3" fontId="3" fillId="23" borderId="45" xfId="0" applyNumberFormat="1" applyFont="1" applyFill="1" applyBorder="1" applyAlignment="1" applyProtection="1">
      <alignment horizontal="right"/>
    </xf>
    <xf numFmtId="3" fontId="3" fillId="23" borderId="130" xfId="0" applyNumberFormat="1" applyFont="1" applyFill="1" applyBorder="1" applyAlignment="1" applyProtection="1">
      <alignment horizontal="right"/>
    </xf>
    <xf numFmtId="3" fontId="3" fillId="24" borderId="157" xfId="0" applyNumberFormat="1" applyFont="1" applyFill="1" applyBorder="1" applyAlignment="1" applyProtection="1">
      <alignment horizontal="left"/>
    </xf>
    <xf numFmtId="3" fontId="3" fillId="24" borderId="44" xfId="0" applyNumberFormat="1" applyFont="1" applyFill="1" applyBorder="1" applyAlignment="1" applyProtection="1">
      <alignment horizontal="right"/>
    </xf>
    <xf numFmtId="0" fontId="10" fillId="36" borderId="210" xfId="0" applyFont="1" applyFill="1" applyBorder="1" applyAlignment="1" applyProtection="1">
      <alignment horizontal="left" vertical="center"/>
    </xf>
    <xf numFmtId="0" fontId="106" fillId="36" borderId="210" xfId="0" applyFont="1" applyFill="1" applyBorder="1" applyAlignment="1" applyProtection="1">
      <alignment horizontal="left" vertical="center"/>
    </xf>
    <xf numFmtId="0" fontId="18" fillId="34" borderId="116" xfId="0" applyFont="1" applyFill="1" applyBorder="1" applyAlignment="1" applyProtection="1">
      <alignment horizontal="center" vertical="center"/>
    </xf>
    <xf numFmtId="0" fontId="0" fillId="0" borderId="0" xfId="0" quotePrefix="1"/>
    <xf numFmtId="0" fontId="0" fillId="0" borderId="0" xfId="0" applyFill="1" applyBorder="1" applyAlignment="1">
      <alignment horizontal="left" wrapText="1"/>
    </xf>
    <xf numFmtId="0" fontId="0" fillId="23" borderId="159" xfId="0" applyFill="1" applyBorder="1" applyAlignment="1">
      <alignment vertical="top" wrapText="1"/>
    </xf>
    <xf numFmtId="0" fontId="25" fillId="23" borderId="57" xfId="6" applyFill="1" applyBorder="1" applyAlignment="1" applyProtection="1">
      <alignment wrapText="1"/>
    </xf>
    <xf numFmtId="0" fontId="25" fillId="23" borderId="43" xfId="6" applyFill="1" applyBorder="1" applyAlignment="1" applyProtection="1">
      <alignment wrapText="1"/>
    </xf>
    <xf numFmtId="49" fontId="4" fillId="23" borderId="149" xfId="0" applyNumberFormat="1" applyFont="1" applyFill="1" applyBorder="1" applyAlignment="1" applyProtection="1">
      <alignment horizontal="center"/>
    </xf>
    <xf numFmtId="49" fontId="4" fillId="23" borderId="160" xfId="0" applyNumberFormat="1" applyFont="1" applyFill="1" applyBorder="1" applyAlignment="1" applyProtection="1">
      <alignment horizontal="center"/>
    </xf>
    <xf numFmtId="0" fontId="4" fillId="23" borderId="35" xfId="0" applyFont="1" applyFill="1" applyBorder="1" applyAlignment="1" applyProtection="1">
      <alignment horizontal="center"/>
    </xf>
    <xf numFmtId="0" fontId="4" fillId="23" borderId="69" xfId="0" applyFont="1" applyFill="1" applyBorder="1" applyAlignment="1" applyProtection="1">
      <alignment horizontal="center"/>
    </xf>
    <xf numFmtId="3" fontId="4" fillId="23" borderId="27" xfId="0" applyNumberFormat="1" applyFont="1" applyFill="1" applyBorder="1" applyAlignment="1" applyProtection="1"/>
    <xf numFmtId="3" fontId="4" fillId="0" borderId="0" xfId="10" applyNumberFormat="1" applyFont="1" applyFill="1" applyAlignment="1" applyProtection="1"/>
    <xf numFmtId="3" fontId="4" fillId="0" borderId="0" xfId="10" applyNumberFormat="1" applyFont="1" applyFill="1" applyAlignment="1" applyProtection="1">
      <alignment horizontal="left"/>
    </xf>
    <xf numFmtId="49" fontId="4" fillId="23" borderId="57" xfId="0" applyNumberFormat="1" applyFont="1" applyFill="1" applyBorder="1" applyAlignment="1" applyProtection="1">
      <alignment horizontal="left" vertical="top"/>
    </xf>
    <xf numFmtId="0" fontId="32" fillId="7" borderId="0" xfId="0" applyFont="1" applyFill="1" applyBorder="1" applyProtection="1"/>
    <xf numFmtId="1" fontId="18" fillId="0" borderId="0" xfId="0" applyNumberFormat="1" applyFont="1" applyFill="1" applyBorder="1" applyAlignment="1" applyProtection="1">
      <alignment horizontal="center"/>
    </xf>
    <xf numFmtId="164" fontId="4" fillId="0" borderId="0" xfId="0" applyNumberFormat="1" applyFont="1" applyFill="1" applyBorder="1" applyProtection="1"/>
    <xf numFmtId="0" fontId="6" fillId="0" borderId="0" xfId="0" applyNumberFormat="1" applyFont="1" applyFill="1" applyBorder="1" applyAlignment="1" applyProtection="1">
      <alignment horizontal="center"/>
    </xf>
    <xf numFmtId="49" fontId="6" fillId="0" borderId="0" xfId="0" applyNumberFormat="1" applyFont="1" applyFill="1" applyBorder="1" applyAlignment="1" applyProtection="1">
      <alignment horizontal="center"/>
    </xf>
    <xf numFmtId="49" fontId="17" fillId="0" borderId="0" xfId="0" applyNumberFormat="1" applyFont="1" applyFill="1" applyBorder="1" applyAlignment="1" applyProtection="1">
      <alignment horizontal="center"/>
    </xf>
    <xf numFmtId="1" fontId="6" fillId="0" borderId="0" xfId="0" applyNumberFormat="1" applyFont="1" applyFill="1" applyBorder="1" applyAlignment="1" applyProtection="1">
      <alignment horizontal="center" wrapText="1"/>
    </xf>
    <xf numFmtId="3" fontId="9" fillId="0" borderId="0" xfId="0" applyNumberFormat="1" applyFont="1" applyFill="1" applyBorder="1" applyAlignment="1" applyProtection="1">
      <alignment horizontal="center"/>
    </xf>
    <xf numFmtId="3" fontId="6"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xf>
    <xf numFmtId="1" fontId="4" fillId="0" borderId="0" xfId="0" applyNumberFormat="1" applyFont="1" applyFill="1" applyBorder="1" applyAlignment="1" applyProtection="1">
      <alignment horizontal="center" vertical="top" wrapText="1"/>
    </xf>
    <xf numFmtId="2" fontId="4" fillId="0" borderId="0" xfId="0" applyNumberFormat="1" applyFont="1" applyFill="1" applyBorder="1" applyAlignment="1" applyProtection="1">
      <alignment horizontal="center" wrapText="1"/>
    </xf>
    <xf numFmtId="49" fontId="4" fillId="0" borderId="0" xfId="0" applyNumberFormat="1" applyFont="1" applyFill="1" applyBorder="1" applyAlignment="1" applyProtection="1">
      <alignment horizontal="center" wrapText="1"/>
    </xf>
    <xf numFmtId="49" fontId="143" fillId="0" borderId="0" xfId="0" applyNumberFormat="1" applyFont="1" applyFill="1" applyBorder="1" applyAlignment="1" applyProtection="1">
      <alignment horizontal="center" wrapText="1"/>
    </xf>
    <xf numFmtId="1" fontId="143" fillId="0" borderId="0" xfId="0" applyNumberFormat="1" applyFont="1" applyFill="1" applyBorder="1" applyAlignment="1" applyProtection="1">
      <alignment horizontal="center"/>
    </xf>
    <xf numFmtId="0" fontId="9" fillId="0" borderId="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8" fillId="0" borderId="0" xfId="0" applyFont="1" applyFill="1" applyBorder="1" applyAlignment="1" applyProtection="1">
      <alignment horizontal="center"/>
    </xf>
    <xf numFmtId="1" fontId="9" fillId="0" borderId="0" xfId="0" applyNumberFormat="1" applyFont="1" applyFill="1" applyBorder="1" applyAlignment="1" applyProtection="1">
      <alignment horizontal="center" vertical="center" wrapText="1"/>
    </xf>
    <xf numFmtId="3" fontId="3" fillId="2" borderId="113" xfId="0" applyNumberFormat="1" applyFont="1" applyFill="1" applyBorder="1" applyAlignment="1" applyProtection="1">
      <alignment horizontal="right"/>
      <protection locked="0"/>
    </xf>
    <xf numFmtId="3" fontId="3" fillId="2" borderId="6" xfId="0" applyNumberFormat="1" applyFont="1" applyFill="1" applyBorder="1" applyAlignment="1" applyProtection="1">
      <alignment horizontal="right"/>
      <protection locked="0"/>
    </xf>
    <xf numFmtId="49" fontId="4" fillId="23" borderId="35" xfId="0" applyNumberFormat="1" applyFont="1" applyFill="1" applyBorder="1" applyAlignment="1" applyProtection="1">
      <alignment horizontal="left" wrapText="1"/>
    </xf>
    <xf numFmtId="3" fontId="6" fillId="23" borderId="156" xfId="6" applyNumberFormat="1" applyFont="1" applyFill="1" applyBorder="1" applyAlignment="1" applyProtection="1">
      <alignment vertical="top"/>
    </xf>
    <xf numFmtId="3" fontId="5" fillId="0" borderId="0" xfId="0" applyNumberFormat="1" applyFont="1" applyFill="1" applyBorder="1" applyProtection="1"/>
    <xf numFmtId="49" fontId="13" fillId="0" borderId="0" xfId="0" applyNumberFormat="1" applyFont="1" applyFill="1" applyBorder="1" applyAlignment="1" applyProtection="1">
      <alignment horizontal="center"/>
    </xf>
    <xf numFmtId="3" fontId="4" fillId="0" borderId="0" xfId="0" applyNumberFormat="1" applyFont="1" applyFill="1" applyBorder="1" applyAlignment="1" applyProtection="1"/>
    <xf numFmtId="3" fontId="6" fillId="23" borderId="123" xfId="0" applyNumberFormat="1" applyFont="1" applyFill="1" applyBorder="1" applyAlignment="1" applyProtection="1">
      <alignment horizontal="left" vertical="top" wrapText="1"/>
    </xf>
    <xf numFmtId="0" fontId="8" fillId="23" borderId="159" xfId="0" applyFont="1" applyFill="1" applyBorder="1" applyAlignment="1">
      <alignment vertical="top" wrapText="1"/>
    </xf>
    <xf numFmtId="3" fontId="4" fillId="23" borderId="118" xfId="0" applyNumberFormat="1" applyFont="1" applyFill="1" applyBorder="1" applyAlignment="1" applyProtection="1">
      <alignment wrapText="1"/>
    </xf>
    <xf numFmtId="0" fontId="0" fillId="23" borderId="149" xfId="0" applyFill="1" applyBorder="1" applyAlignment="1">
      <alignment vertical="center"/>
    </xf>
    <xf numFmtId="0" fontId="0" fillId="23" borderId="41" xfId="0" applyFill="1" applyBorder="1" applyAlignment="1">
      <alignment vertical="center"/>
    </xf>
    <xf numFmtId="0" fontId="8" fillId="23" borderId="41" xfId="0" applyFont="1" applyFill="1" applyBorder="1" applyAlignment="1" applyProtection="1"/>
    <xf numFmtId="0" fontId="0" fillId="23" borderId="161" xfId="0" applyFill="1" applyBorder="1" applyAlignment="1" applyProtection="1">
      <alignment wrapText="1"/>
    </xf>
    <xf numFmtId="0" fontId="0" fillId="23" borderId="41" xfId="0" applyFill="1" applyBorder="1" applyAlignment="1">
      <alignment vertical="center" wrapText="1"/>
    </xf>
    <xf numFmtId="0" fontId="8" fillId="23" borderId="41" xfId="0" applyFont="1" applyFill="1" applyBorder="1" applyProtection="1"/>
    <xf numFmtId="0" fontId="0" fillId="23" borderId="141" xfId="0" applyFill="1" applyBorder="1" applyAlignment="1">
      <alignment horizontal="left" vertical="center"/>
    </xf>
    <xf numFmtId="0" fontId="0" fillId="23" borderId="1" xfId="0" applyFill="1" applyBorder="1" applyAlignment="1">
      <alignment horizontal="left" vertical="center"/>
    </xf>
    <xf numFmtId="0" fontId="0" fillId="23" borderId="88" xfId="0" applyFill="1" applyBorder="1" applyAlignment="1">
      <alignment horizontal="left" vertical="center"/>
    </xf>
    <xf numFmtId="0" fontId="0" fillId="23" borderId="89" xfId="0" applyFill="1" applyBorder="1" applyAlignment="1">
      <alignment horizontal="left" wrapText="1"/>
    </xf>
    <xf numFmtId="0" fontId="6" fillId="23" borderId="157" xfId="0" applyFont="1" applyFill="1" applyBorder="1" applyAlignment="1" applyProtection="1">
      <alignment vertical="top" wrapText="1"/>
    </xf>
    <xf numFmtId="0" fontId="4" fillId="23" borderId="16" xfId="0" applyFont="1" applyFill="1" applyBorder="1" applyAlignment="1" applyProtection="1">
      <alignment vertical="center"/>
    </xf>
    <xf numFmtId="0" fontId="4" fillId="23" borderId="15" xfId="0" applyFont="1" applyFill="1" applyBorder="1" applyAlignment="1" applyProtection="1">
      <alignment vertical="center"/>
    </xf>
    <xf numFmtId="0" fontId="4" fillId="23" borderId="15" xfId="0" applyFont="1" applyFill="1" applyBorder="1" applyAlignment="1" applyProtection="1">
      <alignment vertical="center" wrapText="1"/>
    </xf>
    <xf numFmtId="0" fontId="0" fillId="23" borderId="195" xfId="0" applyFill="1" applyBorder="1" applyAlignment="1">
      <alignment horizontal="center" vertical="center"/>
    </xf>
    <xf numFmtId="0" fontId="0" fillId="23" borderId="175" xfId="0" applyFill="1" applyBorder="1" applyAlignment="1" applyProtection="1">
      <alignment vertical="top" wrapText="1"/>
    </xf>
    <xf numFmtId="0" fontId="4" fillId="23" borderId="122" xfId="0" applyFont="1" applyFill="1" applyBorder="1" applyAlignment="1" applyProtection="1">
      <alignment vertical="top"/>
    </xf>
    <xf numFmtId="0" fontId="4" fillId="23" borderId="67" xfId="0" applyFont="1" applyFill="1" applyBorder="1" applyAlignment="1" applyProtection="1">
      <alignment horizontal="left" vertical="top" wrapText="1"/>
    </xf>
    <xf numFmtId="0" fontId="18" fillId="23" borderId="167" xfId="0" applyFont="1" applyFill="1" applyBorder="1" applyAlignment="1" applyProtection="1">
      <alignment horizontal="center" vertical="center" wrapText="1"/>
    </xf>
    <xf numFmtId="0" fontId="8" fillId="23" borderId="158" xfId="0" applyFont="1" applyFill="1" applyBorder="1" applyAlignment="1" applyProtection="1"/>
    <xf numFmtId="0" fontId="4" fillId="23" borderId="15" xfId="0" applyFont="1" applyFill="1" applyBorder="1" applyAlignment="1" applyProtection="1"/>
    <xf numFmtId="0" fontId="4" fillId="23" borderId="127" xfId="0" applyFont="1" applyFill="1" applyBorder="1" applyAlignment="1" applyProtection="1">
      <alignment horizontal="left" vertical="top" wrapText="1"/>
    </xf>
    <xf numFmtId="0" fontId="4" fillId="23" borderId="57" xfId="0" applyFont="1" applyFill="1" applyBorder="1" applyAlignment="1" applyProtection="1">
      <alignment horizontal="left" vertical="center"/>
    </xf>
    <xf numFmtId="0" fontId="4" fillId="23" borderId="0" xfId="0" applyFont="1" applyFill="1" applyBorder="1" applyAlignment="1" applyProtection="1">
      <alignment horizontal="left" vertical="center"/>
    </xf>
    <xf numFmtId="0" fontId="4" fillId="23" borderId="153" xfId="0" applyFont="1" applyFill="1" applyBorder="1" applyAlignment="1" applyProtection="1">
      <alignment horizontal="left" vertical="center"/>
    </xf>
    <xf numFmtId="0" fontId="4" fillId="23" borderId="59" xfId="0" applyFont="1" applyFill="1" applyBorder="1" applyAlignment="1" applyProtection="1">
      <alignment horizontal="left" wrapText="1"/>
    </xf>
    <xf numFmtId="3" fontId="4" fillId="23" borderId="158" xfId="6" applyNumberFormat="1" applyFont="1" applyFill="1" applyBorder="1" applyAlignment="1" applyProtection="1"/>
    <xf numFmtId="3" fontId="6" fillId="23" borderId="158" xfId="6" applyNumberFormat="1" applyFont="1" applyFill="1" applyBorder="1" applyAlignment="1" applyProtection="1">
      <alignment vertical="top" wrapText="1"/>
    </xf>
    <xf numFmtId="49" fontId="4" fillId="23" borderId="175" xfId="6" applyNumberFormat="1" applyFont="1" applyFill="1" applyBorder="1" applyProtection="1"/>
    <xf numFmtId="3" fontId="4" fillId="23" borderId="167" xfId="6" applyNumberFormat="1" applyFont="1" applyFill="1" applyBorder="1" applyAlignment="1" applyProtection="1"/>
    <xf numFmtId="0" fontId="4" fillId="23" borderId="195" xfId="6" applyFont="1" applyFill="1" applyBorder="1" applyAlignment="1" applyProtection="1">
      <alignment horizontal="left" vertical="center"/>
    </xf>
    <xf numFmtId="0" fontId="6" fillId="23" borderId="160" xfId="6" applyFont="1" applyFill="1" applyBorder="1" applyAlignment="1" applyProtection="1">
      <alignment vertical="top"/>
    </xf>
    <xf numFmtId="0" fontId="4" fillId="23" borderId="67" xfId="0" applyFont="1" applyFill="1" applyBorder="1" applyAlignment="1" applyProtection="1">
      <alignment vertical="top"/>
    </xf>
    <xf numFmtId="0" fontId="6" fillId="23" borderId="27" xfId="6" applyFont="1" applyFill="1" applyBorder="1" applyAlignment="1" applyProtection="1"/>
    <xf numFmtId="0" fontId="4" fillId="23" borderId="15" xfId="6" applyFont="1" applyFill="1" applyBorder="1" applyAlignment="1" applyProtection="1">
      <alignment horizontal="right"/>
    </xf>
    <xf numFmtId="0" fontId="4" fillId="23" borderId="153" xfId="6" applyFont="1" applyFill="1" applyBorder="1" applyAlignment="1" applyProtection="1"/>
    <xf numFmtId="0" fontId="4" fillId="23" borderId="15" xfId="6" applyFont="1" applyFill="1" applyBorder="1" applyAlignment="1" applyProtection="1"/>
    <xf numFmtId="0" fontId="4" fillId="23" borderId="15" xfId="6" applyFont="1" applyFill="1" applyBorder="1" applyAlignment="1" applyProtection="1">
      <alignment horizontal="left" vertical="top" wrapText="1"/>
    </xf>
    <xf numFmtId="0" fontId="4" fillId="23" borderId="16" xfId="6" applyFont="1" applyFill="1" applyBorder="1" applyAlignment="1" applyProtection="1">
      <alignment horizontal="left" vertical="top" wrapText="1"/>
    </xf>
    <xf numFmtId="49" fontId="4" fillId="23" borderId="158" xfId="6" applyNumberFormat="1" applyFont="1" applyFill="1" applyBorder="1" applyAlignment="1" applyProtection="1">
      <alignment vertical="top"/>
    </xf>
    <xf numFmtId="0" fontId="0" fillId="23" borderId="15" xfId="0" applyFill="1" applyBorder="1" applyAlignment="1">
      <alignment vertical="top" wrapText="1"/>
    </xf>
    <xf numFmtId="0" fontId="0" fillId="23" borderId="41" xfId="0" applyFill="1" applyBorder="1" applyAlignment="1">
      <alignment vertical="top" wrapText="1"/>
    </xf>
    <xf numFmtId="0" fontId="4" fillId="23" borderId="175" xfId="0" applyFont="1" applyFill="1" applyBorder="1" applyAlignment="1" applyProtection="1">
      <alignment horizontal="left" vertical="center"/>
    </xf>
    <xf numFmtId="3" fontId="137" fillId="0" borderId="57" xfId="0" applyNumberFormat="1" applyFont="1" applyFill="1" applyBorder="1" applyProtection="1"/>
    <xf numFmtId="3" fontId="4" fillId="37" borderId="41" xfId="0" applyNumberFormat="1" applyFont="1" applyFill="1" applyBorder="1" applyAlignment="1" applyProtection="1">
      <alignment horizontal="left" vertical="top" wrapText="1"/>
    </xf>
    <xf numFmtId="3" fontId="4" fillId="23" borderId="41" xfId="0" applyNumberFormat="1" applyFont="1" applyFill="1" applyBorder="1" applyAlignment="1" applyProtection="1">
      <alignment horizontal="left" vertical="top"/>
    </xf>
    <xf numFmtId="0" fontId="0" fillId="23" borderId="43" xfId="0" applyFill="1" applyBorder="1" applyProtection="1"/>
    <xf numFmtId="0" fontId="0" fillId="23" borderId="158" xfId="0" applyFill="1" applyBorder="1" applyProtection="1"/>
    <xf numFmtId="3" fontId="38" fillId="23" borderId="179" xfId="6" quotePrefix="1" applyNumberFormat="1" applyFont="1" applyFill="1" applyBorder="1" applyAlignment="1" applyProtection="1">
      <alignment horizontal="left"/>
    </xf>
    <xf numFmtId="3" fontId="38" fillId="23" borderId="180" xfId="6" quotePrefix="1" applyNumberFormat="1" applyFont="1" applyFill="1" applyBorder="1" applyAlignment="1" applyProtection="1">
      <alignment horizontal="left"/>
    </xf>
    <xf numFmtId="0" fontId="0" fillId="23" borderId="179" xfId="0" applyFill="1" applyBorder="1" applyProtection="1"/>
    <xf numFmtId="3" fontId="6" fillId="23" borderId="212" xfId="0" applyNumberFormat="1" applyFont="1" applyFill="1" applyBorder="1" applyAlignment="1" applyProtection="1">
      <alignment horizontal="left" vertical="center" wrapText="1"/>
    </xf>
    <xf numFmtId="3" fontId="3" fillId="23" borderId="108" xfId="0" applyNumberFormat="1" applyFont="1" applyFill="1" applyBorder="1" applyAlignment="1" applyProtection="1">
      <alignment horizontal="right"/>
    </xf>
    <xf numFmtId="3" fontId="3" fillId="23" borderId="107" xfId="0" applyNumberFormat="1" applyFont="1" applyFill="1" applyBorder="1" applyAlignment="1" applyProtection="1">
      <alignment horizontal="right"/>
    </xf>
    <xf numFmtId="3" fontId="3" fillId="23" borderId="156" xfId="0" applyNumberFormat="1" applyFont="1" applyFill="1" applyBorder="1" applyAlignment="1" applyProtection="1">
      <alignment horizontal="right"/>
    </xf>
    <xf numFmtId="3" fontId="3" fillId="23" borderId="92" xfId="0" applyNumberFormat="1" applyFont="1" applyFill="1" applyBorder="1" applyAlignment="1" applyProtection="1">
      <alignment horizontal="right"/>
    </xf>
    <xf numFmtId="3" fontId="3" fillId="23" borderId="193" xfId="0" applyNumberFormat="1" applyFont="1" applyFill="1" applyBorder="1" applyAlignment="1" applyProtection="1">
      <alignment horizontal="right"/>
    </xf>
    <xf numFmtId="3" fontId="49" fillId="23" borderId="180" xfId="14" applyNumberFormat="1" applyFont="1" applyFill="1" applyBorder="1" applyAlignment="1" applyProtection="1">
      <alignment horizontal="center"/>
    </xf>
    <xf numFmtId="3" fontId="49" fillId="23" borderId="180" xfId="10" applyNumberFormat="1" applyFont="1" applyFill="1" applyBorder="1" applyAlignment="1" applyProtection="1">
      <alignment horizontal="center"/>
    </xf>
    <xf numFmtId="3" fontId="121" fillId="23" borderId="180" xfId="10" applyNumberFormat="1" applyFont="1" applyFill="1" applyBorder="1" applyAlignment="1" applyProtection="1">
      <alignment horizontal="center"/>
    </xf>
    <xf numFmtId="9" fontId="49" fillId="23" borderId="106" xfId="0" applyNumberFormat="1" applyFont="1" applyFill="1" applyBorder="1" applyProtection="1"/>
    <xf numFmtId="3" fontId="49" fillId="23" borderId="213" xfId="10" applyNumberFormat="1" applyFont="1" applyFill="1" applyBorder="1" applyAlignment="1" applyProtection="1">
      <alignment horizontal="center"/>
    </xf>
    <xf numFmtId="3" fontId="6" fillId="23" borderId="214" xfId="0" applyNumberFormat="1" applyFont="1" applyFill="1" applyBorder="1" applyAlignment="1" applyProtection="1">
      <alignment horizontal="left" vertical="center" wrapText="1"/>
    </xf>
    <xf numFmtId="3" fontId="3" fillId="23" borderId="30" xfId="0" applyNumberFormat="1" applyFont="1" applyFill="1" applyBorder="1" applyAlignment="1" applyProtection="1">
      <alignment horizontal="right"/>
    </xf>
    <xf numFmtId="0" fontId="10" fillId="23" borderId="46" xfId="0" applyFont="1" applyFill="1" applyBorder="1" applyProtection="1"/>
    <xf numFmtId="3" fontId="3" fillId="23" borderId="185" xfId="0" applyNumberFormat="1" applyFont="1" applyFill="1" applyBorder="1" applyAlignment="1" applyProtection="1">
      <alignment horizontal="right"/>
    </xf>
    <xf numFmtId="3" fontId="3" fillId="23" borderId="104" xfId="0" applyNumberFormat="1" applyFont="1" applyFill="1" applyBorder="1" applyAlignment="1" applyProtection="1">
      <alignment horizontal="right"/>
    </xf>
    <xf numFmtId="3" fontId="3" fillId="23" borderId="215" xfId="0" applyNumberFormat="1" applyFont="1" applyFill="1" applyBorder="1" applyAlignment="1" applyProtection="1">
      <alignment horizontal="right"/>
    </xf>
    <xf numFmtId="0" fontId="0" fillId="23" borderId="192" xfId="0" applyFill="1" applyBorder="1" applyProtection="1"/>
    <xf numFmtId="0" fontId="4" fillId="23" borderId="132" xfId="0" applyFont="1" applyFill="1" applyBorder="1" applyProtection="1"/>
    <xf numFmtId="3" fontId="10" fillId="2" borderId="211" xfId="0" applyNumberFormat="1" applyFont="1" applyFill="1" applyBorder="1" applyProtection="1">
      <protection locked="0"/>
    </xf>
    <xf numFmtId="0" fontId="133" fillId="2" borderId="0" xfId="5" applyFont="1" applyFill="1" applyAlignment="1" applyProtection="1">
      <alignment vertical="top"/>
    </xf>
    <xf numFmtId="0" fontId="6" fillId="23" borderId="95" xfId="6" applyFont="1" applyFill="1" applyBorder="1" applyProtection="1"/>
    <xf numFmtId="0" fontId="6" fillId="23" borderId="43" xfId="6" applyFont="1" applyFill="1" applyBorder="1" applyProtection="1"/>
    <xf numFmtId="0" fontId="6" fillId="23" borderId="27" xfId="6" applyFont="1" applyFill="1" applyBorder="1" applyAlignment="1" applyProtection="1">
      <alignment horizontal="left"/>
    </xf>
    <xf numFmtId="0" fontId="6" fillId="23" borderId="194" xfId="6" applyFont="1" applyFill="1" applyBorder="1" applyAlignment="1" applyProtection="1">
      <alignment horizontal="left"/>
    </xf>
    <xf numFmtId="0" fontId="4" fillId="23" borderId="55" xfId="6" applyFont="1" applyFill="1" applyBorder="1" applyAlignment="1" applyProtection="1">
      <alignment vertical="top"/>
    </xf>
    <xf numFmtId="0" fontId="4" fillId="23" borderId="55" xfId="6" applyFont="1" applyFill="1" applyBorder="1" applyAlignment="1" applyProtection="1">
      <alignment horizontal="left" vertical="center"/>
    </xf>
    <xf numFmtId="0" fontId="4" fillId="23" borderId="158" xfId="6" applyFont="1" applyFill="1" applyBorder="1" applyAlignment="1" applyProtection="1">
      <alignment horizontal="center"/>
    </xf>
    <xf numFmtId="3" fontId="4" fillId="23" borderId="43" xfId="6" applyNumberFormat="1" applyFont="1" applyFill="1" applyBorder="1" applyAlignment="1" applyProtection="1">
      <alignment wrapText="1"/>
    </xf>
    <xf numFmtId="3" fontId="4" fillId="23" borderId="43" xfId="6" applyNumberFormat="1" applyFont="1" applyFill="1" applyBorder="1" applyAlignment="1" applyProtection="1">
      <alignment vertical="center" wrapText="1"/>
    </xf>
    <xf numFmtId="0" fontId="6" fillId="23" borderId="194" xfId="0" applyFont="1" applyFill="1" applyBorder="1" applyAlignment="1" applyProtection="1">
      <alignment horizontal="left"/>
    </xf>
    <xf numFmtId="0" fontId="6" fillId="23" borderId="95" xfId="0" applyFont="1" applyFill="1" applyBorder="1" applyAlignment="1" applyProtection="1">
      <alignment horizontal="left"/>
    </xf>
    <xf numFmtId="0" fontId="6" fillId="23" borderId="27" xfId="0" applyFont="1" applyFill="1" applyBorder="1" applyAlignment="1" applyProtection="1">
      <alignment horizontal="left"/>
    </xf>
    <xf numFmtId="0" fontId="6" fillId="23" borderId="43" xfId="0" applyFont="1" applyFill="1" applyBorder="1" applyAlignment="1" applyProtection="1">
      <alignment horizontal="left"/>
    </xf>
    <xf numFmtId="0" fontId="4" fillId="23" borderId="158" xfId="0" applyFont="1" applyFill="1" applyBorder="1" applyAlignment="1" applyProtection="1">
      <alignment horizontal="center"/>
    </xf>
    <xf numFmtId="0" fontId="4" fillId="23" borderId="158" xfId="6" applyFont="1" applyFill="1" applyBorder="1" applyAlignment="1" applyProtection="1">
      <alignment horizontal="center" vertical="top"/>
    </xf>
    <xf numFmtId="0" fontId="4" fillId="23" borderId="55" xfId="6" applyFont="1" applyFill="1" applyBorder="1" applyAlignment="1" applyProtection="1">
      <alignment vertical="top" wrapText="1"/>
    </xf>
    <xf numFmtId="0" fontId="4" fillId="23" borderId="61" xfId="6" applyFont="1" applyFill="1" applyBorder="1" applyProtection="1"/>
    <xf numFmtId="1" fontId="4" fillId="23" borderId="16" xfId="6" applyNumberFormat="1" applyFont="1" applyFill="1" applyBorder="1" applyAlignment="1" applyProtection="1">
      <alignment horizontal="center"/>
    </xf>
    <xf numFmtId="1" fontId="4" fillId="23" borderId="167" xfId="6" applyNumberFormat="1" applyFont="1" applyFill="1" applyBorder="1" applyAlignment="1" applyProtection="1">
      <alignment horizontal="center"/>
    </xf>
    <xf numFmtId="3" fontId="6" fillId="23" borderId="175" xfId="6" applyNumberFormat="1" applyFont="1" applyFill="1" applyBorder="1" applyAlignment="1" applyProtection="1">
      <alignment vertical="top"/>
    </xf>
    <xf numFmtId="3" fontId="6" fillId="23" borderId="43" xfId="6" applyNumberFormat="1" applyFont="1" applyFill="1" applyBorder="1" applyAlignment="1" applyProtection="1">
      <alignment vertical="center"/>
    </xf>
    <xf numFmtId="3" fontId="6" fillId="23" borderId="43" xfId="0" applyNumberFormat="1" applyFont="1" applyFill="1" applyBorder="1" applyAlignment="1" applyProtection="1">
      <alignment vertical="center"/>
    </xf>
    <xf numFmtId="3" fontId="6" fillId="23" borderId="175" xfId="0" applyNumberFormat="1" applyFont="1" applyFill="1" applyBorder="1" applyAlignment="1" applyProtection="1">
      <alignment vertical="top"/>
    </xf>
    <xf numFmtId="0" fontId="4" fillId="23" borderId="158" xfId="6" applyFont="1" applyFill="1" applyBorder="1" applyAlignment="1" applyProtection="1">
      <alignment vertical="top" wrapText="1"/>
    </xf>
    <xf numFmtId="0" fontId="4" fillId="23" borderId="158" xfId="6" applyFont="1" applyFill="1" applyBorder="1" applyAlignment="1" applyProtection="1">
      <alignment vertical="center" wrapText="1"/>
    </xf>
    <xf numFmtId="0" fontId="4" fillId="10" borderId="57" xfId="0" applyFont="1" applyFill="1" applyBorder="1" applyAlignment="1" applyProtection="1">
      <alignment horizontal="center"/>
    </xf>
    <xf numFmtId="3" fontId="3" fillId="23" borderId="49" xfId="0" applyNumberFormat="1" applyFont="1" applyFill="1" applyBorder="1" applyAlignment="1" applyProtection="1">
      <alignment horizontal="right"/>
    </xf>
    <xf numFmtId="3" fontId="19" fillId="23" borderId="7" xfId="0" applyNumberFormat="1" applyFont="1" applyFill="1" applyBorder="1" applyProtection="1"/>
    <xf numFmtId="3" fontId="48" fillId="23" borderId="5" xfId="0" applyNumberFormat="1" applyFont="1" applyFill="1" applyBorder="1" applyProtection="1"/>
    <xf numFmtId="3" fontId="105" fillId="23" borderId="5" xfId="0" applyNumberFormat="1" applyFont="1" applyFill="1" applyBorder="1" applyProtection="1"/>
    <xf numFmtId="3" fontId="105" fillId="23" borderId="6" xfId="0" applyNumberFormat="1" applyFont="1" applyFill="1" applyBorder="1" applyProtection="1"/>
    <xf numFmtId="0" fontId="3" fillId="23" borderId="7" xfId="0" applyFont="1" applyFill="1" applyBorder="1" applyAlignment="1" applyProtection="1">
      <alignment vertical="top"/>
    </xf>
    <xf numFmtId="0" fontId="3" fillId="23" borderId="5" xfId="0" applyFont="1" applyFill="1" applyBorder="1" applyAlignment="1" applyProtection="1">
      <alignment vertical="top"/>
    </xf>
    <xf numFmtId="0" fontId="3" fillId="23" borderId="6" xfId="0" applyFont="1" applyFill="1" applyBorder="1" applyAlignment="1" applyProtection="1">
      <alignment vertical="top"/>
    </xf>
    <xf numFmtId="0" fontId="22" fillId="23" borderId="0" xfId="0" applyFont="1" applyFill="1" applyBorder="1" applyProtection="1"/>
    <xf numFmtId="0" fontId="22" fillId="23" borderId="15" xfId="0" applyFont="1" applyFill="1" applyBorder="1" applyProtection="1"/>
    <xf numFmtId="0" fontId="5" fillId="23" borderId="15" xfId="0" applyFont="1" applyFill="1" applyBorder="1" applyProtection="1"/>
    <xf numFmtId="0" fontId="5" fillId="23" borderId="167" xfId="0" applyFont="1" applyFill="1" applyBorder="1" applyProtection="1"/>
    <xf numFmtId="0" fontId="9" fillId="23" borderId="216" xfId="0" applyFont="1" applyFill="1" applyBorder="1" applyAlignment="1" applyProtection="1">
      <alignment horizontal="left"/>
    </xf>
    <xf numFmtId="0" fontId="9" fillId="23" borderId="65" xfId="0" applyFont="1" applyFill="1" applyBorder="1" applyAlignment="1" applyProtection="1">
      <alignment horizontal="left"/>
    </xf>
    <xf numFmtId="0" fontId="4" fillId="23" borderId="65" xfId="0" applyFont="1" applyFill="1" applyBorder="1" applyAlignment="1" applyProtection="1">
      <alignment horizontal="left"/>
    </xf>
    <xf numFmtId="0" fontId="36" fillId="23" borderId="176" xfId="0" applyFont="1" applyFill="1" applyBorder="1" applyAlignment="1" applyProtection="1">
      <alignment horizontal="left" vertical="top" wrapText="1"/>
    </xf>
    <xf numFmtId="0" fontId="3" fillId="23" borderId="105" xfId="0" applyFont="1" applyFill="1" applyBorder="1" applyAlignment="1" applyProtection="1">
      <alignment vertical="top"/>
    </xf>
    <xf numFmtId="0" fontId="3" fillId="23" borderId="69" xfId="0" applyFont="1" applyFill="1" applyBorder="1" applyAlignment="1" applyProtection="1">
      <alignment vertical="top"/>
    </xf>
    <xf numFmtId="0" fontId="3" fillId="23" borderId="70" xfId="0" applyFont="1" applyFill="1" applyBorder="1" applyAlignment="1" applyProtection="1">
      <alignment vertical="top"/>
    </xf>
    <xf numFmtId="3" fontId="51" fillId="23" borderId="7" xfId="0" applyNumberFormat="1" applyFont="1" applyFill="1" applyBorder="1" applyProtection="1"/>
    <xf numFmtId="3" fontId="48" fillId="23" borderId="8" xfId="0" applyNumberFormat="1" applyFont="1" applyFill="1" applyBorder="1" applyProtection="1"/>
    <xf numFmtId="3" fontId="105" fillId="23" borderId="8" xfId="0" applyNumberFormat="1" applyFont="1" applyFill="1" applyBorder="1" applyProtection="1"/>
    <xf numFmtId="3" fontId="105" fillId="23" borderId="91" xfId="0" applyNumberFormat="1" applyFont="1" applyFill="1" applyBorder="1" applyProtection="1"/>
    <xf numFmtId="3" fontId="48" fillId="23" borderId="7" xfId="0" applyNumberFormat="1" applyFont="1" applyFill="1" applyBorder="1" applyProtection="1"/>
    <xf numFmtId="3" fontId="3" fillId="23" borderId="7" xfId="0" applyNumberFormat="1" applyFont="1" applyFill="1" applyBorder="1" applyAlignment="1" applyProtection="1">
      <alignment vertical="top"/>
    </xf>
    <xf numFmtId="3" fontId="46" fillId="23" borderId="29" xfId="0" applyNumberFormat="1" applyFont="1" applyFill="1" applyBorder="1" applyAlignment="1" applyProtection="1">
      <alignment vertical="top" wrapText="1"/>
    </xf>
    <xf numFmtId="3" fontId="3" fillId="23" borderId="45" xfId="0" applyNumberFormat="1" applyFont="1" applyFill="1" applyBorder="1" applyAlignment="1" applyProtection="1">
      <alignment horizontal="right"/>
    </xf>
    <xf numFmtId="3" fontId="46" fillId="23" borderId="145" xfId="0" applyNumberFormat="1" applyFont="1" applyFill="1" applyBorder="1" applyAlignment="1" applyProtection="1">
      <alignment vertical="top" wrapText="1"/>
    </xf>
    <xf numFmtId="167" fontId="45" fillId="23" borderId="157" xfId="0" applyNumberFormat="1" applyFont="1" applyFill="1" applyBorder="1" applyProtection="1"/>
    <xf numFmtId="3" fontId="11" fillId="23" borderId="7" xfId="0" applyNumberFormat="1" applyFont="1" applyFill="1" applyBorder="1" applyAlignment="1" applyProtection="1">
      <alignment vertical="top"/>
      <protection locked="0"/>
    </xf>
    <xf numFmtId="3" fontId="11" fillId="23" borderId="5" xfId="0" applyNumberFormat="1" applyFont="1" applyFill="1" applyBorder="1" applyAlignment="1" applyProtection="1">
      <alignment vertical="top"/>
      <protection locked="0"/>
    </xf>
    <xf numFmtId="3" fontId="11" fillId="23" borderId="6" xfId="0" applyNumberFormat="1" applyFont="1" applyFill="1" applyBorder="1" applyAlignment="1" applyProtection="1">
      <alignment vertical="top"/>
      <protection locked="0"/>
    </xf>
    <xf numFmtId="0" fontId="3" fillId="23" borderId="5" xfId="0" applyFont="1" applyFill="1" applyBorder="1" applyAlignment="1" applyProtection="1">
      <alignment vertical="top"/>
      <protection locked="0"/>
    </xf>
    <xf numFmtId="0" fontId="3" fillId="23" borderId="6" xfId="0" applyFont="1" applyFill="1" applyBorder="1" applyAlignment="1" applyProtection="1">
      <alignment vertical="top"/>
      <protection locked="0"/>
    </xf>
    <xf numFmtId="0" fontId="3" fillId="23" borderId="160" xfId="0" applyFont="1" applyFill="1" applyBorder="1" applyAlignment="1" applyProtection="1">
      <alignment vertical="top"/>
      <protection locked="0"/>
    </xf>
    <xf numFmtId="0" fontId="3" fillId="23" borderId="67" xfId="0" applyFont="1" applyFill="1" applyBorder="1" applyAlignment="1" applyProtection="1">
      <alignment vertical="top"/>
      <protection locked="0"/>
    </xf>
    <xf numFmtId="0" fontId="3" fillId="23" borderId="93" xfId="0" applyFont="1" applyFill="1" applyBorder="1" applyAlignment="1" applyProtection="1">
      <alignment vertical="top"/>
      <protection locked="0"/>
    </xf>
    <xf numFmtId="3" fontId="19" fillId="23" borderId="14" xfId="0" applyNumberFormat="1" applyFont="1" applyFill="1" applyBorder="1" applyProtection="1"/>
    <xf numFmtId="3" fontId="48" fillId="23" borderId="17" xfId="0" applyNumberFormat="1" applyFont="1" applyFill="1" applyBorder="1" applyProtection="1"/>
    <xf numFmtId="3" fontId="105" fillId="23" borderId="17" xfId="0" applyNumberFormat="1" applyFont="1" applyFill="1" applyBorder="1" applyProtection="1"/>
    <xf numFmtId="3" fontId="105" fillId="23" borderId="164" xfId="0" applyNumberFormat="1" applyFont="1" applyFill="1" applyBorder="1" applyProtection="1"/>
    <xf numFmtId="3" fontId="3" fillId="23" borderId="7" xfId="0" applyNumberFormat="1" applyFont="1" applyFill="1" applyBorder="1" applyAlignment="1" applyProtection="1">
      <alignment vertical="top"/>
      <protection locked="0"/>
    </xf>
    <xf numFmtId="0" fontId="17" fillId="23" borderId="93" xfId="0" applyFont="1" applyFill="1" applyBorder="1" applyAlignment="1" applyProtection="1">
      <alignment wrapText="1"/>
    </xf>
    <xf numFmtId="0" fontId="10" fillId="23" borderId="196" xfId="0" applyFont="1" applyFill="1" applyBorder="1" applyProtection="1"/>
    <xf numFmtId="3" fontId="137" fillId="23" borderId="7" xfId="0" applyNumberFormat="1" applyFont="1" applyFill="1" applyBorder="1" applyProtection="1"/>
    <xf numFmtId="3" fontId="139" fillId="23" borderId="5" xfId="0" applyNumberFormat="1" applyFont="1" applyFill="1" applyBorder="1" applyProtection="1"/>
    <xf numFmtId="3" fontId="26" fillId="23" borderId="5" xfId="0" applyNumberFormat="1" applyFont="1" applyFill="1" applyBorder="1" applyProtection="1"/>
    <xf numFmtId="3" fontId="49" fillId="23" borderId="160" xfId="0" applyNumberFormat="1" applyFont="1" applyFill="1" applyBorder="1" applyProtection="1"/>
    <xf numFmtId="3" fontId="49" fillId="23" borderId="127" xfId="0" applyNumberFormat="1" applyFont="1" applyFill="1" applyBorder="1" applyProtection="1"/>
    <xf numFmtId="9" fontId="49" fillId="23" borderId="93" xfId="0" applyNumberFormat="1" applyFont="1" applyFill="1" applyBorder="1" applyProtection="1"/>
    <xf numFmtId="3" fontId="3" fillId="23" borderId="45" xfId="0" applyNumberFormat="1" applyFont="1" applyFill="1" applyBorder="1" applyAlignment="1" applyProtection="1">
      <alignment horizontal="right" vertical="top" wrapText="1"/>
    </xf>
    <xf numFmtId="3" fontId="46" fillId="23" borderId="22" xfId="0" applyNumberFormat="1" applyFont="1" applyFill="1" applyBorder="1" applyAlignment="1" applyProtection="1">
      <alignment vertical="top"/>
    </xf>
    <xf numFmtId="0" fontId="10" fillId="23" borderId="5" xfId="0" applyFont="1" applyFill="1" applyBorder="1" applyAlignment="1" applyProtection="1">
      <alignment vertical="top"/>
    </xf>
    <xf numFmtId="0" fontId="10" fillId="23" borderId="6" xfId="0" applyFont="1" applyFill="1" applyBorder="1" applyAlignment="1" applyProtection="1">
      <alignment vertical="top"/>
    </xf>
    <xf numFmtId="3" fontId="4" fillId="23" borderId="132" xfId="0" applyNumberFormat="1" applyFont="1" applyFill="1" applyBorder="1" applyProtection="1"/>
    <xf numFmtId="3" fontId="4" fillId="23" borderId="211" xfId="0" applyNumberFormat="1" applyFont="1" applyFill="1" applyBorder="1" applyProtection="1"/>
    <xf numFmtId="0" fontId="50" fillId="23" borderId="43" xfId="0" applyFont="1" applyFill="1" applyBorder="1" applyAlignment="1" applyProtection="1">
      <alignment vertical="center"/>
    </xf>
    <xf numFmtId="3" fontId="49" fillId="23" borderId="16" xfId="0" applyNumberFormat="1" applyFont="1" applyFill="1" applyBorder="1" applyProtection="1"/>
    <xf numFmtId="3" fontId="49" fillId="23" borderId="67" xfId="0" applyNumberFormat="1" applyFont="1" applyFill="1" applyBorder="1" applyProtection="1"/>
    <xf numFmtId="0" fontId="10" fillId="23" borderId="7" xfId="0" applyFont="1" applyFill="1" applyBorder="1" applyAlignment="1" applyProtection="1">
      <alignment vertical="top"/>
    </xf>
    <xf numFmtId="3" fontId="145" fillId="3" borderId="62" xfId="0" applyNumberFormat="1" applyFont="1" applyFill="1" applyBorder="1" applyAlignment="1" applyProtection="1">
      <alignment horizontal="right"/>
    </xf>
    <xf numFmtId="3" fontId="145" fillId="3" borderId="213" xfId="0" applyNumberFormat="1" applyFont="1" applyFill="1" applyBorder="1" applyAlignment="1" applyProtection="1">
      <alignment horizontal="right"/>
    </xf>
    <xf numFmtId="3" fontId="4" fillId="0" borderId="0" xfId="0" applyNumberFormat="1" applyFont="1" applyFill="1" applyBorder="1" applyAlignment="1" applyProtection="1">
      <alignment horizontal="center"/>
    </xf>
    <xf numFmtId="3" fontId="6" fillId="0" borderId="0" xfId="0" applyNumberFormat="1" applyFont="1" applyFill="1" applyBorder="1" applyAlignment="1" applyProtection="1"/>
    <xf numFmtId="3" fontId="9" fillId="0" borderId="0" xfId="0" applyNumberFormat="1" applyFont="1" applyFill="1" applyBorder="1" applyAlignment="1" applyProtection="1"/>
    <xf numFmtId="3" fontId="9" fillId="23" borderId="12" xfId="0" applyNumberFormat="1" applyFont="1" applyFill="1" applyBorder="1" applyAlignment="1" applyProtection="1"/>
    <xf numFmtId="1" fontId="9" fillId="23" borderId="35" xfId="0" applyNumberFormat="1" applyFont="1" applyFill="1" applyBorder="1" applyAlignment="1" applyProtection="1">
      <alignment horizontal="center"/>
    </xf>
    <xf numFmtId="1" fontId="4" fillId="23" borderId="35" xfId="0" applyNumberFormat="1" applyFont="1" applyFill="1" applyBorder="1" applyAlignment="1" applyProtection="1">
      <alignment horizontal="left"/>
    </xf>
    <xf numFmtId="3" fontId="14" fillId="2" borderId="63" xfId="0" applyNumberFormat="1" applyFont="1" applyFill="1" applyBorder="1" applyAlignment="1" applyProtection="1">
      <alignment horizontal="right"/>
      <protection locked="0"/>
    </xf>
    <xf numFmtId="0" fontId="138" fillId="0" borderId="0" xfId="0" applyFont="1" applyFill="1" applyProtection="1"/>
    <xf numFmtId="3" fontId="40" fillId="0" borderId="0" xfId="0" applyNumberFormat="1" applyFont="1" applyFill="1" applyBorder="1" applyAlignment="1" applyProtection="1">
      <alignment horizontal="left"/>
    </xf>
    <xf numFmtId="0" fontId="138" fillId="0" borderId="0" xfId="0" applyFont="1" applyFill="1" applyBorder="1" applyProtection="1"/>
    <xf numFmtId="0" fontId="138" fillId="2" borderId="0" xfId="0" applyFont="1" applyFill="1" applyBorder="1" applyProtection="1"/>
    <xf numFmtId="3" fontId="138" fillId="2" borderId="0" xfId="0" applyNumberFormat="1" applyFont="1" applyFill="1" applyBorder="1" applyProtection="1"/>
    <xf numFmtId="3" fontId="3" fillId="23" borderId="44" xfId="0" applyNumberFormat="1" applyFont="1" applyFill="1" applyBorder="1" applyProtection="1"/>
    <xf numFmtId="3" fontId="3" fillId="23" borderId="92" xfId="0" applyNumberFormat="1" applyFont="1" applyFill="1" applyBorder="1" applyProtection="1"/>
    <xf numFmtId="0" fontId="25" fillId="23" borderId="5" xfId="0" applyFont="1" applyFill="1" applyBorder="1" applyProtection="1"/>
    <xf numFmtId="0" fontId="2" fillId="23" borderId="5" xfId="0" applyFont="1" applyFill="1" applyBorder="1" applyProtection="1"/>
    <xf numFmtId="3" fontId="3" fillId="24" borderId="71" xfId="0" applyNumberFormat="1" applyFont="1" applyFill="1" applyBorder="1" applyAlignment="1" applyProtection="1">
      <alignment horizontal="right"/>
    </xf>
    <xf numFmtId="3" fontId="146" fillId="23" borderId="5" xfId="0" applyNumberFormat="1" applyFont="1" applyFill="1" applyBorder="1" applyAlignment="1" applyProtection="1"/>
    <xf numFmtId="9" fontId="146" fillId="23" borderId="5" xfId="0" applyNumberFormat="1" applyFont="1" applyFill="1" applyBorder="1" applyAlignment="1" applyProtection="1"/>
    <xf numFmtId="3" fontId="49" fillId="25" borderId="137" xfId="0" applyNumberFormat="1" applyFont="1" applyFill="1" applyBorder="1" applyProtection="1"/>
    <xf numFmtId="3" fontId="38" fillId="2" borderId="0" xfId="0" applyNumberFormat="1" applyFont="1" applyFill="1" applyAlignment="1" applyProtection="1">
      <alignment vertical="top" wrapText="1"/>
    </xf>
    <xf numFmtId="9" fontId="0" fillId="0" borderId="0" xfId="0" applyNumberFormat="1"/>
    <xf numFmtId="0" fontId="142" fillId="0" borderId="0" xfId="0" applyFont="1" applyFill="1" applyProtection="1"/>
    <xf numFmtId="3" fontId="100" fillId="2" borderId="1" xfId="10" applyNumberFormat="1" applyFont="1" applyFill="1" applyBorder="1" applyAlignment="1" applyProtection="1"/>
    <xf numFmtId="0" fontId="4" fillId="23" borderId="25" xfId="6" applyFont="1" applyFill="1" applyBorder="1" applyProtection="1"/>
    <xf numFmtId="0" fontId="38" fillId="23" borderId="174" xfId="0" applyFont="1" applyFill="1" applyBorder="1" applyAlignment="1" applyProtection="1">
      <alignment wrapText="1"/>
    </xf>
    <xf numFmtId="0" fontId="38" fillId="23" borderId="159" xfId="0" applyFont="1" applyFill="1" applyBorder="1" applyProtection="1"/>
    <xf numFmtId="3" fontId="137" fillId="0" borderId="0" xfId="0" applyNumberFormat="1" applyFont="1" applyFill="1" applyBorder="1" applyAlignment="1" applyProtection="1">
      <alignment vertical="top"/>
    </xf>
    <xf numFmtId="3" fontId="3" fillId="0" borderId="18" xfId="0" applyNumberFormat="1" applyFont="1" applyFill="1" applyBorder="1" applyProtection="1">
      <protection locked="0"/>
    </xf>
    <xf numFmtId="3" fontId="10" fillId="0" borderId="0" xfId="0" applyNumberFormat="1" applyFont="1" applyFill="1" applyBorder="1" applyProtection="1">
      <protection locked="0"/>
    </xf>
    <xf numFmtId="3" fontId="3" fillId="0" borderId="0" xfId="0" applyNumberFormat="1" applyFont="1" applyFill="1" applyBorder="1" applyAlignment="1" applyProtection="1">
      <alignment horizontal="right"/>
      <protection locked="0"/>
    </xf>
    <xf numFmtId="49" fontId="4" fillId="23" borderId="217" xfId="0" applyNumberFormat="1" applyFont="1" applyFill="1" applyBorder="1" applyAlignment="1" applyProtection="1">
      <alignment horizontal="left"/>
    </xf>
    <xf numFmtId="0" fontId="56" fillId="2" borderId="168" xfId="0" applyFont="1" applyFill="1" applyBorder="1" applyProtection="1"/>
    <xf numFmtId="0" fontId="56" fillId="2" borderId="166" xfId="0" applyFont="1" applyFill="1" applyBorder="1" applyProtection="1"/>
    <xf numFmtId="3" fontId="3" fillId="2" borderId="42" xfId="0" applyNumberFormat="1" applyFont="1" applyFill="1" applyBorder="1" applyAlignment="1" applyProtection="1">
      <alignment horizontal="right"/>
      <protection locked="0"/>
    </xf>
    <xf numFmtId="0" fontId="0" fillId="2" borderId="56" xfId="0" applyFill="1" applyBorder="1" applyProtection="1"/>
    <xf numFmtId="0" fontId="3" fillId="0" borderId="0" xfId="0" applyFont="1" applyBorder="1" applyAlignment="1" applyProtection="1">
      <alignment wrapText="1"/>
      <protection locked="0"/>
    </xf>
    <xf numFmtId="0" fontId="56" fillId="2" borderId="1" xfId="0" applyFont="1" applyFill="1" applyBorder="1" applyProtection="1"/>
    <xf numFmtId="0" fontId="0" fillId="2" borderId="61" xfId="0" applyFill="1" applyBorder="1" applyProtection="1"/>
    <xf numFmtId="49" fontId="4" fillId="0" borderId="209" xfId="0" applyNumberFormat="1" applyFont="1" applyFill="1" applyBorder="1" applyAlignment="1" applyProtection="1">
      <alignment horizontal="center"/>
    </xf>
    <xf numFmtId="0" fontId="56" fillId="2" borderId="42" xfId="0" applyFont="1" applyFill="1" applyBorder="1" applyProtection="1"/>
    <xf numFmtId="0" fontId="0" fillId="33" borderId="0" xfId="0" applyFill="1" applyBorder="1" applyProtection="1"/>
    <xf numFmtId="3" fontId="3" fillId="9" borderId="84" xfId="0" applyNumberFormat="1" applyFont="1" applyFill="1" applyBorder="1" applyProtection="1"/>
    <xf numFmtId="3" fontId="14" fillId="2" borderId="35" xfId="0" applyNumberFormat="1" applyFont="1" applyFill="1" applyBorder="1" applyAlignment="1" applyProtection="1">
      <alignment horizontal="right"/>
      <protection locked="0"/>
    </xf>
    <xf numFmtId="3" fontId="14" fillId="2" borderId="39" xfId="0" applyNumberFormat="1" applyFont="1" applyFill="1" applyBorder="1" applyAlignment="1" applyProtection="1">
      <alignment horizontal="right"/>
      <protection locked="0"/>
    </xf>
    <xf numFmtId="0" fontId="4" fillId="23" borderId="132" xfId="0" applyFont="1" applyFill="1" applyBorder="1" applyAlignment="1" applyProtection="1">
      <alignment horizontal="center"/>
    </xf>
    <xf numFmtId="3" fontId="3" fillId="0" borderId="36" xfId="0" applyNumberFormat="1" applyFont="1" applyFill="1" applyBorder="1" applyProtection="1"/>
    <xf numFmtId="0" fontId="137" fillId="2" borderId="0" xfId="0" applyFont="1" applyFill="1" applyBorder="1" applyProtection="1"/>
    <xf numFmtId="165" fontId="6" fillId="23" borderId="146" xfId="0" applyNumberFormat="1" applyFont="1" applyFill="1" applyBorder="1" applyAlignment="1" applyProtection="1">
      <alignment horizontal="left"/>
    </xf>
    <xf numFmtId="3" fontId="14" fillId="2" borderId="106" xfId="0" applyNumberFormat="1" applyFont="1" applyFill="1" applyBorder="1" applyAlignment="1" applyProtection="1">
      <alignment horizontal="right"/>
      <protection locked="0"/>
    </xf>
    <xf numFmtId="165" fontId="6" fillId="23" borderId="94" xfId="0" applyNumberFormat="1" applyFont="1" applyFill="1" applyBorder="1" applyAlignment="1" applyProtection="1">
      <alignment horizontal="left"/>
    </xf>
    <xf numFmtId="165" fontId="4" fillId="23" borderId="55" xfId="0" applyNumberFormat="1" applyFont="1" applyFill="1" applyBorder="1" applyAlignment="1" applyProtection="1">
      <alignment horizontal="left"/>
    </xf>
    <xf numFmtId="0" fontId="4" fillId="23" borderId="34" xfId="0" applyNumberFormat="1" applyFont="1" applyFill="1" applyBorder="1" applyAlignment="1" applyProtection="1">
      <alignment horizontal="center"/>
    </xf>
    <xf numFmtId="49" fontId="4" fillId="23" borderId="35" xfId="0" applyNumberFormat="1" applyFont="1" applyFill="1" applyBorder="1" applyAlignment="1" applyProtection="1">
      <alignment horizontal="center" wrapText="1"/>
    </xf>
    <xf numFmtId="3" fontId="3" fillId="9" borderId="26" xfId="0" applyNumberFormat="1" applyFont="1" applyFill="1" applyBorder="1" applyAlignment="1" applyProtection="1"/>
    <xf numFmtId="1" fontId="147" fillId="23" borderId="89" xfId="0" applyNumberFormat="1" applyFont="1" applyFill="1" applyBorder="1" applyAlignment="1" applyProtection="1">
      <alignment horizontal="left" vertical="top" wrapText="1"/>
    </xf>
    <xf numFmtId="0" fontId="4" fillId="23" borderId="203" xfId="0" applyFont="1" applyFill="1" applyBorder="1" applyAlignment="1" applyProtection="1">
      <alignment wrapText="1"/>
    </xf>
    <xf numFmtId="0" fontId="4" fillId="23" borderId="211" xfId="0" applyFont="1" applyFill="1" applyBorder="1" applyAlignment="1" applyProtection="1">
      <alignment horizontal="left" wrapText="1"/>
    </xf>
    <xf numFmtId="0" fontId="149" fillId="23" borderId="149" xfId="0" applyFont="1" applyFill="1" applyBorder="1" applyProtection="1"/>
    <xf numFmtId="3" fontId="3" fillId="3" borderId="113" xfId="0" applyNumberFormat="1" applyFont="1" applyFill="1" applyBorder="1" applyProtection="1"/>
    <xf numFmtId="3" fontId="3" fillId="3" borderId="7" xfId="0" applyNumberFormat="1" applyFont="1" applyFill="1" applyBorder="1" applyProtection="1"/>
    <xf numFmtId="3" fontId="11" fillId="2" borderId="6" xfId="0" quotePrefix="1" applyNumberFormat="1" applyFont="1" applyFill="1" applyBorder="1" applyAlignment="1" applyProtection="1">
      <alignment horizontal="right"/>
      <protection locked="0"/>
    </xf>
    <xf numFmtId="3" fontId="11" fillId="0" borderId="6" xfId="0" quotePrefix="1" applyNumberFormat="1" applyFont="1" applyFill="1" applyBorder="1" applyAlignment="1" applyProtection="1">
      <alignment horizontal="right"/>
      <protection locked="0"/>
    </xf>
    <xf numFmtId="3" fontId="3" fillId="9" borderId="176" xfId="0" applyNumberFormat="1" applyFont="1" applyFill="1" applyBorder="1" applyAlignment="1" applyProtection="1"/>
    <xf numFmtId="3" fontId="3" fillId="9" borderId="90" xfId="0" applyNumberFormat="1" applyFont="1" applyFill="1" applyBorder="1" applyAlignment="1" applyProtection="1"/>
    <xf numFmtId="0" fontId="4" fillId="0" borderId="0" xfId="0" applyFont="1" applyAlignment="1"/>
    <xf numFmtId="1" fontId="3" fillId="0" borderId="0" xfId="0" applyNumberFormat="1" applyFont="1" applyFill="1" applyBorder="1" applyAlignment="1" applyProtection="1">
      <alignment horizontal="left" vertical="top"/>
    </xf>
    <xf numFmtId="3" fontId="3" fillId="0" borderId="18" xfId="6" applyNumberFormat="1" applyFont="1" applyFill="1" applyBorder="1" applyAlignment="1" applyProtection="1">
      <alignment horizontal="right"/>
      <protection locked="0"/>
    </xf>
    <xf numFmtId="0" fontId="4" fillId="23" borderId="23" xfId="0" applyFont="1" applyFill="1" applyBorder="1" applyAlignment="1" applyProtection="1">
      <alignment horizontal="left" vertical="top" wrapText="1"/>
    </xf>
    <xf numFmtId="0" fontId="4" fillId="23" borderId="23" xfId="6" applyFont="1" applyFill="1" applyBorder="1" applyAlignment="1" applyProtection="1">
      <alignment horizontal="left" vertical="top" wrapText="1"/>
    </xf>
    <xf numFmtId="0" fontId="3" fillId="0" borderId="0" xfId="0" quotePrefix="1" applyFont="1" applyFill="1" applyBorder="1" applyAlignment="1" applyProtection="1">
      <alignment vertical="top"/>
    </xf>
    <xf numFmtId="49" fontId="4" fillId="23" borderId="0" xfId="6" applyNumberFormat="1" applyFont="1" applyFill="1" applyBorder="1" applyAlignment="1" applyProtection="1">
      <alignment horizontal="center"/>
    </xf>
    <xf numFmtId="0" fontId="4" fillId="23" borderId="36" xfId="6" applyFont="1" applyFill="1" applyBorder="1" applyAlignment="1" applyProtection="1">
      <alignment horizontal="left" vertical="top" wrapText="1"/>
    </xf>
    <xf numFmtId="0" fontId="6" fillId="23" borderId="15" xfId="6" applyFont="1" applyFill="1" applyBorder="1" applyProtection="1"/>
    <xf numFmtId="0" fontId="4" fillId="23" borderId="41" xfId="6" applyFont="1" applyFill="1" applyBorder="1" applyProtection="1"/>
    <xf numFmtId="3" fontId="3" fillId="3" borderId="62" xfId="6" applyNumberFormat="1" applyFont="1" applyFill="1" applyBorder="1" applyAlignment="1" applyProtection="1">
      <alignment horizontal="right"/>
    </xf>
    <xf numFmtId="0" fontId="38" fillId="2" borderId="0" xfId="6" applyFont="1" applyFill="1" applyBorder="1" applyAlignment="1" applyProtection="1">
      <alignment horizontal="left" vertical="top"/>
    </xf>
    <xf numFmtId="3" fontId="3" fillId="3" borderId="83" xfId="6" applyNumberFormat="1" applyFont="1" applyFill="1" applyBorder="1" applyAlignment="1" applyProtection="1">
      <alignment horizontal="right"/>
    </xf>
    <xf numFmtId="0" fontId="6" fillId="23" borderId="117" xfId="6" applyFont="1" applyFill="1" applyBorder="1" applyAlignment="1" applyProtection="1">
      <alignment horizontal="left"/>
    </xf>
    <xf numFmtId="0" fontId="3" fillId="0" borderId="0" xfId="6" applyFont="1" applyFill="1" applyBorder="1" applyAlignment="1" applyProtection="1">
      <alignment vertical="top"/>
    </xf>
    <xf numFmtId="0" fontId="4" fillId="23" borderId="15" xfId="6" applyFont="1" applyFill="1" applyBorder="1" applyProtection="1"/>
    <xf numFmtId="3" fontId="3" fillId="0" borderId="2" xfId="6" applyNumberFormat="1" applyFont="1" applyFill="1" applyBorder="1" applyAlignment="1" applyProtection="1">
      <alignment horizontal="right"/>
      <protection locked="0"/>
    </xf>
    <xf numFmtId="3" fontId="3" fillId="0" borderId="15" xfId="6" applyNumberFormat="1" applyFont="1" applyFill="1" applyBorder="1" applyAlignment="1" applyProtection="1">
      <alignment horizontal="right"/>
      <protection locked="0"/>
    </xf>
    <xf numFmtId="3" fontId="3" fillId="0" borderId="59" xfId="6" applyNumberFormat="1" applyFont="1" applyFill="1" applyBorder="1" applyAlignment="1" applyProtection="1">
      <alignment horizontal="right"/>
      <protection locked="0"/>
    </xf>
    <xf numFmtId="0" fontId="2" fillId="2" borderId="0" xfId="6" applyFont="1" applyFill="1" applyAlignment="1" applyProtection="1">
      <alignment vertical="top"/>
    </xf>
    <xf numFmtId="3" fontId="38" fillId="2" borderId="0" xfId="6" applyNumberFormat="1" applyFont="1" applyFill="1" applyAlignment="1" applyProtection="1">
      <alignment vertical="top"/>
    </xf>
    <xf numFmtId="0" fontId="75" fillId="2" borderId="0" xfId="6" applyFont="1" applyFill="1" applyAlignment="1" applyProtection="1">
      <alignment vertical="top"/>
    </xf>
    <xf numFmtId="0" fontId="25" fillId="2" borderId="0" xfId="6" applyFill="1" applyBorder="1" applyAlignment="1" applyProtection="1">
      <alignment horizontal="left" vertical="top"/>
    </xf>
    <xf numFmtId="0" fontId="25" fillId="2" borderId="0" xfId="6" applyFill="1" applyAlignment="1" applyProtection="1">
      <alignment vertical="top"/>
    </xf>
    <xf numFmtId="0" fontId="76" fillId="2" borderId="0" xfId="6" applyFont="1" applyFill="1" applyAlignment="1" applyProtection="1">
      <alignment vertical="top"/>
    </xf>
    <xf numFmtId="3" fontId="4" fillId="23" borderId="20" xfId="0" applyNumberFormat="1" applyFont="1" applyFill="1" applyBorder="1" applyAlignment="1" applyProtection="1">
      <alignment horizontal="center"/>
    </xf>
    <xf numFmtId="3" fontId="4" fillId="23" borderId="27" xfId="0" applyNumberFormat="1" applyFont="1" applyFill="1" applyBorder="1" applyAlignment="1" applyProtection="1">
      <alignment vertical="center" wrapText="1"/>
    </xf>
    <xf numFmtId="3" fontId="4" fillId="23" borderId="56" xfId="0" applyNumberFormat="1" applyFont="1" applyFill="1" applyBorder="1" applyAlignment="1" applyProtection="1">
      <alignment vertical="center" wrapText="1"/>
    </xf>
    <xf numFmtId="3" fontId="3" fillId="23" borderId="35" xfId="6" applyNumberFormat="1" applyFont="1" applyFill="1" applyBorder="1" applyProtection="1"/>
    <xf numFmtId="3" fontId="4" fillId="23" borderId="158" xfId="6" applyNumberFormat="1" applyFont="1" applyFill="1" applyBorder="1" applyProtection="1"/>
    <xf numFmtId="0" fontId="8" fillId="23" borderId="175" xfId="6" applyFont="1" applyFill="1" applyBorder="1" applyProtection="1"/>
    <xf numFmtId="3" fontId="3" fillId="23" borderId="5" xfId="6" applyNumberFormat="1" applyFont="1" applyFill="1" applyBorder="1" applyProtection="1"/>
    <xf numFmtId="3" fontId="46" fillId="23" borderId="38" xfId="6" applyNumberFormat="1" applyFont="1" applyFill="1" applyBorder="1" applyAlignment="1" applyProtection="1">
      <alignment horizontal="right"/>
    </xf>
    <xf numFmtId="167" fontId="45" fillId="23" borderId="149" xfId="6" applyNumberFormat="1" applyFont="1" applyFill="1" applyBorder="1" applyProtection="1"/>
    <xf numFmtId="167" fontId="45" fillId="23" borderId="195" xfId="6" applyNumberFormat="1" applyFont="1" applyFill="1" applyBorder="1" applyProtection="1"/>
    <xf numFmtId="0" fontId="4" fillId="23" borderId="156" xfId="6" applyFont="1" applyFill="1" applyBorder="1" applyProtection="1"/>
    <xf numFmtId="3" fontId="6" fillId="23" borderId="110" xfId="6" applyNumberFormat="1" applyFont="1" applyFill="1" applyBorder="1" applyAlignment="1" applyProtection="1">
      <alignment vertical="top"/>
    </xf>
    <xf numFmtId="3" fontId="4" fillId="23" borderId="0" xfId="6" applyNumberFormat="1" applyFont="1" applyFill="1" applyBorder="1" applyAlignment="1" applyProtection="1">
      <alignment vertical="top"/>
    </xf>
    <xf numFmtId="167" fontId="4" fillId="23" borderId="1" xfId="6" applyNumberFormat="1" applyFont="1" applyFill="1" applyBorder="1" applyProtection="1"/>
    <xf numFmtId="3" fontId="3" fillId="23" borderId="67" xfId="6" applyNumberFormat="1" applyFont="1" applyFill="1" applyBorder="1" applyProtection="1"/>
    <xf numFmtId="3" fontId="49" fillId="23" borderId="35" xfId="6" applyNumberFormat="1" applyFont="1" applyFill="1" applyBorder="1" applyProtection="1"/>
    <xf numFmtId="3" fontId="4" fillId="23" borderId="172" xfId="6" applyNumberFormat="1" applyFont="1" applyFill="1" applyBorder="1" applyAlignment="1" applyProtection="1">
      <alignment vertical="top" wrapText="1"/>
    </xf>
    <xf numFmtId="0" fontId="4" fillId="23" borderId="168" xfId="6" applyFont="1" applyFill="1" applyBorder="1" applyAlignment="1" applyProtection="1">
      <alignment vertical="top" wrapText="1"/>
    </xf>
    <xf numFmtId="3" fontId="4" fillId="23" borderId="158" xfId="6" applyNumberFormat="1" applyFont="1" applyFill="1" applyBorder="1" applyAlignment="1" applyProtection="1">
      <alignment vertical="center"/>
    </xf>
    <xf numFmtId="0" fontId="4" fillId="23" borderId="16" xfId="6" applyFont="1" applyFill="1" applyBorder="1" applyAlignment="1" applyProtection="1">
      <alignment horizontal="left" vertical="center"/>
    </xf>
    <xf numFmtId="0" fontId="4" fillId="23" borderId="16" xfId="6" applyFont="1" applyFill="1" applyBorder="1" applyAlignment="1" applyProtection="1">
      <alignment vertical="top"/>
    </xf>
    <xf numFmtId="3" fontId="3" fillId="23" borderId="15" xfId="6" applyNumberFormat="1" applyFont="1" applyFill="1" applyBorder="1" applyProtection="1"/>
    <xf numFmtId="3" fontId="3" fillId="23" borderId="13" xfId="6" applyNumberFormat="1" applyFont="1" applyFill="1" applyBorder="1" applyProtection="1"/>
    <xf numFmtId="0" fontId="4" fillId="23" borderId="194" xfId="0" applyFont="1" applyFill="1" applyBorder="1" applyAlignment="1" applyProtection="1"/>
    <xf numFmtId="3" fontId="4" fillId="23" borderId="156" xfId="0" applyNumberFormat="1" applyFont="1" applyFill="1" applyBorder="1" applyAlignment="1" applyProtection="1"/>
    <xf numFmtId="3" fontId="4" fillId="23" borderId="158" xfId="0" applyNumberFormat="1" applyFont="1" applyFill="1" applyBorder="1" applyAlignment="1" applyProtection="1"/>
    <xf numFmtId="0" fontId="0" fillId="2" borderId="0" xfId="0" applyFill="1" applyAlignment="1" applyProtection="1"/>
    <xf numFmtId="0" fontId="4" fillId="0" borderId="0" xfId="0" applyFont="1" applyFill="1" applyAlignment="1" applyProtection="1"/>
    <xf numFmtId="0" fontId="4" fillId="23" borderId="117" xfId="0" applyFont="1" applyFill="1" applyBorder="1" applyAlignment="1" applyProtection="1"/>
    <xf numFmtId="3" fontId="6" fillId="23" borderId="95" xfId="0" applyNumberFormat="1" applyFont="1" applyFill="1" applyBorder="1" applyAlignment="1" applyProtection="1"/>
    <xf numFmtId="0" fontId="6" fillId="23" borderId="156" xfId="6" applyFont="1" applyFill="1" applyBorder="1" applyAlignment="1" applyProtection="1"/>
    <xf numFmtId="3" fontId="3" fillId="3" borderId="5" xfId="0" applyNumberFormat="1" applyFont="1" applyFill="1" applyBorder="1" applyAlignment="1" applyProtection="1"/>
    <xf numFmtId="3" fontId="4" fillId="23" borderId="0" xfId="0" applyNumberFormat="1" applyFont="1" applyFill="1" applyBorder="1" applyAlignment="1" applyProtection="1"/>
    <xf numFmtId="3" fontId="4" fillId="23" borderId="56" xfId="0" applyNumberFormat="1" applyFont="1" applyFill="1" applyBorder="1" applyAlignment="1" applyProtection="1"/>
    <xf numFmtId="3" fontId="3" fillId="9" borderId="5" xfId="0" applyNumberFormat="1" applyFont="1" applyFill="1" applyBorder="1" applyAlignment="1" applyProtection="1"/>
    <xf numFmtId="0" fontId="4" fillId="23" borderId="55" xfId="0" applyFont="1" applyFill="1" applyBorder="1" applyAlignment="1" applyProtection="1"/>
    <xf numFmtId="0" fontId="4" fillId="23" borderId="110" xfId="6" applyFont="1" applyFill="1" applyBorder="1" applyAlignment="1" applyProtection="1"/>
    <xf numFmtId="0" fontId="4" fillId="23" borderId="61" xfId="6" applyFont="1" applyFill="1" applyBorder="1" applyAlignment="1" applyProtection="1"/>
    <xf numFmtId="0" fontId="0" fillId="33" borderId="0" xfId="0" applyFill="1" applyAlignment="1" applyProtection="1"/>
    <xf numFmtId="0" fontId="4" fillId="23" borderId="0" xfId="0" applyFont="1" applyFill="1" applyBorder="1" applyAlignment="1" applyProtection="1"/>
    <xf numFmtId="0" fontId="4" fillId="23" borderId="167" xfId="0" applyFont="1" applyFill="1" applyBorder="1" applyAlignment="1" applyProtection="1"/>
    <xf numFmtId="0" fontId="4" fillId="23" borderId="158" xfId="6" applyFont="1" applyFill="1" applyBorder="1" applyAlignment="1" applyProtection="1"/>
    <xf numFmtId="0" fontId="4" fillId="23" borderId="158" xfId="0" applyFont="1" applyFill="1" applyBorder="1" applyAlignment="1" applyProtection="1"/>
    <xf numFmtId="0" fontId="4" fillId="23" borderId="146" xfId="0" applyFont="1" applyFill="1" applyBorder="1" applyAlignment="1" applyProtection="1"/>
    <xf numFmtId="0" fontId="6" fillId="23" borderId="53" xfId="0" applyFont="1" applyFill="1" applyBorder="1" applyAlignment="1" applyProtection="1"/>
    <xf numFmtId="3" fontId="3" fillId="9" borderId="35" xfId="0" applyNumberFormat="1" applyFont="1" applyFill="1" applyBorder="1" applyAlignment="1" applyProtection="1"/>
    <xf numFmtId="3" fontId="3" fillId="9" borderId="135" xfId="0" applyNumberFormat="1" applyFont="1" applyFill="1" applyBorder="1" applyAlignment="1" applyProtection="1"/>
    <xf numFmtId="0" fontId="4" fillId="0" borderId="0" xfId="6" applyFont="1" applyBorder="1" applyAlignment="1" applyProtection="1"/>
    <xf numFmtId="0" fontId="25" fillId="0" borderId="0" xfId="6" applyBorder="1" applyAlignment="1" applyProtection="1"/>
    <xf numFmtId="0" fontId="4" fillId="23" borderId="5" xfId="0" applyFont="1" applyFill="1" applyBorder="1" applyAlignment="1" applyProtection="1"/>
    <xf numFmtId="0" fontId="6" fillId="23" borderId="5" xfId="0" applyFont="1" applyFill="1" applyBorder="1" applyAlignment="1" applyProtection="1"/>
    <xf numFmtId="0" fontId="4" fillId="23" borderId="106" xfId="0" applyFont="1" applyFill="1" applyBorder="1" applyAlignment="1" applyProtection="1"/>
    <xf numFmtId="0" fontId="6" fillId="23" borderId="54" xfId="0" applyFont="1" applyFill="1" applyBorder="1" applyAlignment="1" applyProtection="1"/>
    <xf numFmtId="3" fontId="3" fillId="9" borderId="2" xfId="0" applyNumberFormat="1" applyFont="1" applyFill="1" applyBorder="1" applyAlignment="1" applyProtection="1"/>
    <xf numFmtId="3" fontId="3" fillId="9" borderId="53" xfId="0" applyNumberFormat="1" applyFont="1" applyFill="1" applyBorder="1" applyAlignment="1" applyProtection="1"/>
    <xf numFmtId="0" fontId="4" fillId="23" borderId="2" xfId="0" applyFont="1" applyFill="1" applyBorder="1" applyAlignment="1" applyProtection="1"/>
    <xf numFmtId="0" fontId="6" fillId="23" borderId="2" xfId="0" applyFont="1" applyFill="1" applyBorder="1" applyAlignment="1" applyProtection="1"/>
    <xf numFmtId="0" fontId="4" fillId="23" borderId="25" xfId="0" applyFont="1" applyFill="1" applyBorder="1" applyAlignment="1" applyProtection="1"/>
    <xf numFmtId="0" fontId="6" fillId="23" borderId="13" xfId="0" applyFont="1" applyFill="1" applyBorder="1" applyAlignment="1" applyProtection="1"/>
    <xf numFmtId="0" fontId="6" fillId="23" borderId="15" xfId="0" applyFont="1" applyFill="1" applyBorder="1" applyAlignment="1" applyProtection="1"/>
    <xf numFmtId="0" fontId="11" fillId="0" borderId="0" xfId="0" applyFont="1" applyFill="1" applyBorder="1" applyAlignment="1" applyProtection="1"/>
    <xf numFmtId="0" fontId="25" fillId="0" borderId="0" xfId="0" applyFont="1" applyFill="1" applyAlignment="1" applyProtection="1"/>
    <xf numFmtId="0" fontId="25" fillId="0" borderId="0" xfId="0" applyFont="1" applyFill="1" applyBorder="1" applyAlignment="1" applyProtection="1"/>
    <xf numFmtId="1" fontId="4" fillId="23" borderId="88" xfId="0" applyNumberFormat="1" applyFont="1" applyFill="1" applyBorder="1" applyAlignment="1" applyProtection="1">
      <alignment horizontal="center" vertical="top" wrapText="1"/>
    </xf>
    <xf numFmtId="3" fontId="4" fillId="23" borderId="158" xfId="0" applyNumberFormat="1" applyFont="1" applyFill="1" applyBorder="1" applyAlignment="1" applyProtection="1">
      <alignment vertical="top"/>
    </xf>
    <xf numFmtId="0" fontId="3" fillId="0" borderId="66" xfId="6" applyFont="1" applyBorder="1" applyAlignment="1" applyProtection="1">
      <alignment vertical="top" wrapText="1"/>
    </xf>
    <xf numFmtId="3" fontId="46" fillId="0" borderId="0" xfId="6" applyNumberFormat="1" applyFont="1" applyFill="1" applyBorder="1" applyAlignment="1" applyProtection="1">
      <alignment horizontal="right"/>
    </xf>
    <xf numFmtId="0" fontId="0" fillId="0" borderId="0" xfId="0" applyAlignment="1" applyProtection="1">
      <alignment horizontal="right"/>
    </xf>
    <xf numFmtId="0" fontId="0" fillId="0" borderId="0" xfId="0" applyBorder="1" applyAlignment="1" applyProtection="1">
      <alignment horizontal="right"/>
    </xf>
    <xf numFmtId="3" fontId="46" fillId="0" borderId="0" xfId="6" quotePrefix="1" applyNumberFormat="1" applyFont="1" applyFill="1" applyBorder="1" applyAlignment="1" applyProtection="1"/>
    <xf numFmtId="3" fontId="46" fillId="0" borderId="0" xfId="6" quotePrefix="1" applyNumberFormat="1" applyFont="1" applyFill="1" applyBorder="1" applyAlignment="1" applyProtection="1">
      <alignment horizontal="right"/>
    </xf>
    <xf numFmtId="3" fontId="137" fillId="2" borderId="0" xfId="0" applyNumberFormat="1" applyFont="1" applyFill="1" applyProtection="1"/>
    <xf numFmtId="3" fontId="3" fillId="0" borderId="7" xfId="0" applyNumberFormat="1" applyFont="1" applyFill="1" applyBorder="1" applyAlignment="1" applyProtection="1">
      <alignment horizontal="right"/>
      <protection locked="0"/>
    </xf>
    <xf numFmtId="0" fontId="137" fillId="2" borderId="0" xfId="0" applyFont="1" applyFill="1" applyBorder="1" applyAlignment="1" applyProtection="1">
      <alignment horizontal="left"/>
    </xf>
    <xf numFmtId="0" fontId="137" fillId="2" borderId="0" xfId="0" applyFont="1" applyFill="1" applyBorder="1" applyAlignment="1" applyProtection="1"/>
    <xf numFmtId="49" fontId="8" fillId="2" borderId="0" xfId="0" applyNumberFormat="1" applyFont="1" applyFill="1" applyBorder="1" applyAlignment="1" applyProtection="1">
      <alignment vertical="top"/>
    </xf>
    <xf numFmtId="0" fontId="8" fillId="2" borderId="0" xfId="0" applyFont="1" applyFill="1" applyAlignment="1" applyProtection="1"/>
    <xf numFmtId="3" fontId="46" fillId="0" borderId="123" xfId="6" applyNumberFormat="1" applyFont="1" applyFill="1" applyBorder="1" applyAlignment="1" applyProtection="1">
      <alignment horizontal="right"/>
    </xf>
    <xf numFmtId="3" fontId="38" fillId="0" borderId="123" xfId="6" quotePrefix="1" applyNumberFormat="1" applyFont="1" applyFill="1" applyBorder="1" applyAlignment="1" applyProtection="1">
      <alignment horizontal="left"/>
    </xf>
    <xf numFmtId="0" fontId="3" fillId="0" borderId="57" xfId="0" applyFont="1" applyFill="1" applyBorder="1" applyAlignment="1" applyProtection="1">
      <alignment vertical="top" wrapText="1"/>
      <protection locked="0"/>
    </xf>
    <xf numFmtId="49" fontId="4" fillId="23" borderId="129" xfId="0" applyNumberFormat="1" applyFont="1" applyFill="1" applyBorder="1" applyAlignment="1" applyProtection="1">
      <alignment horizontal="left"/>
    </xf>
    <xf numFmtId="49" fontId="4" fillId="23" borderId="170" xfId="0" applyNumberFormat="1" applyFont="1" applyFill="1" applyBorder="1" applyProtection="1"/>
    <xf numFmtId="3" fontId="11" fillId="31" borderId="160" xfId="0" applyNumberFormat="1" applyFont="1" applyFill="1" applyBorder="1" applyProtection="1"/>
    <xf numFmtId="3" fontId="11" fillId="31" borderId="67" xfId="0" applyNumberFormat="1" applyFont="1" applyFill="1" applyBorder="1" applyProtection="1"/>
    <xf numFmtId="3" fontId="11" fillId="31" borderId="68" xfId="0" applyNumberFormat="1" applyFont="1" applyFill="1" applyBorder="1" applyProtection="1"/>
    <xf numFmtId="3" fontId="49" fillId="23" borderId="45" xfId="0" applyNumberFormat="1" applyFont="1" applyFill="1" applyBorder="1" applyProtection="1"/>
    <xf numFmtId="3" fontId="49" fillId="23" borderId="193" xfId="0" applyNumberFormat="1" applyFont="1" applyFill="1" applyBorder="1" applyProtection="1"/>
    <xf numFmtId="1" fontId="4" fillId="23" borderId="219" xfId="0" applyNumberFormat="1" applyFont="1" applyFill="1" applyBorder="1" applyAlignment="1" applyProtection="1">
      <alignment horizontal="left"/>
    </xf>
    <xf numFmtId="1" fontId="4" fillId="23" borderId="219" xfId="0" applyNumberFormat="1" applyFont="1" applyFill="1" applyBorder="1" applyProtection="1"/>
    <xf numFmtId="1" fontId="3" fillId="23" borderId="220" xfId="0" applyNumberFormat="1" applyFont="1" applyFill="1" applyBorder="1" applyAlignment="1" applyProtection="1"/>
    <xf numFmtId="1" fontId="49" fillId="23" borderId="223" xfId="0" applyNumberFormat="1" applyFont="1" applyFill="1" applyBorder="1" applyProtection="1"/>
    <xf numFmtId="1" fontId="49" fillId="23" borderId="224" xfId="0" applyNumberFormat="1" applyFont="1" applyFill="1" applyBorder="1" applyProtection="1"/>
    <xf numFmtId="1" fontId="38" fillId="23" borderId="225" xfId="0" applyNumberFormat="1" applyFont="1" applyFill="1" applyBorder="1" applyProtection="1"/>
    <xf numFmtId="1" fontId="4" fillId="23" borderId="222" xfId="0" applyNumberFormat="1" applyFont="1" applyFill="1" applyBorder="1" applyProtection="1"/>
    <xf numFmtId="1" fontId="150" fillId="23" borderId="226" xfId="0" applyNumberFormat="1" applyFont="1" applyFill="1" applyBorder="1" applyProtection="1"/>
    <xf numFmtId="1" fontId="151" fillId="23" borderId="221" xfId="0" applyNumberFormat="1" applyFont="1" applyFill="1" applyBorder="1" applyAlignment="1" applyProtection="1"/>
    <xf numFmtId="1" fontId="150" fillId="23" borderId="227" xfId="0" applyNumberFormat="1" applyFont="1" applyFill="1" applyBorder="1" applyProtection="1"/>
    <xf numFmtId="1" fontId="150" fillId="23" borderId="228" xfId="0" applyNumberFormat="1" applyFont="1" applyFill="1" applyBorder="1" applyProtection="1"/>
    <xf numFmtId="1" fontId="151" fillId="23" borderId="178" xfId="0" applyNumberFormat="1" applyFont="1" applyFill="1" applyBorder="1" applyAlignment="1" applyProtection="1"/>
    <xf numFmtId="1" fontId="151" fillId="23" borderId="38" xfId="0" applyNumberFormat="1" applyFont="1" applyFill="1" applyBorder="1" applyAlignment="1" applyProtection="1"/>
    <xf numFmtId="1" fontId="151" fillId="23" borderId="58" xfId="0" applyNumberFormat="1" applyFont="1" applyFill="1" applyBorder="1" applyAlignment="1" applyProtection="1"/>
    <xf numFmtId="1" fontId="151" fillId="23" borderId="0" xfId="0" applyNumberFormat="1" applyFont="1" applyFill="1" applyBorder="1" applyAlignment="1" applyProtection="1"/>
    <xf numFmtId="0" fontId="143" fillId="23" borderId="38" xfId="0" applyNumberFormat="1" applyFont="1" applyFill="1" applyBorder="1" applyAlignment="1" applyProtection="1"/>
    <xf numFmtId="0" fontId="143" fillId="23" borderId="65" xfId="0" applyNumberFormat="1" applyFont="1" applyFill="1" applyBorder="1" applyAlignment="1" applyProtection="1"/>
    <xf numFmtId="0" fontId="143" fillId="23" borderId="178" xfId="0" applyNumberFormat="1" applyFont="1" applyFill="1" applyBorder="1" applyAlignment="1" applyProtection="1"/>
    <xf numFmtId="49" fontId="151" fillId="23" borderId="38" xfId="0" applyNumberFormat="1" applyFont="1" applyFill="1" applyBorder="1" applyAlignment="1" applyProtection="1"/>
    <xf numFmtId="0" fontId="143" fillId="23" borderId="58" xfId="0" applyNumberFormat="1" applyFont="1" applyFill="1" applyBorder="1" applyAlignment="1" applyProtection="1"/>
    <xf numFmtId="3" fontId="3" fillId="2" borderId="90" xfId="0" applyNumberFormat="1" applyFont="1" applyFill="1" applyBorder="1" applyAlignment="1" applyProtection="1">
      <alignment horizontal="right"/>
      <protection locked="0"/>
    </xf>
    <xf numFmtId="0" fontId="25" fillId="23" borderId="159" xfId="6" applyFont="1" applyFill="1" applyBorder="1" applyAlignment="1" applyProtection="1">
      <alignment horizontal="left" wrapText="1"/>
    </xf>
    <xf numFmtId="167" fontId="45" fillId="23" borderId="159" xfId="6" applyNumberFormat="1" applyFont="1" applyFill="1" applyBorder="1" applyProtection="1"/>
    <xf numFmtId="0" fontId="25" fillId="23" borderId="159" xfId="6" applyFill="1" applyBorder="1" applyProtection="1"/>
    <xf numFmtId="3" fontId="46" fillId="23" borderId="159" xfId="6" applyNumberFormat="1" applyFont="1" applyFill="1" applyBorder="1" applyProtection="1"/>
    <xf numFmtId="3" fontId="3" fillId="23" borderId="32" xfId="6" applyNumberFormat="1" applyFont="1" applyFill="1" applyBorder="1" applyAlignment="1" applyProtection="1">
      <alignment horizontal="right"/>
    </xf>
    <xf numFmtId="3" fontId="3" fillId="23" borderId="31" xfId="6" applyNumberFormat="1" applyFont="1" applyFill="1" applyBorder="1" applyAlignment="1" applyProtection="1">
      <alignment horizontal="right"/>
    </xf>
    <xf numFmtId="3" fontId="3" fillId="23" borderId="33" xfId="6" applyNumberFormat="1" applyFont="1" applyFill="1" applyBorder="1" applyAlignment="1" applyProtection="1">
      <alignment horizontal="right"/>
    </xf>
    <xf numFmtId="3" fontId="3" fillId="23" borderId="118" xfId="6" applyNumberFormat="1" applyFont="1" applyFill="1" applyBorder="1" applyAlignment="1" applyProtection="1">
      <alignment horizontal="right"/>
    </xf>
    <xf numFmtId="3" fontId="3" fillId="23" borderId="102" xfId="6" applyNumberFormat="1" applyFont="1" applyFill="1" applyBorder="1" applyAlignment="1" applyProtection="1">
      <alignment horizontal="right"/>
    </xf>
    <xf numFmtId="3" fontId="3" fillId="23" borderId="218" xfId="6" applyNumberFormat="1" applyFont="1" applyFill="1" applyBorder="1" applyAlignment="1" applyProtection="1">
      <alignment horizontal="right"/>
    </xf>
    <xf numFmtId="3" fontId="3" fillId="23" borderId="213" xfId="6" applyNumberFormat="1" applyFont="1" applyFill="1" applyBorder="1" applyAlignment="1" applyProtection="1">
      <alignment horizontal="right"/>
    </xf>
    <xf numFmtId="3" fontId="3" fillId="23" borderId="33" xfId="6" applyNumberFormat="1" applyFont="1" applyFill="1" applyBorder="1" applyProtection="1"/>
    <xf numFmtId="0" fontId="25" fillId="23" borderId="180" xfId="6" applyFill="1" applyBorder="1" applyProtection="1"/>
    <xf numFmtId="3" fontId="49" fillId="24" borderId="129" xfId="0" applyNumberFormat="1" applyFont="1" applyFill="1" applyBorder="1" applyProtection="1"/>
    <xf numFmtId="0" fontId="0" fillId="0" borderId="56" xfId="0" applyFill="1" applyBorder="1" applyProtection="1"/>
    <xf numFmtId="3" fontId="137" fillId="0" borderId="123" xfId="6" applyNumberFormat="1" applyFont="1" applyFill="1" applyBorder="1" applyAlignment="1" applyProtection="1">
      <alignment horizontal="right"/>
    </xf>
    <xf numFmtId="0" fontId="0" fillId="0" borderId="0" xfId="0" applyBorder="1" applyAlignment="1" applyProtection="1">
      <alignment wrapText="1"/>
      <protection locked="0"/>
    </xf>
    <xf numFmtId="3" fontId="3" fillId="0" borderId="19" xfId="0" applyNumberFormat="1" applyFont="1" applyFill="1" applyBorder="1" applyAlignment="1" applyProtection="1">
      <alignment horizontal="right"/>
      <protection locked="0"/>
    </xf>
    <xf numFmtId="3" fontId="4" fillId="23" borderId="55" xfId="0" applyNumberFormat="1" applyFont="1" applyFill="1" applyBorder="1" applyAlignment="1" applyProtection="1">
      <alignment horizontal="left" wrapText="1"/>
    </xf>
    <xf numFmtId="3" fontId="4" fillId="23" borderId="55" xfId="0" applyNumberFormat="1" applyFont="1" applyFill="1" applyBorder="1" applyAlignment="1" applyProtection="1">
      <alignment horizontal="left" vertical="top"/>
    </xf>
    <xf numFmtId="3" fontId="4" fillId="23" borderId="146" xfId="0" applyNumberFormat="1" applyFont="1" applyFill="1" applyBorder="1" applyAlignment="1" applyProtection="1">
      <alignment horizontal="left" vertical="top"/>
    </xf>
    <xf numFmtId="168" fontId="4" fillId="23" borderId="230" xfId="0" applyNumberFormat="1" applyFont="1" applyFill="1" applyBorder="1" applyAlignment="1" applyProtection="1">
      <alignment horizontal="left"/>
    </xf>
    <xf numFmtId="3" fontId="14" fillId="2" borderId="146" xfId="0" applyNumberFormat="1" applyFont="1" applyFill="1" applyBorder="1" applyAlignment="1" applyProtection="1">
      <alignment horizontal="right"/>
      <protection locked="0"/>
    </xf>
    <xf numFmtId="3" fontId="3" fillId="3" borderId="231" xfId="0" applyNumberFormat="1" applyFont="1" applyFill="1" applyBorder="1" applyAlignment="1" applyProtection="1">
      <alignment horizontal="right"/>
    </xf>
    <xf numFmtId="3" fontId="14" fillId="6" borderId="146" xfId="0" applyNumberFormat="1" applyFont="1" applyFill="1" applyBorder="1" applyAlignment="1" applyProtection="1">
      <alignment horizontal="right"/>
      <protection locked="0"/>
    </xf>
    <xf numFmtId="3" fontId="3" fillId="23" borderId="230" xfId="0" applyNumberFormat="1" applyFont="1" applyFill="1" applyBorder="1" applyAlignment="1" applyProtection="1">
      <alignment horizontal="right"/>
    </xf>
    <xf numFmtId="3" fontId="3" fillId="3" borderId="146" xfId="0" applyNumberFormat="1" applyFont="1" applyFill="1" applyBorder="1" applyAlignment="1" applyProtection="1">
      <alignment horizontal="right"/>
    </xf>
    <xf numFmtId="3" fontId="3" fillId="3" borderId="217" xfId="0" applyNumberFormat="1" applyFont="1" applyFill="1" applyBorder="1" applyAlignment="1" applyProtection="1">
      <alignment horizontal="right"/>
    </xf>
    <xf numFmtId="3" fontId="14" fillId="2" borderId="85" xfId="0" applyNumberFormat="1" applyFont="1" applyFill="1" applyBorder="1" applyAlignment="1" applyProtection="1">
      <alignment horizontal="right"/>
      <protection locked="0"/>
    </xf>
    <xf numFmtId="3" fontId="3" fillId="3" borderId="206" xfId="0" applyNumberFormat="1" applyFont="1" applyFill="1" applyBorder="1" applyAlignment="1" applyProtection="1">
      <alignment horizontal="right"/>
    </xf>
    <xf numFmtId="3" fontId="6" fillId="0" borderId="57" xfId="0" applyNumberFormat="1" applyFont="1" applyFill="1" applyBorder="1" applyAlignment="1" applyProtection="1">
      <alignment horizontal="left"/>
    </xf>
    <xf numFmtId="3" fontId="4" fillId="0" borderId="0" xfId="0" applyNumberFormat="1" applyFont="1" applyFill="1" applyBorder="1" applyAlignment="1" applyProtection="1">
      <alignment horizontal="left"/>
    </xf>
    <xf numFmtId="3" fontId="6" fillId="0" borderId="57" xfId="0" applyNumberFormat="1" applyFont="1" applyFill="1" applyBorder="1" applyAlignment="1" applyProtection="1">
      <alignment horizontal="left" vertical="top" wrapText="1"/>
    </xf>
    <xf numFmtId="3" fontId="4" fillId="0" borderId="0" xfId="0" applyNumberFormat="1" applyFont="1" applyFill="1" applyBorder="1" applyAlignment="1" applyProtection="1">
      <alignment horizontal="left" wrapText="1"/>
    </xf>
    <xf numFmtId="0" fontId="6" fillId="0" borderId="57" xfId="0" applyFont="1" applyFill="1" applyBorder="1" applyAlignment="1" applyProtection="1">
      <alignment horizontal="left"/>
    </xf>
    <xf numFmtId="3" fontId="4" fillId="0" borderId="0" xfId="0" applyNumberFormat="1" applyFont="1" applyFill="1" applyBorder="1" applyAlignment="1" applyProtection="1">
      <alignment horizontal="left" vertical="top"/>
    </xf>
    <xf numFmtId="3" fontId="4" fillId="0" borderId="57" xfId="0" applyNumberFormat="1" applyFont="1" applyFill="1" applyBorder="1" applyAlignment="1" applyProtection="1">
      <alignment horizontal="left" vertical="top" wrapText="1"/>
    </xf>
    <xf numFmtId="168" fontId="4" fillId="0" borderId="57" xfId="0" applyNumberFormat="1" applyFont="1" applyFill="1" applyBorder="1" applyAlignment="1" applyProtection="1">
      <alignment horizontal="left"/>
    </xf>
    <xf numFmtId="168" fontId="4" fillId="0" borderId="0" xfId="0" applyNumberFormat="1" applyFont="1" applyFill="1" applyBorder="1" applyAlignment="1" applyProtection="1">
      <alignment horizontal="left"/>
    </xf>
    <xf numFmtId="3" fontId="137" fillId="0" borderId="0" xfId="0" applyNumberFormat="1" applyFont="1" applyFill="1" applyBorder="1" applyAlignment="1" applyProtection="1">
      <alignment horizontal="right"/>
    </xf>
    <xf numFmtId="0" fontId="3" fillId="0" borderId="0" xfId="0" applyFont="1" applyBorder="1" applyAlignment="1" applyProtection="1"/>
    <xf numFmtId="0" fontId="0" fillId="0" borderId="27" xfId="0" applyBorder="1" applyAlignment="1">
      <alignment wrapText="1"/>
    </xf>
    <xf numFmtId="0" fontId="0" fillId="0" borderId="0" xfId="0" applyBorder="1" applyAlignment="1">
      <alignment wrapText="1"/>
    </xf>
    <xf numFmtId="0" fontId="0" fillId="0" borderId="0" xfId="0" applyBorder="1" applyAlignment="1" applyProtection="1">
      <alignment vertical="top"/>
    </xf>
    <xf numFmtId="0" fontId="4" fillId="0" borderId="0" xfId="0" applyFont="1" applyBorder="1" applyAlignment="1" applyProtection="1"/>
    <xf numFmtId="49" fontId="4" fillId="23" borderId="90" xfId="0" applyNumberFormat="1" applyFont="1" applyFill="1" applyBorder="1" applyAlignment="1" applyProtection="1">
      <alignment horizontal="center"/>
    </xf>
    <xf numFmtId="49" fontId="4" fillId="23" borderId="177" xfId="0" applyNumberFormat="1" applyFont="1" applyFill="1" applyBorder="1" applyAlignment="1" applyProtection="1">
      <alignment horizontal="left"/>
    </xf>
    <xf numFmtId="0" fontId="3" fillId="23" borderId="109" xfId="0" applyFont="1" applyFill="1" applyBorder="1" applyProtection="1"/>
    <xf numFmtId="49" fontId="4" fillId="23" borderId="70" xfId="0" applyNumberFormat="1" applyFont="1" applyFill="1" applyBorder="1" applyAlignment="1" applyProtection="1">
      <alignment horizontal="left"/>
    </xf>
    <xf numFmtId="49" fontId="4" fillId="23" borderId="25" xfId="0" applyNumberFormat="1" applyFont="1" applyFill="1" applyBorder="1" applyAlignment="1" applyProtection="1">
      <alignment horizontal="center"/>
    </xf>
    <xf numFmtId="0" fontId="4" fillId="23" borderId="116" xfId="0" applyNumberFormat="1" applyFont="1" applyFill="1" applyBorder="1" applyAlignment="1" applyProtection="1">
      <alignment horizontal="center" vertical="top" wrapText="1"/>
    </xf>
    <xf numFmtId="0" fontId="137" fillId="0" borderId="57" xfId="0" applyNumberFormat="1" applyFont="1" applyFill="1" applyBorder="1" applyAlignment="1" applyProtection="1">
      <alignment horizontal="left"/>
    </xf>
    <xf numFmtId="0" fontId="3" fillId="23" borderId="97" xfId="0" applyFont="1" applyFill="1" applyBorder="1" applyAlignment="1" applyProtection="1">
      <alignment horizontal="left" vertical="top" wrapText="1"/>
    </xf>
    <xf numFmtId="0" fontId="38" fillId="0" borderId="0" xfId="0" applyFont="1" applyFill="1" applyAlignment="1" applyProtection="1"/>
    <xf numFmtId="0" fontId="4" fillId="23" borderId="110" xfId="6" applyFont="1" applyFill="1" applyBorder="1" applyAlignment="1" applyProtection="1">
      <alignment horizontal="left" vertical="top"/>
    </xf>
    <xf numFmtId="3" fontId="49" fillId="23" borderId="9" xfId="6" applyNumberFormat="1" applyFont="1" applyFill="1" applyBorder="1" applyAlignment="1" applyProtection="1">
      <alignment horizontal="right"/>
    </xf>
    <xf numFmtId="3" fontId="4" fillId="23" borderId="0" xfId="6" applyNumberFormat="1" applyFont="1" applyFill="1" applyBorder="1" applyAlignment="1" applyProtection="1">
      <alignment horizontal="right"/>
    </xf>
    <xf numFmtId="0" fontId="4" fillId="23" borderId="3" xfId="0" applyFont="1" applyFill="1" applyBorder="1" applyAlignment="1" applyProtection="1">
      <alignment vertical="top" wrapText="1"/>
    </xf>
    <xf numFmtId="3" fontId="3" fillId="2" borderId="232" xfId="0" applyNumberFormat="1" applyFont="1" applyFill="1" applyBorder="1" applyProtection="1">
      <protection locked="0"/>
    </xf>
    <xf numFmtId="3" fontId="3" fillId="2" borderId="109" xfId="0" applyNumberFormat="1" applyFont="1" applyFill="1" applyBorder="1" applyProtection="1">
      <protection locked="0"/>
    </xf>
    <xf numFmtId="3" fontId="3" fillId="0" borderId="34" xfId="0" applyNumberFormat="1" applyFont="1" applyFill="1" applyBorder="1" applyProtection="1">
      <protection locked="0"/>
    </xf>
    <xf numFmtId="3" fontId="3" fillId="0" borderId="113" xfId="0" applyNumberFormat="1" applyFont="1" applyFill="1" applyBorder="1" applyProtection="1">
      <protection locked="0"/>
    </xf>
    <xf numFmtId="3" fontId="14" fillId="0" borderId="22" xfId="0" applyNumberFormat="1" applyFont="1" applyFill="1" applyBorder="1" applyAlignment="1" applyProtection="1">
      <alignment horizontal="right"/>
      <protection locked="0"/>
    </xf>
    <xf numFmtId="3" fontId="14" fillId="0" borderId="5" xfId="0" applyNumberFormat="1" applyFont="1" applyFill="1" applyBorder="1" applyAlignment="1" applyProtection="1">
      <alignment horizontal="right"/>
      <protection locked="0"/>
    </xf>
    <xf numFmtId="3" fontId="14" fillId="0" borderId="21" xfId="0" applyNumberFormat="1" applyFont="1" applyFill="1" applyBorder="1" applyAlignment="1" applyProtection="1">
      <alignment horizontal="right"/>
      <protection locked="0"/>
    </xf>
    <xf numFmtId="3" fontId="14" fillId="0" borderId="2" xfId="0" applyNumberFormat="1" applyFont="1" applyFill="1" applyBorder="1" applyAlignment="1" applyProtection="1">
      <alignment horizontal="right"/>
      <protection locked="0"/>
    </xf>
    <xf numFmtId="3" fontId="14" fillId="31" borderId="29" xfId="0" applyNumberFormat="1" applyFont="1" applyFill="1" applyBorder="1" applyAlignment="1" applyProtection="1">
      <alignment horizontal="right"/>
    </xf>
    <xf numFmtId="0" fontId="11" fillId="10" borderId="0" xfId="0" applyFont="1" applyFill="1" applyBorder="1" applyAlignment="1">
      <alignment horizontal="left" wrapText="1"/>
    </xf>
    <xf numFmtId="3" fontId="3" fillId="23" borderId="93" xfId="0" applyNumberFormat="1" applyFont="1" applyFill="1" applyBorder="1" applyAlignment="1" applyProtection="1">
      <alignment horizontal="right"/>
    </xf>
    <xf numFmtId="0" fontId="137" fillId="0" borderId="0" xfId="0" applyNumberFormat="1" applyFont="1" applyFill="1" applyBorder="1" applyAlignment="1" applyProtection="1">
      <alignment horizontal="left"/>
    </xf>
    <xf numFmtId="3" fontId="3" fillId="3" borderId="84" xfId="0" applyNumberFormat="1" applyFont="1" applyFill="1" applyBorder="1" applyAlignment="1" applyProtection="1">
      <alignment horizontal="right"/>
    </xf>
    <xf numFmtId="0" fontId="25" fillId="0" borderId="0" xfId="0" quotePrefix="1" applyFont="1" applyBorder="1" applyAlignment="1" applyProtection="1">
      <alignment vertical="top" wrapText="1"/>
    </xf>
    <xf numFmtId="0" fontId="4" fillId="0" borderId="0" xfId="0" applyFont="1" applyAlignment="1" applyProtection="1"/>
    <xf numFmtId="0" fontId="3" fillId="0" borderId="0" xfId="0" applyFont="1" applyBorder="1" applyAlignment="1" applyProtection="1">
      <alignment wrapText="1"/>
    </xf>
    <xf numFmtId="3" fontId="4" fillId="23" borderId="20" xfId="6" applyNumberFormat="1" applyFont="1" applyFill="1" applyBorder="1" applyAlignment="1" applyProtection="1">
      <alignment horizontal="center"/>
    </xf>
    <xf numFmtId="3" fontId="3" fillId="23" borderId="45" xfId="0" applyNumberFormat="1" applyFont="1" applyFill="1" applyBorder="1" applyProtection="1"/>
    <xf numFmtId="0" fontId="4" fillId="23" borderId="70" xfId="0" applyFont="1" applyFill="1" applyBorder="1" applyProtection="1"/>
    <xf numFmtId="3" fontId="150" fillId="24" borderId="41" xfId="0" applyNumberFormat="1" applyFont="1" applyFill="1" applyBorder="1" applyAlignment="1" applyProtection="1">
      <alignment horizontal="right"/>
    </xf>
    <xf numFmtId="3" fontId="3" fillId="38" borderId="112" xfId="6" applyNumberFormat="1" applyFont="1" applyFill="1" applyBorder="1" applyProtection="1"/>
    <xf numFmtId="3" fontId="3" fillId="38" borderId="5" xfId="6" applyNumberFormat="1" applyFont="1" applyFill="1" applyBorder="1" applyAlignment="1" applyProtection="1">
      <alignment horizontal="right"/>
    </xf>
    <xf numFmtId="3" fontId="3" fillId="38" borderId="69" xfId="6" applyNumberFormat="1" applyFont="1" applyFill="1" applyBorder="1" applyAlignment="1" applyProtection="1">
      <alignment horizontal="right"/>
    </xf>
    <xf numFmtId="3" fontId="3" fillId="38" borderId="25" xfId="6" applyNumberFormat="1" applyFont="1" applyFill="1" applyBorder="1" applyAlignment="1" applyProtection="1">
      <alignment horizontal="right"/>
    </xf>
    <xf numFmtId="3" fontId="38" fillId="0" borderId="0" xfId="10" applyNumberFormat="1" applyFont="1" applyFill="1" applyAlignment="1" applyProtection="1">
      <alignment horizontal="left"/>
    </xf>
    <xf numFmtId="3" fontId="137" fillId="23" borderId="14" xfId="0" applyNumberFormat="1" applyFont="1" applyFill="1" applyBorder="1" applyProtection="1"/>
    <xf numFmtId="3" fontId="139" fillId="23" borderId="9" xfId="0" applyNumberFormat="1" applyFont="1" applyFill="1" applyBorder="1" applyProtection="1"/>
    <xf numFmtId="3" fontId="140" fillId="23" borderId="9" xfId="0" applyNumberFormat="1" applyFont="1" applyFill="1" applyBorder="1" applyProtection="1"/>
    <xf numFmtId="3" fontId="105" fillId="23" borderId="10" xfId="0" applyNumberFormat="1" applyFont="1" applyFill="1" applyBorder="1" applyProtection="1"/>
    <xf numFmtId="3" fontId="140" fillId="23" borderId="5" xfId="0" applyNumberFormat="1" applyFont="1" applyFill="1" applyBorder="1" applyProtection="1"/>
    <xf numFmtId="0" fontId="137" fillId="0" borderId="0" xfId="0" applyNumberFormat="1" applyFont="1" applyFill="1" applyBorder="1" applyAlignment="1" applyProtection="1"/>
    <xf numFmtId="0" fontId="0" fillId="0" borderId="0" xfId="0" applyFill="1" applyBorder="1" applyAlignment="1" applyProtection="1">
      <alignment vertical="top" wrapText="1"/>
    </xf>
    <xf numFmtId="3" fontId="38" fillId="23" borderId="104" xfId="6" quotePrefix="1" applyNumberFormat="1" applyFont="1" applyFill="1" applyBorder="1" applyAlignment="1" applyProtection="1">
      <alignment horizontal="left"/>
    </xf>
    <xf numFmtId="9" fontId="38" fillId="23" borderId="0" xfId="14" applyFont="1" applyFill="1" applyBorder="1" applyProtection="1"/>
    <xf numFmtId="9" fontId="38" fillId="23" borderId="0" xfId="14" quotePrefix="1" applyFont="1" applyFill="1" applyBorder="1" applyProtection="1"/>
    <xf numFmtId="0" fontId="38" fillId="23" borderId="194" xfId="0" applyFont="1" applyFill="1" applyBorder="1" applyProtection="1"/>
    <xf numFmtId="3" fontId="38" fillId="23" borderId="5" xfId="6" applyNumberFormat="1" applyFont="1" applyFill="1" applyBorder="1" applyAlignment="1" applyProtection="1">
      <alignment horizontal="left"/>
    </xf>
    <xf numFmtId="3" fontId="38" fillId="23" borderId="0" xfId="6" applyNumberFormat="1" applyFont="1" applyFill="1" applyBorder="1" applyAlignment="1" applyProtection="1">
      <alignment horizontal="right"/>
    </xf>
    <xf numFmtId="3" fontId="38" fillId="23" borderId="35" xfId="0" applyNumberFormat="1" applyFont="1" applyFill="1" applyBorder="1" applyAlignment="1" applyProtection="1">
      <alignment horizontal="left"/>
    </xf>
    <xf numFmtId="3" fontId="38" fillId="23" borderId="15" xfId="0" applyNumberFormat="1" applyFont="1" applyFill="1" applyBorder="1" applyAlignment="1" applyProtection="1">
      <alignment horizontal="left"/>
    </xf>
    <xf numFmtId="20" fontId="97" fillId="0" borderId="66" xfId="10" quotePrefix="1" applyNumberFormat="1" applyFont="1" applyFill="1" applyBorder="1" applyAlignment="1" applyProtection="1"/>
    <xf numFmtId="0" fontId="97" fillId="0" borderId="66" xfId="10" applyFont="1" applyFill="1" applyBorder="1" applyAlignment="1" applyProtection="1">
      <alignment horizontal="center"/>
    </xf>
    <xf numFmtId="0" fontId="97" fillId="0" borderId="66" xfId="10" applyFont="1" applyFill="1" applyBorder="1" applyAlignment="1" applyProtection="1"/>
    <xf numFmtId="166" fontId="4" fillId="0" borderId="66" xfId="10" applyNumberFormat="1" applyFont="1" applyFill="1" applyBorder="1" applyProtection="1"/>
    <xf numFmtId="3" fontId="4" fillId="23" borderId="15" xfId="6" applyNumberFormat="1" applyFont="1" applyFill="1" applyBorder="1" applyAlignment="1" applyProtection="1">
      <alignment vertical="top" wrapText="1"/>
    </xf>
    <xf numFmtId="3" fontId="4" fillId="23" borderId="158" xfId="6" applyNumberFormat="1" applyFont="1" applyFill="1" applyBorder="1" applyAlignment="1" applyProtection="1">
      <alignment vertical="center" wrapText="1"/>
    </xf>
    <xf numFmtId="49" fontId="4" fillId="23" borderId="69" xfId="0" applyNumberFormat="1" applyFont="1" applyFill="1" applyBorder="1" applyAlignment="1" applyProtection="1">
      <alignment horizontal="center"/>
    </xf>
    <xf numFmtId="165" fontId="6" fillId="23" borderId="87" xfId="0" applyNumberFormat="1" applyFont="1" applyFill="1" applyBorder="1" applyAlignment="1" applyProtection="1">
      <alignment horizontal="left"/>
    </xf>
    <xf numFmtId="165" fontId="4" fillId="23" borderId="59" xfId="0" applyNumberFormat="1" applyFont="1" applyFill="1" applyBorder="1" applyAlignment="1" applyProtection="1">
      <alignment horizontal="left"/>
    </xf>
    <xf numFmtId="0" fontId="6" fillId="23" borderId="87" xfId="0" applyFont="1" applyFill="1" applyBorder="1" applyAlignment="1" applyProtection="1">
      <alignment horizontal="left"/>
    </xf>
    <xf numFmtId="0" fontId="148" fillId="23" borderId="100" xfId="0" applyFont="1" applyFill="1" applyBorder="1" applyAlignment="1" applyProtection="1">
      <alignment vertical="top" wrapText="1"/>
    </xf>
    <xf numFmtId="0" fontId="148" fillId="23" borderId="87" xfId="0" applyFont="1" applyFill="1" applyBorder="1" applyAlignment="1" applyProtection="1">
      <alignment vertical="top" wrapText="1"/>
    </xf>
    <xf numFmtId="49" fontId="4" fillId="23" borderId="22" xfId="6" applyNumberFormat="1" applyFont="1" applyFill="1" applyBorder="1" applyAlignment="1" applyProtection="1">
      <alignment horizontal="center"/>
    </xf>
    <xf numFmtId="0" fontId="6" fillId="23" borderId="83" xfId="6" applyFont="1" applyFill="1" applyBorder="1" applyProtection="1"/>
    <xf numFmtId="3" fontId="6" fillId="23" borderId="117" xfId="6" applyNumberFormat="1" applyFont="1" applyFill="1" applyBorder="1" applyAlignment="1" applyProtection="1">
      <alignment horizontal="left" vertical="top" wrapText="1"/>
    </xf>
    <xf numFmtId="3" fontId="6" fillId="23" borderId="87" xfId="6" applyNumberFormat="1" applyFont="1" applyFill="1" applyBorder="1" applyAlignment="1" applyProtection="1">
      <alignment horizontal="left" vertical="top" wrapText="1"/>
    </xf>
    <xf numFmtId="3" fontId="6" fillId="23" borderId="59" xfId="6" applyNumberFormat="1" applyFont="1" applyFill="1" applyBorder="1" applyAlignment="1" applyProtection="1">
      <alignment horizontal="left"/>
    </xf>
    <xf numFmtId="3" fontId="6" fillId="23" borderId="59" xfId="6" quotePrefix="1" applyNumberFormat="1" applyFont="1" applyFill="1" applyBorder="1" applyAlignment="1" applyProtection="1">
      <alignment horizontal="left" vertical="top"/>
    </xf>
    <xf numFmtId="0" fontId="4" fillId="23" borderId="41" xfId="6" applyFont="1" applyFill="1" applyBorder="1" applyAlignment="1" applyProtection="1">
      <alignment horizontal="center" wrapText="1"/>
    </xf>
    <xf numFmtId="3" fontId="4" fillId="23" borderId="89" xfId="6" applyNumberFormat="1" applyFont="1" applyFill="1" applyBorder="1" applyAlignment="1" applyProtection="1">
      <alignment horizontal="center" wrapText="1"/>
    </xf>
    <xf numFmtId="3" fontId="6" fillId="23" borderId="194" xfId="6" applyNumberFormat="1" applyFont="1" applyFill="1" applyBorder="1" applyProtection="1"/>
    <xf numFmtId="3" fontId="6" fillId="23" borderId="0" xfId="6" applyNumberFormat="1" applyFont="1" applyFill="1" applyBorder="1" applyAlignment="1" applyProtection="1">
      <alignment vertical="center"/>
    </xf>
    <xf numFmtId="3" fontId="4" fillId="23" borderId="194" xfId="0" applyNumberFormat="1" applyFont="1" applyFill="1" applyBorder="1" applyAlignment="1" applyProtection="1"/>
    <xf numFmtId="49" fontId="4" fillId="23" borderId="2" xfId="0" applyNumberFormat="1" applyFont="1" applyFill="1" applyBorder="1" applyAlignment="1" applyProtection="1">
      <alignment horizontal="left" vertical="top" wrapText="1"/>
    </xf>
    <xf numFmtId="3" fontId="3" fillId="0" borderId="0" xfId="10" applyNumberFormat="1" applyFont="1" applyFill="1" applyAlignment="1" applyProtection="1">
      <alignment horizontal="left"/>
    </xf>
    <xf numFmtId="0" fontId="4" fillId="0" borderId="0" xfId="10" applyFont="1" applyFill="1" applyAlignment="1" applyProtection="1"/>
    <xf numFmtId="0" fontId="98" fillId="0" borderId="0" xfId="11" applyFont="1" applyFill="1" applyAlignment="1" applyProtection="1">
      <alignment horizontal="center"/>
    </xf>
    <xf numFmtId="0" fontId="3" fillId="0" borderId="0" xfId="10" applyFont="1" applyFill="1" applyProtection="1"/>
    <xf numFmtId="0" fontId="4" fillId="0" borderId="0" xfId="10" applyFont="1" applyFill="1" applyBorder="1" applyAlignment="1" applyProtection="1"/>
    <xf numFmtId="0" fontId="152" fillId="0" borderId="0" xfId="0" quotePrefix="1" applyFont="1" applyFill="1" applyProtection="1"/>
    <xf numFmtId="20" fontId="97" fillId="2" borderId="5" xfId="10" quotePrefix="1" applyNumberFormat="1" applyFont="1" applyFill="1" applyBorder="1" applyProtection="1"/>
    <xf numFmtId="3" fontId="99" fillId="2" borderId="5" xfId="10" applyNumberFormat="1" applyFont="1" applyFill="1" applyBorder="1" applyAlignment="1" applyProtection="1"/>
    <xf numFmtId="3" fontId="99" fillId="2" borderId="0" xfId="10" applyNumberFormat="1" applyFont="1" applyFill="1" applyAlignment="1" applyProtection="1">
      <alignment horizontal="right"/>
    </xf>
    <xf numFmtId="0" fontId="0" fillId="0" borderId="0" xfId="0" applyBorder="1" applyAlignment="1">
      <alignment wrapText="1"/>
    </xf>
    <xf numFmtId="0" fontId="4" fillId="2" borderId="0" xfId="10" applyFont="1" applyFill="1" applyBorder="1" applyProtection="1"/>
    <xf numFmtId="9" fontId="99" fillId="2" borderId="0" xfId="10" applyNumberFormat="1" applyFont="1" applyFill="1" applyBorder="1" applyAlignment="1" applyProtection="1">
      <alignment horizontal="center"/>
    </xf>
    <xf numFmtId="0" fontId="0" fillId="0" borderId="34" xfId="0" applyBorder="1"/>
    <xf numFmtId="20" fontId="97" fillId="2" borderId="35" xfId="10" quotePrefix="1" applyNumberFormat="1" applyFont="1" applyFill="1" applyBorder="1" applyAlignment="1" applyProtection="1">
      <alignment horizontal="center" vertical="center"/>
    </xf>
    <xf numFmtId="20" fontId="97" fillId="2" borderId="35" xfId="10" quotePrefix="1" applyNumberFormat="1" applyFont="1" applyFill="1" applyBorder="1" applyAlignment="1" applyProtection="1">
      <alignment horizontal="center" wrapText="1"/>
    </xf>
    <xf numFmtId="20" fontId="97" fillId="2" borderId="7" xfId="10" quotePrefix="1" applyNumberFormat="1" applyFont="1" applyFill="1" applyBorder="1" applyProtection="1"/>
    <xf numFmtId="20" fontId="97" fillId="2" borderId="6" xfId="10" quotePrefix="1" applyNumberFormat="1" applyFont="1" applyFill="1" applyBorder="1" applyProtection="1"/>
    <xf numFmtId="0" fontId="4" fillId="2" borderId="7" xfId="10" applyFont="1" applyFill="1" applyBorder="1" applyProtection="1"/>
    <xf numFmtId="9" fontId="99" fillId="2" borderId="6" xfId="10" applyNumberFormat="1" applyFont="1" applyFill="1" applyBorder="1" applyAlignment="1" applyProtection="1">
      <alignment horizontal="center"/>
    </xf>
    <xf numFmtId="0" fontId="4" fillId="2" borderId="105" xfId="10" applyFont="1" applyFill="1" applyBorder="1" applyProtection="1"/>
    <xf numFmtId="3" fontId="99" fillId="2" borderId="69" xfId="10" applyNumberFormat="1" applyFont="1" applyFill="1" applyBorder="1" applyAlignment="1" applyProtection="1"/>
    <xf numFmtId="9" fontId="99" fillId="2" borderId="70" xfId="10" applyNumberFormat="1" applyFont="1" applyFill="1" applyBorder="1" applyAlignment="1" applyProtection="1">
      <alignment horizontal="center"/>
    </xf>
    <xf numFmtId="0" fontId="4" fillId="2" borderId="5" xfId="10" applyFont="1" applyFill="1" applyBorder="1" applyProtection="1"/>
    <xf numFmtId="9" fontId="99" fillId="2" borderId="5" xfId="10" applyNumberFormat="1" applyFont="1" applyFill="1" applyBorder="1" applyAlignment="1" applyProtection="1">
      <alignment horizontal="center"/>
    </xf>
    <xf numFmtId="0" fontId="4" fillId="2" borderId="69" xfId="10" applyFont="1" applyFill="1" applyBorder="1" applyProtection="1"/>
    <xf numFmtId="20" fontId="97" fillId="2" borderId="35" xfId="10" applyNumberFormat="1" applyFont="1" applyFill="1" applyBorder="1" applyAlignment="1" applyProtection="1">
      <alignment horizontal="center" vertical="center"/>
    </xf>
    <xf numFmtId="20" fontId="97" fillId="2" borderId="113" xfId="10" quotePrefix="1" applyNumberFormat="1" applyFont="1" applyFill="1" applyBorder="1" applyAlignment="1" applyProtection="1">
      <alignment horizontal="center" vertical="center"/>
    </xf>
    <xf numFmtId="9" fontId="99" fillId="2" borderId="69" xfId="10" applyNumberFormat="1" applyFont="1" applyFill="1" applyBorder="1" applyAlignment="1" applyProtection="1">
      <alignment horizontal="center"/>
    </xf>
    <xf numFmtId="0" fontId="0" fillId="0" borderId="7" xfId="0" applyBorder="1"/>
    <xf numFmtId="3" fontId="6" fillId="23" borderId="229" xfId="6" applyNumberFormat="1" applyFont="1" applyFill="1" applyBorder="1" applyAlignment="1" applyProtection="1">
      <alignment horizontal="left" vertical="center" wrapText="1"/>
    </xf>
    <xf numFmtId="0" fontId="154" fillId="23" borderId="2" xfId="6" applyFont="1" applyFill="1" applyBorder="1" applyAlignment="1" applyProtection="1">
      <alignment horizontal="left"/>
    </xf>
    <xf numFmtId="49" fontId="119" fillId="23" borderId="22" xfId="0" applyNumberFormat="1" applyFont="1" applyFill="1" applyBorder="1" applyAlignment="1" applyProtection="1">
      <alignment horizontal="center"/>
    </xf>
    <xf numFmtId="0" fontId="119" fillId="23" borderId="24" xfId="0" applyFont="1" applyFill="1" applyBorder="1" applyAlignment="1" applyProtection="1">
      <alignment horizontal="center"/>
    </xf>
    <xf numFmtId="49" fontId="154" fillId="23" borderId="22" xfId="6" applyNumberFormat="1" applyFont="1" applyFill="1" applyBorder="1" applyAlignment="1" applyProtection="1">
      <alignment horizontal="center"/>
    </xf>
    <xf numFmtId="49" fontId="154" fillId="23" borderId="24" xfId="6" applyNumberFormat="1" applyFont="1" applyFill="1" applyBorder="1" applyAlignment="1" applyProtection="1">
      <alignment horizontal="center"/>
    </xf>
    <xf numFmtId="49" fontId="154" fillId="23" borderId="141" xfId="0" applyNumberFormat="1" applyFont="1" applyFill="1" applyBorder="1" applyAlignment="1" applyProtection="1">
      <alignment horizontal="center"/>
    </xf>
    <xf numFmtId="49" fontId="154" fillId="23" borderId="145" xfId="6" applyNumberFormat="1" applyFont="1" applyFill="1" applyBorder="1" applyAlignment="1" applyProtection="1">
      <alignment horizontal="center"/>
    </xf>
    <xf numFmtId="3" fontId="137" fillId="23" borderId="158" xfId="6" quotePrefix="1" applyNumberFormat="1" applyFont="1" applyFill="1" applyBorder="1" applyAlignment="1" applyProtection="1">
      <alignment horizontal="left"/>
    </xf>
    <xf numFmtId="0" fontId="22" fillId="39" borderId="0" xfId="0" applyFont="1" applyFill="1" applyAlignment="1" applyProtection="1">
      <alignment horizontal="right"/>
    </xf>
    <xf numFmtId="0" fontId="139" fillId="40" borderId="0" xfId="0" applyNumberFormat="1" applyFont="1" applyFill="1" applyProtection="1"/>
    <xf numFmtId="3" fontId="143" fillId="23" borderId="55" xfId="0" applyNumberFormat="1" applyFont="1" applyFill="1" applyBorder="1" applyAlignment="1" applyProtection="1">
      <alignment horizontal="left" vertical="top"/>
    </xf>
    <xf numFmtId="0" fontId="144" fillId="23" borderId="56" xfId="0" applyFont="1" applyFill="1" applyBorder="1" applyAlignment="1">
      <alignment horizontal="left" vertical="top"/>
    </xf>
    <xf numFmtId="0" fontId="144" fillId="23" borderId="85" xfId="0" applyFont="1" applyFill="1" applyBorder="1" applyAlignment="1">
      <alignment horizontal="left" vertical="top"/>
    </xf>
    <xf numFmtId="0" fontId="144" fillId="23" borderId="58" xfId="0" applyFont="1" applyFill="1" applyBorder="1" applyAlignment="1">
      <alignment horizontal="left" vertical="top"/>
    </xf>
    <xf numFmtId="0" fontId="155" fillId="23" borderId="9" xfId="0" applyFont="1" applyFill="1" applyBorder="1" applyAlignment="1" applyProtection="1">
      <alignment horizontal="left"/>
    </xf>
    <xf numFmtId="3" fontId="3" fillId="24" borderId="20" xfId="0" applyNumberFormat="1" applyFont="1" applyFill="1" applyBorder="1" applyProtection="1"/>
    <xf numFmtId="0" fontId="38" fillId="2" borderId="0" xfId="0" applyFont="1" applyFill="1" applyAlignment="1" applyProtection="1">
      <alignment horizontal="right"/>
    </xf>
    <xf numFmtId="0" fontId="154" fillId="2" borderId="0" xfId="0" applyFont="1" applyFill="1" applyProtection="1"/>
    <xf numFmtId="3" fontId="3" fillId="9" borderId="180" xfId="0" applyNumberFormat="1" applyFont="1" applyFill="1" applyBorder="1" applyProtection="1"/>
    <xf numFmtId="3" fontId="3" fillId="23" borderId="32" xfId="0" applyNumberFormat="1" applyFont="1" applyFill="1" applyBorder="1" applyAlignment="1" applyProtection="1">
      <alignment horizontal="right"/>
    </xf>
    <xf numFmtId="3" fontId="3" fillId="0" borderId="19" xfId="0" applyNumberFormat="1" applyFont="1" applyFill="1" applyBorder="1" applyProtection="1">
      <protection locked="0"/>
    </xf>
    <xf numFmtId="3" fontId="3" fillId="0" borderId="26" xfId="0" applyNumberFormat="1" applyFont="1" applyFill="1" applyBorder="1" applyProtection="1">
      <protection locked="0"/>
    </xf>
    <xf numFmtId="0" fontId="70" fillId="23" borderId="27" xfId="0" applyFont="1" applyFill="1" applyBorder="1" applyAlignment="1">
      <alignment horizontal="right" wrapText="1"/>
    </xf>
    <xf numFmtId="0" fontId="159" fillId="30" borderId="0" xfId="0" applyFont="1" applyFill="1" applyAlignment="1">
      <alignment vertical="center"/>
    </xf>
    <xf numFmtId="0" fontId="0" fillId="23" borderId="0" xfId="0" applyFill="1" applyAlignment="1"/>
    <xf numFmtId="0" fontId="0" fillId="23" borderId="56" xfId="0" applyFill="1" applyBorder="1" applyAlignment="1"/>
    <xf numFmtId="0" fontId="154" fillId="23" borderId="0" xfId="0" applyFont="1" applyFill="1" applyAlignment="1">
      <alignment wrapText="1"/>
    </xf>
    <xf numFmtId="0" fontId="154" fillId="23" borderId="56" xfId="0" applyFont="1" applyFill="1" applyBorder="1" applyAlignment="1">
      <alignment wrapText="1"/>
    </xf>
    <xf numFmtId="0" fontId="154" fillId="23" borderId="221" xfId="0" applyFont="1" applyFill="1" applyBorder="1" applyAlignment="1">
      <alignment wrapText="1"/>
    </xf>
    <xf numFmtId="0" fontId="154" fillId="23" borderId="222" xfId="0" applyFont="1" applyFill="1" applyBorder="1" applyAlignment="1">
      <alignment wrapText="1"/>
    </xf>
    <xf numFmtId="0" fontId="144" fillId="23" borderId="55" xfId="0" applyFont="1" applyFill="1" applyBorder="1" applyAlignment="1"/>
    <xf numFmtId="0" fontId="157" fillId="23" borderId="0" xfId="0" applyFont="1" applyFill="1" applyBorder="1" applyAlignment="1">
      <alignment vertical="top" wrapText="1"/>
    </xf>
    <xf numFmtId="0" fontId="156" fillId="23" borderId="0" xfId="0" applyFont="1" applyFill="1" applyAlignment="1">
      <alignment vertical="top" wrapText="1"/>
    </xf>
    <xf numFmtId="0" fontId="156" fillId="23" borderId="56" xfId="0" applyFont="1" applyFill="1" applyBorder="1" applyAlignment="1">
      <alignment vertical="top" wrapText="1"/>
    </xf>
    <xf numFmtId="0" fontId="156" fillId="23" borderId="0" xfId="0" applyFont="1" applyFill="1" applyAlignment="1">
      <alignment wrapText="1"/>
    </xf>
    <xf numFmtId="0" fontId="156" fillId="23" borderId="56" xfId="0" applyFont="1" applyFill="1" applyBorder="1" applyAlignment="1">
      <alignment wrapText="1"/>
    </xf>
    <xf numFmtId="0" fontId="155" fillId="23" borderId="0" xfId="0" applyFont="1" applyFill="1" applyAlignment="1">
      <alignment wrapText="1"/>
    </xf>
    <xf numFmtId="0" fontId="155" fillId="23" borderId="56" xfId="0" applyFont="1" applyFill="1" applyBorder="1" applyAlignment="1">
      <alignment wrapText="1"/>
    </xf>
    <xf numFmtId="0" fontId="137" fillId="23" borderId="0" xfId="0" applyFont="1" applyFill="1" applyBorder="1" applyAlignment="1" applyProtection="1">
      <alignment wrapText="1"/>
    </xf>
    <xf numFmtId="0" fontId="0" fillId="23" borderId="0" xfId="0" applyFill="1" applyAlignment="1">
      <alignment wrapText="1"/>
    </xf>
    <xf numFmtId="3" fontId="143" fillId="23" borderId="55" xfId="6" applyNumberFormat="1" applyFont="1" applyFill="1" applyBorder="1" applyAlignment="1" applyProtection="1">
      <alignment horizontal="left" vertical="top"/>
    </xf>
    <xf numFmtId="0" fontId="157" fillId="23" borderId="0" xfId="0" applyFont="1" applyFill="1" applyAlignment="1">
      <alignment vertical="top" wrapText="1"/>
    </xf>
    <xf numFmtId="0" fontId="158" fillId="23" borderId="38" xfId="0" applyFont="1" applyFill="1" applyBorder="1" applyAlignment="1">
      <alignment horizontal="left" vertical="top"/>
    </xf>
    <xf numFmtId="3" fontId="4" fillId="23" borderId="123" xfId="6" applyNumberFormat="1" applyFont="1" applyFill="1" applyBorder="1" applyAlignment="1" applyProtection="1">
      <alignment horizontal="right"/>
    </xf>
    <xf numFmtId="3" fontId="4" fillId="23" borderId="55" xfId="6" applyNumberFormat="1" applyFont="1" applyFill="1" applyBorder="1" applyAlignment="1" applyProtection="1">
      <alignment horizontal="right"/>
    </xf>
    <xf numFmtId="3" fontId="143" fillId="23" borderId="0" xfId="6" applyNumberFormat="1" applyFont="1" applyFill="1" applyBorder="1" applyAlignment="1" applyProtection="1">
      <alignment horizontal="left" vertical="top"/>
    </xf>
    <xf numFmtId="0" fontId="158" fillId="23" borderId="0" xfId="0" applyFont="1" applyFill="1" applyBorder="1" applyAlignment="1">
      <alignment horizontal="left" vertical="top"/>
    </xf>
    <xf numFmtId="0" fontId="0" fillId="23" borderId="56" xfId="0" applyFill="1" applyBorder="1" applyAlignment="1">
      <alignment wrapText="1"/>
    </xf>
    <xf numFmtId="0" fontId="0" fillId="23" borderId="0" xfId="0" applyFill="1" applyAlignment="1">
      <alignment horizontal="left" vertical="top" wrapText="1"/>
    </xf>
    <xf numFmtId="0" fontId="154" fillId="23" borderId="38" xfId="0" applyFont="1" applyFill="1" applyBorder="1" applyAlignment="1">
      <alignment wrapText="1"/>
    </xf>
    <xf numFmtId="0" fontId="154" fillId="23" borderId="58" xfId="0" applyFont="1" applyFill="1" applyBorder="1" applyAlignment="1">
      <alignment wrapText="1"/>
    </xf>
    <xf numFmtId="0" fontId="8" fillId="23" borderId="0" xfId="0" applyFont="1" applyFill="1" applyAlignment="1">
      <alignment wrapText="1"/>
    </xf>
    <xf numFmtId="0" fontId="8" fillId="23" borderId="56" xfId="0" applyFont="1" applyFill="1" applyBorder="1" applyAlignment="1">
      <alignment wrapText="1"/>
    </xf>
    <xf numFmtId="0" fontId="0" fillId="23" borderId="56" xfId="0" applyFill="1" applyBorder="1" applyAlignment="1">
      <alignment horizontal="left" vertical="top" wrapText="1"/>
    </xf>
    <xf numFmtId="0" fontId="38" fillId="0" borderId="0" xfId="0" quotePrefix="1" applyFont="1" applyFill="1" applyProtection="1"/>
    <xf numFmtId="0" fontId="115" fillId="0" borderId="0" xfId="0" applyFont="1" applyFill="1" applyAlignment="1" applyProtection="1">
      <alignment wrapText="1"/>
    </xf>
    <xf numFmtId="0" fontId="138" fillId="0" borderId="0" xfId="0" applyFont="1" applyFill="1" applyAlignment="1" applyProtection="1">
      <alignment vertical="top" wrapText="1"/>
    </xf>
    <xf numFmtId="1" fontId="137" fillId="0" borderId="57" xfId="0" applyNumberFormat="1" applyFont="1" applyFill="1" applyBorder="1" applyAlignment="1" applyProtection="1">
      <alignment horizontal="left"/>
    </xf>
    <xf numFmtId="0" fontId="137" fillId="0" borderId="0" xfId="0" applyNumberFormat="1" applyFont="1" applyFill="1" applyBorder="1" applyAlignment="1" applyProtection="1">
      <alignment horizontal="left" wrapText="1"/>
    </xf>
    <xf numFmtId="4" fontId="38" fillId="23" borderId="118" xfId="10" applyNumberFormat="1" applyFont="1" applyFill="1" applyBorder="1" applyProtection="1"/>
    <xf numFmtId="0" fontId="38" fillId="23" borderId="179" xfId="0" applyFont="1" applyFill="1" applyBorder="1" applyProtection="1"/>
    <xf numFmtId="0" fontId="152" fillId="0" borderId="0" xfId="0" applyFont="1" applyFill="1" applyBorder="1" applyProtection="1"/>
    <xf numFmtId="3" fontId="38" fillId="23" borderId="5" xfId="6" quotePrefix="1" applyNumberFormat="1" applyFont="1" applyFill="1" applyBorder="1" applyAlignment="1" applyProtection="1">
      <alignment horizontal="left"/>
    </xf>
    <xf numFmtId="3" fontId="38" fillId="23" borderId="2" xfId="6" applyNumberFormat="1" applyFont="1" applyFill="1" applyBorder="1" applyAlignment="1" applyProtection="1">
      <alignment horizontal="left"/>
    </xf>
    <xf numFmtId="3" fontId="38" fillId="0" borderId="55" xfId="6" quotePrefix="1" applyNumberFormat="1" applyFont="1" applyFill="1" applyBorder="1" applyAlignment="1" applyProtection="1">
      <alignment horizontal="left"/>
    </xf>
    <xf numFmtId="3" fontId="153" fillId="0" borderId="72" xfId="6" quotePrefix="1" applyNumberFormat="1" applyFont="1" applyFill="1" applyBorder="1" applyAlignment="1" applyProtection="1">
      <alignment horizontal="left"/>
    </xf>
    <xf numFmtId="3" fontId="153" fillId="0" borderId="74" xfId="6" quotePrefix="1" applyNumberFormat="1" applyFont="1" applyFill="1" applyBorder="1" applyAlignment="1" applyProtection="1">
      <alignment horizontal="left"/>
    </xf>
    <xf numFmtId="0" fontId="55" fillId="0" borderId="74" xfId="6" applyFont="1" applyFill="1" applyBorder="1" applyProtection="1"/>
    <xf numFmtId="0" fontId="55" fillId="0" borderId="122" xfId="6" applyFont="1" applyFill="1" applyBorder="1" applyProtection="1"/>
    <xf numFmtId="3" fontId="38" fillId="0" borderId="72" xfId="6" quotePrefix="1" applyNumberFormat="1" applyFont="1" applyFill="1" applyBorder="1" applyAlignment="1" applyProtection="1">
      <alignment horizontal="left"/>
    </xf>
    <xf numFmtId="0" fontId="40" fillId="0" borderId="74" xfId="6" applyFont="1" applyFill="1" applyBorder="1" applyProtection="1"/>
    <xf numFmtId="0" fontId="40" fillId="0" borderId="72" xfId="6" applyFont="1" applyFill="1" applyBorder="1" applyProtection="1"/>
    <xf numFmtId="3" fontId="38" fillId="0" borderId="76" xfId="6" quotePrefix="1" applyNumberFormat="1" applyFont="1" applyFill="1" applyBorder="1" applyAlignment="1" applyProtection="1">
      <alignment horizontal="left"/>
    </xf>
    <xf numFmtId="0" fontId="137" fillId="0" borderId="0" xfId="0" applyFont="1" applyFill="1" applyAlignment="1" applyProtection="1"/>
    <xf numFmtId="3" fontId="137" fillId="23" borderId="2" xfId="0" quotePrefix="1" applyNumberFormat="1" applyFont="1" applyFill="1" applyBorder="1" applyAlignment="1" applyProtection="1">
      <alignment horizontal="left"/>
    </xf>
    <xf numFmtId="49" fontId="154" fillId="23" borderId="7" xfId="0" applyNumberFormat="1" applyFont="1" applyFill="1" applyBorder="1" applyAlignment="1" applyProtection="1">
      <alignment horizontal="center"/>
    </xf>
    <xf numFmtId="0" fontId="138" fillId="0" borderId="0" xfId="0" applyFont="1" applyFill="1" applyAlignment="1" applyProtection="1">
      <alignment horizontal="right" vertical="top" wrapText="1"/>
    </xf>
    <xf numFmtId="3" fontId="3" fillId="0" borderId="32" xfId="0" applyNumberFormat="1" applyFont="1" applyFill="1" applyBorder="1" applyProtection="1">
      <protection locked="0"/>
    </xf>
    <xf numFmtId="49" fontId="4" fillId="23" borderId="41" xfId="0" applyNumberFormat="1" applyFont="1" applyFill="1" applyBorder="1" applyAlignment="1" applyProtection="1">
      <alignment horizontal="center"/>
    </xf>
    <xf numFmtId="49" fontId="154" fillId="23" borderId="2" xfId="0" applyNumberFormat="1" applyFont="1" applyFill="1" applyBorder="1" applyAlignment="1" applyProtection="1">
      <alignment horizontal="center" vertical="top" wrapText="1"/>
    </xf>
    <xf numFmtId="0" fontId="4" fillId="23" borderId="59" xfId="6" applyFont="1" applyFill="1" applyBorder="1" applyAlignment="1" applyProtection="1">
      <alignment horizontal="left" wrapText="1"/>
    </xf>
    <xf numFmtId="0" fontId="162" fillId="0" borderId="0" xfId="0" applyFont="1" applyFill="1" applyBorder="1" applyAlignment="1" applyProtection="1">
      <alignment horizontal="left" vertical="top"/>
    </xf>
    <xf numFmtId="0" fontId="0" fillId="0" borderId="56" xfId="0" applyFill="1" applyBorder="1" applyAlignment="1"/>
    <xf numFmtId="0" fontId="0" fillId="0" borderId="0" xfId="0" applyFill="1" applyAlignment="1"/>
    <xf numFmtId="0" fontId="152" fillId="2" borderId="0" xfId="0" applyFont="1" applyFill="1" applyProtection="1"/>
    <xf numFmtId="0" fontId="164" fillId="0" borderId="0" xfId="0" applyFont="1" applyFill="1" applyAlignment="1">
      <alignment wrapText="1"/>
    </xf>
    <xf numFmtId="0" fontId="0" fillId="0" borderId="0" xfId="0" applyAlignment="1">
      <alignment wrapText="1"/>
    </xf>
    <xf numFmtId="0" fontId="10" fillId="0" borderId="0" xfId="0" applyFont="1" applyAlignment="1">
      <alignment wrapText="1"/>
    </xf>
    <xf numFmtId="3" fontId="153" fillId="23" borderId="0" xfId="0" applyNumberFormat="1" applyFont="1" applyFill="1" applyBorder="1" applyAlignment="1" applyProtection="1"/>
    <xf numFmtId="3" fontId="137" fillId="0" borderId="0" xfId="0" applyNumberFormat="1" applyFont="1" applyFill="1" applyBorder="1" applyProtection="1"/>
    <xf numFmtId="0" fontId="38" fillId="0" borderId="0" xfId="0" applyFont="1" applyFill="1" applyAlignment="1" applyProtection="1">
      <alignment horizontal="left" vertical="top"/>
    </xf>
    <xf numFmtId="0" fontId="138" fillId="0" borderId="0" xfId="0" applyFont="1" applyFill="1" applyAlignment="1" applyProtection="1">
      <alignment horizontal="right"/>
    </xf>
    <xf numFmtId="0" fontId="138" fillId="0" borderId="0" xfId="0" applyFont="1" applyFill="1" applyAlignment="1" applyProtection="1">
      <alignment horizontal="left" vertical="top" wrapText="1"/>
    </xf>
    <xf numFmtId="3" fontId="6" fillId="23" borderId="15" xfId="6" applyNumberFormat="1" applyFont="1" applyFill="1" applyBorder="1" applyAlignment="1" applyProtection="1">
      <alignment horizontal="left"/>
    </xf>
    <xf numFmtId="3" fontId="6" fillId="23" borderId="15" xfId="6" applyNumberFormat="1" applyFont="1" applyFill="1" applyBorder="1" applyAlignment="1" applyProtection="1">
      <alignment horizontal="left" vertical="center"/>
    </xf>
    <xf numFmtId="3" fontId="155" fillId="23" borderId="15" xfId="6" applyNumberFormat="1" applyFont="1" applyFill="1" applyBorder="1" applyAlignment="1" applyProtection="1">
      <alignment horizontal="left" vertical="top" wrapText="1"/>
    </xf>
    <xf numFmtId="0" fontId="137" fillId="0" borderId="0" xfId="0" applyFont="1" applyFill="1" applyBorder="1" applyAlignment="1" applyProtection="1">
      <alignment vertical="top"/>
    </xf>
    <xf numFmtId="0" fontId="152" fillId="0" borderId="0" xfId="0" applyFont="1" applyFill="1" applyBorder="1" applyAlignment="1" applyProtection="1">
      <alignment vertical="top"/>
    </xf>
    <xf numFmtId="0" fontId="164" fillId="0" borderId="0" xfId="0" applyFont="1" applyAlignment="1">
      <alignment wrapText="1"/>
    </xf>
    <xf numFmtId="3" fontId="165" fillId="0" borderId="0" xfId="0" applyNumberFormat="1" applyFont="1" applyFill="1" applyBorder="1" applyProtection="1"/>
    <xf numFmtId="0" fontId="0" fillId="0" borderId="0" xfId="0" applyFill="1" applyBorder="1" applyAlignment="1">
      <alignment horizontal="left" wrapText="1"/>
    </xf>
    <xf numFmtId="1" fontId="4" fillId="23" borderId="2" xfId="0" applyNumberFormat="1" applyFont="1" applyFill="1" applyBorder="1" applyAlignment="1" applyProtection="1">
      <alignment horizontal="center" vertical="center" wrapText="1"/>
    </xf>
    <xf numFmtId="0" fontId="4" fillId="23" borderId="2" xfId="0" applyFont="1" applyFill="1" applyBorder="1" applyAlignment="1" applyProtection="1">
      <alignment horizontal="left" vertical="center" wrapText="1"/>
    </xf>
    <xf numFmtId="0" fontId="6" fillId="23" borderId="25" xfId="0" applyFont="1" applyFill="1" applyBorder="1" applyAlignment="1" applyProtection="1">
      <alignment horizontal="left" vertical="center" wrapText="1"/>
    </xf>
    <xf numFmtId="0" fontId="38" fillId="0" borderId="0" xfId="0" applyFont="1" applyFill="1" applyAlignment="1" applyProtection="1">
      <alignment vertical="top" wrapText="1"/>
    </xf>
    <xf numFmtId="3" fontId="3" fillId="2" borderId="43" xfId="0" applyNumberFormat="1" applyFont="1" applyFill="1" applyBorder="1" applyAlignment="1" applyProtection="1">
      <alignment horizontal="right"/>
      <protection locked="0"/>
    </xf>
    <xf numFmtId="0" fontId="62" fillId="2" borderId="0" xfId="0" applyFont="1" applyFill="1" applyAlignment="1" applyProtection="1"/>
    <xf numFmtId="0" fontId="4" fillId="23" borderId="167" xfId="0" applyNumberFormat="1" applyFont="1" applyFill="1" applyBorder="1" applyAlignment="1" applyProtection="1">
      <alignment horizontal="center" vertical="top" wrapText="1"/>
    </xf>
    <xf numFmtId="49" fontId="4" fillId="23" borderId="12" xfId="0" applyNumberFormat="1" applyFont="1" applyFill="1" applyBorder="1" applyAlignment="1" applyProtection="1">
      <alignment horizontal="left" vertical="top" wrapText="1"/>
    </xf>
    <xf numFmtId="0" fontId="4" fillId="23" borderId="8" xfId="0" applyFont="1" applyFill="1" applyBorder="1" applyAlignment="1" applyProtection="1">
      <alignment vertical="top" wrapText="1"/>
    </xf>
    <xf numFmtId="49" fontId="4" fillId="23" borderId="230" xfId="0" applyNumberFormat="1" applyFont="1" applyFill="1" applyBorder="1" applyAlignment="1" applyProtection="1">
      <alignment horizontal="left"/>
    </xf>
    <xf numFmtId="0" fontId="56" fillId="23" borderId="63" xfId="0" applyFont="1" applyFill="1" applyBorder="1" applyProtection="1"/>
    <xf numFmtId="164" fontId="10" fillId="2" borderId="0" xfId="0" applyNumberFormat="1" applyFont="1" applyFill="1" applyBorder="1" applyAlignment="1" applyProtection="1">
      <alignment horizontal="center" vertical="center"/>
    </xf>
    <xf numFmtId="3" fontId="4" fillId="23" borderId="43" xfId="6" applyNumberFormat="1" applyFont="1" applyFill="1" applyBorder="1" applyAlignment="1" applyProtection="1"/>
    <xf numFmtId="3" fontId="4" fillId="23" borderId="43" xfId="6" applyNumberFormat="1" applyFont="1" applyFill="1" applyBorder="1" applyAlignment="1" applyProtection="1">
      <alignment vertical="top" wrapText="1"/>
    </xf>
    <xf numFmtId="3" fontId="3" fillId="29" borderId="35" xfId="0" applyNumberFormat="1" applyFont="1" applyFill="1" applyBorder="1" applyAlignment="1" applyProtection="1"/>
    <xf numFmtId="3" fontId="3" fillId="29" borderId="2" xfId="0" applyNumberFormat="1" applyFont="1" applyFill="1" applyBorder="1" applyAlignment="1" applyProtection="1"/>
    <xf numFmtId="3" fontId="3" fillId="29" borderId="5" xfId="0" applyNumberFormat="1" applyFont="1" applyFill="1" applyBorder="1" applyAlignment="1" applyProtection="1"/>
    <xf numFmtId="0" fontId="4" fillId="23" borderId="35" xfId="0" applyFont="1" applyFill="1" applyBorder="1" applyProtection="1"/>
    <xf numFmtId="0" fontId="0" fillId="41" borderId="0" xfId="0" applyFill="1"/>
    <xf numFmtId="0" fontId="3" fillId="0" borderId="0" xfId="0" applyFont="1" applyFill="1" applyBorder="1" applyAlignment="1" applyProtection="1">
      <alignment vertical="top" wrapText="1"/>
      <protection locked="0"/>
    </xf>
    <xf numFmtId="49" fontId="8" fillId="0" borderId="0" xfId="0" applyNumberFormat="1" applyFont="1" applyFill="1" applyBorder="1" applyAlignment="1" applyProtection="1">
      <alignment horizontal="center"/>
    </xf>
    <xf numFmtId="0" fontId="129" fillId="0" borderId="0" xfId="0" applyFont="1" applyFill="1" applyBorder="1" applyAlignment="1">
      <alignment vertical="top"/>
    </xf>
    <xf numFmtId="166" fontId="4" fillId="41" borderId="0" xfId="10" applyNumberFormat="1" applyFont="1" applyFill="1" applyProtection="1"/>
    <xf numFmtId="166" fontId="4" fillId="41" borderId="66" xfId="10" applyNumberFormat="1" applyFont="1" applyFill="1" applyBorder="1" applyProtection="1"/>
    <xf numFmtId="0" fontId="125" fillId="0" borderId="0" xfId="10" applyFont="1" applyFill="1" applyAlignment="1" applyProtection="1"/>
    <xf numFmtId="0" fontId="129" fillId="0" borderId="0" xfId="0" applyFont="1" applyFill="1" applyAlignment="1"/>
    <xf numFmtId="49" fontId="4" fillId="23" borderId="123" xfId="0" applyNumberFormat="1" applyFont="1" applyFill="1" applyBorder="1" applyAlignment="1" applyProtection="1">
      <alignment horizontal="left"/>
    </xf>
    <xf numFmtId="0" fontId="17" fillId="23" borderId="123" xfId="0" applyFont="1" applyFill="1" applyBorder="1" applyProtection="1"/>
    <xf numFmtId="0" fontId="9" fillId="23" borderId="35" xfId="0" applyFont="1" applyFill="1" applyBorder="1" applyProtection="1"/>
    <xf numFmtId="49" fontId="4" fillId="23" borderId="12" xfId="0" applyNumberFormat="1" applyFont="1" applyFill="1" applyBorder="1" applyAlignment="1" applyProtection="1">
      <alignment horizontal="right" vertical="center" wrapText="1"/>
    </xf>
    <xf numFmtId="0" fontId="4" fillId="23" borderId="8" xfId="0" applyFont="1" applyFill="1" applyBorder="1" applyAlignment="1" applyProtection="1">
      <alignment horizontal="left" vertical="top" wrapText="1"/>
    </xf>
    <xf numFmtId="0" fontId="62" fillId="0" borderId="0" xfId="0" applyFont="1" applyFill="1" applyAlignment="1" applyProtection="1">
      <alignment vertical="top"/>
    </xf>
    <xf numFmtId="1" fontId="6" fillId="0" borderId="0" xfId="0" applyNumberFormat="1" applyFont="1" applyFill="1" applyBorder="1" applyAlignment="1" applyProtection="1">
      <alignment horizontal="left" wrapText="1"/>
    </xf>
    <xf numFmtId="1" fontId="4" fillId="0" borderId="0" xfId="0" applyNumberFormat="1" applyFont="1" applyFill="1" applyBorder="1" applyAlignment="1" applyProtection="1">
      <alignment horizontal="center" wrapText="1"/>
    </xf>
    <xf numFmtId="0" fontId="137" fillId="0" borderId="0" xfId="0" applyNumberFormat="1" applyFont="1" applyFill="1" applyAlignment="1" applyProtection="1"/>
    <xf numFmtId="3" fontId="137" fillId="0" borderId="0" xfId="0" applyNumberFormat="1" applyFont="1" applyFill="1" applyBorder="1" applyAlignment="1" applyProtection="1">
      <alignment horizontal="left" wrapText="1"/>
    </xf>
    <xf numFmtId="1" fontId="4" fillId="23" borderId="41" xfId="0" applyNumberFormat="1" applyFont="1" applyFill="1" applyBorder="1" applyAlignment="1" applyProtection="1">
      <alignment horizontal="left" vertical="top" wrapText="1"/>
    </xf>
    <xf numFmtId="49" fontId="4" fillId="23" borderId="5" xfId="0" applyNumberFormat="1" applyFont="1" applyFill="1" applyBorder="1" applyAlignment="1" applyProtection="1">
      <alignment horizontal="left"/>
    </xf>
    <xf numFmtId="167" fontId="4" fillId="23" borderId="61" xfId="6" applyNumberFormat="1" applyFont="1" applyFill="1" applyBorder="1" applyAlignment="1" applyProtection="1">
      <alignment vertical="top"/>
    </xf>
    <xf numFmtId="167" fontId="4" fillId="23" borderId="175" xfId="0" applyNumberFormat="1" applyFont="1" applyFill="1" applyBorder="1" applyAlignment="1" applyProtection="1">
      <alignment vertical="top"/>
    </xf>
    <xf numFmtId="0" fontId="3" fillId="0" borderId="0" xfId="0" applyFont="1" applyBorder="1" applyAlignment="1" applyProtection="1">
      <alignment vertical="top" wrapText="1"/>
      <protection locked="0"/>
    </xf>
    <xf numFmtId="3" fontId="14" fillId="23" borderId="68" xfId="0" applyNumberFormat="1" applyFont="1" applyFill="1" applyBorder="1" applyAlignment="1" applyProtection="1">
      <alignment horizontal="right"/>
    </xf>
    <xf numFmtId="49" fontId="4" fillId="23" borderId="7" xfId="0" applyNumberFormat="1" applyFont="1" applyFill="1" applyBorder="1" applyAlignment="1" applyProtection="1">
      <alignment horizontal="center"/>
    </xf>
    <xf numFmtId="0" fontId="4" fillId="23" borderId="8" xfId="0" applyFont="1" applyFill="1" applyBorder="1" applyAlignment="1" applyProtection="1">
      <alignment horizontal="left"/>
    </xf>
    <xf numFmtId="49" fontId="4" fillId="23" borderId="75" xfId="0" applyNumberFormat="1" applyFont="1" applyFill="1" applyBorder="1" applyAlignment="1" applyProtection="1">
      <alignment wrapText="1"/>
    </xf>
    <xf numFmtId="49" fontId="4" fillId="23" borderId="11" xfId="0" applyNumberFormat="1" applyFont="1" applyFill="1" applyBorder="1" applyAlignment="1" applyProtection="1">
      <alignment wrapText="1"/>
    </xf>
    <xf numFmtId="0" fontId="4" fillId="2" borderId="1" xfId="0" applyFont="1" applyFill="1" applyBorder="1" applyAlignment="1" applyProtection="1">
      <alignment horizontal="center"/>
    </xf>
    <xf numFmtId="49" fontId="9" fillId="23" borderId="202" xfId="0" applyNumberFormat="1" applyFont="1" applyFill="1" applyBorder="1" applyAlignment="1" applyProtection="1">
      <alignment horizontal="center"/>
    </xf>
    <xf numFmtId="3" fontId="3" fillId="2" borderId="201" xfId="0" applyNumberFormat="1" applyFont="1" applyFill="1" applyBorder="1" applyAlignment="1" applyProtection="1">
      <alignment horizontal="right"/>
      <protection locked="0"/>
    </xf>
    <xf numFmtId="3" fontId="3" fillId="2" borderId="149" xfId="0" applyNumberFormat="1" applyFont="1" applyFill="1" applyBorder="1" applyAlignment="1" applyProtection="1">
      <alignment horizontal="right"/>
      <protection locked="0"/>
    </xf>
    <xf numFmtId="0" fontId="137" fillId="2" borderId="0" xfId="0" applyFont="1" applyFill="1" applyAlignment="1" applyProtection="1">
      <alignment wrapText="1"/>
    </xf>
    <xf numFmtId="0" fontId="50" fillId="0" borderId="0" xfId="0" applyNumberFormat="1" applyFont="1" applyFill="1" applyBorder="1" applyAlignment="1" applyProtection="1">
      <alignment horizontal="right"/>
    </xf>
    <xf numFmtId="3" fontId="38" fillId="0" borderId="125" xfId="0" applyNumberFormat="1" applyFont="1" applyFill="1" applyBorder="1" applyProtection="1"/>
    <xf numFmtId="3" fontId="38" fillId="0" borderId="0" xfId="0" applyNumberFormat="1" applyFont="1" applyFill="1" applyBorder="1" applyAlignment="1" applyProtection="1">
      <alignment horizontal="left"/>
    </xf>
    <xf numFmtId="0" fontId="4" fillId="23" borderId="8" xfId="0" applyFont="1" applyFill="1" applyBorder="1" applyAlignment="1" applyProtection="1">
      <alignment horizontal="center" wrapText="1"/>
    </xf>
    <xf numFmtId="0" fontId="4" fillId="23" borderId="54" xfId="0" applyFont="1" applyFill="1" applyBorder="1" applyAlignment="1" applyProtection="1">
      <alignment horizontal="center" wrapText="1"/>
    </xf>
    <xf numFmtId="1" fontId="4" fillId="23" borderId="25" xfId="0" applyNumberFormat="1" applyFont="1" applyFill="1" applyBorder="1" applyAlignment="1" applyProtection="1">
      <alignment horizontal="center" wrapText="1"/>
    </xf>
    <xf numFmtId="1" fontId="4" fillId="0" borderId="0" xfId="0" applyNumberFormat="1" applyFont="1" applyFill="1" applyBorder="1" applyAlignment="1" applyProtection="1">
      <alignment horizontal="center" wrapText="1"/>
    </xf>
    <xf numFmtId="0" fontId="0" fillId="0" borderId="43" xfId="0" applyBorder="1" applyAlignment="1">
      <alignment wrapText="1"/>
    </xf>
    <xf numFmtId="0" fontId="4" fillId="2" borderId="111" xfId="10" applyFont="1" applyFill="1" applyBorder="1" applyAlignment="1" applyProtection="1">
      <alignment wrapText="1"/>
    </xf>
    <xf numFmtId="0" fontId="0" fillId="0" borderId="237" xfId="0" applyBorder="1" applyAlignment="1">
      <alignment wrapText="1"/>
    </xf>
    <xf numFmtId="0" fontId="0" fillId="0" borderId="238" xfId="0" applyBorder="1" applyAlignment="1">
      <alignment wrapText="1"/>
    </xf>
    <xf numFmtId="0" fontId="0" fillId="0" borderId="27" xfId="0" applyBorder="1" applyAlignment="1">
      <alignment wrapText="1"/>
    </xf>
    <xf numFmtId="0" fontId="0" fillId="0" borderId="0" xfId="0" applyBorder="1" applyAlignment="1">
      <alignment wrapText="1"/>
    </xf>
    <xf numFmtId="0" fontId="0" fillId="0" borderId="239" xfId="0" applyBorder="1" applyAlignment="1">
      <alignment wrapText="1"/>
    </xf>
    <xf numFmtId="0" fontId="0" fillId="0" borderId="240" xfId="0" applyBorder="1" applyAlignment="1">
      <alignment wrapText="1"/>
    </xf>
    <xf numFmtId="0" fontId="0" fillId="0" borderId="241" xfId="0" applyBorder="1" applyAlignment="1">
      <alignment wrapText="1"/>
    </xf>
    <xf numFmtId="1" fontId="4" fillId="23" borderId="81" xfId="0" applyNumberFormat="1" applyFont="1" applyFill="1" applyBorder="1" applyAlignment="1" applyProtection="1">
      <alignment horizontal="center" wrapText="1"/>
    </xf>
    <xf numFmtId="3" fontId="14" fillId="0" borderId="240" xfId="0" applyNumberFormat="1" applyFont="1" applyFill="1" applyBorder="1" applyAlignment="1" applyProtection="1">
      <alignment horizontal="right"/>
    </xf>
    <xf numFmtId="0" fontId="4" fillId="0" borderId="237" xfId="0" applyFont="1" applyFill="1" applyBorder="1" applyAlignment="1" applyProtection="1">
      <alignment horizontal="center"/>
    </xf>
    <xf numFmtId="1" fontId="4" fillId="0" borderId="237" xfId="0" applyNumberFormat="1" applyFont="1" applyFill="1" applyBorder="1" applyAlignment="1" applyProtection="1">
      <alignment horizontal="center" wrapText="1"/>
    </xf>
    <xf numFmtId="1" fontId="4" fillId="0" borderId="237" xfId="0" applyNumberFormat="1" applyFont="1" applyFill="1" applyBorder="1" applyAlignment="1" applyProtection="1">
      <alignment horizontal="left"/>
    </xf>
    <xf numFmtId="0" fontId="4" fillId="0" borderId="240" xfId="0" applyFont="1" applyFill="1" applyBorder="1" applyAlignment="1" applyProtection="1">
      <alignment horizontal="center"/>
    </xf>
    <xf numFmtId="1" fontId="4" fillId="0" borderId="240" xfId="0" applyNumberFormat="1" applyFont="1" applyFill="1" applyBorder="1" applyAlignment="1" applyProtection="1">
      <alignment horizontal="center" wrapText="1"/>
    </xf>
    <xf numFmtId="1" fontId="4" fillId="0" borderId="240" xfId="0" applyNumberFormat="1" applyFont="1" applyFill="1" applyBorder="1" applyAlignment="1" applyProtection="1">
      <alignment horizontal="left"/>
    </xf>
    <xf numFmtId="0" fontId="4" fillId="23" borderId="81" xfId="0" applyFont="1" applyFill="1" applyBorder="1" applyAlignment="1" applyProtection="1">
      <alignment horizontal="left" wrapText="1"/>
    </xf>
    <xf numFmtId="3" fontId="8" fillId="0" borderId="237" xfId="0" applyNumberFormat="1" applyFont="1" applyBorder="1"/>
    <xf numFmtId="0" fontId="4" fillId="23" borderId="21" xfId="0" applyNumberFormat="1" applyFont="1" applyFill="1" applyBorder="1" applyAlignment="1" applyProtection="1">
      <alignment horizontal="center"/>
    </xf>
    <xf numFmtId="0" fontId="4" fillId="23" borderId="2" xfId="0" applyNumberFormat="1" applyFont="1" applyFill="1" applyBorder="1" applyAlignment="1" applyProtection="1">
      <alignment horizontal="center"/>
    </xf>
    <xf numFmtId="0" fontId="6" fillId="23" borderId="15" xfId="0" applyNumberFormat="1" applyFont="1" applyFill="1" applyBorder="1" applyAlignment="1" applyProtection="1">
      <alignment horizontal="center"/>
    </xf>
    <xf numFmtId="0" fontId="4" fillId="23" borderId="5" xfId="0" applyNumberFormat="1" applyFont="1" applyFill="1" applyBorder="1" applyAlignment="1" applyProtection="1">
      <alignment horizontal="center"/>
    </xf>
    <xf numFmtId="0" fontId="9" fillId="23" borderId="2" xfId="0" applyNumberFormat="1" applyFont="1" applyFill="1" applyBorder="1" applyAlignment="1" applyProtection="1">
      <alignment horizontal="center"/>
    </xf>
    <xf numFmtId="0" fontId="17" fillId="23" borderId="2" xfId="0" applyNumberFormat="1" applyFont="1" applyFill="1" applyBorder="1" applyAlignment="1" applyProtection="1">
      <alignment horizontal="center"/>
    </xf>
    <xf numFmtId="0" fontId="4" fillId="23" borderId="128" xfId="0" applyNumberFormat="1" applyFont="1" applyFill="1" applyBorder="1" applyAlignment="1" applyProtection="1">
      <alignment horizontal="center"/>
    </xf>
    <xf numFmtId="0" fontId="17" fillId="23" borderId="13" xfId="0" applyNumberFormat="1" applyFont="1" applyFill="1" applyBorder="1" applyAlignment="1" applyProtection="1">
      <alignment horizontal="center"/>
    </xf>
    <xf numFmtId="0" fontId="4" fillId="23" borderId="126" xfId="0" applyNumberFormat="1" applyFont="1" applyFill="1" applyBorder="1" applyAlignment="1" applyProtection="1">
      <alignment horizontal="center"/>
    </xf>
    <xf numFmtId="0" fontId="9" fillId="23" borderId="97" xfId="0" applyNumberFormat="1" applyFont="1" applyFill="1" applyBorder="1" applyAlignment="1" applyProtection="1">
      <alignment horizontal="center"/>
    </xf>
    <xf numFmtId="0" fontId="9" fillId="23" borderId="117" xfId="0" applyNumberFormat="1" applyFont="1" applyFill="1" applyBorder="1" applyAlignment="1" applyProtection="1">
      <alignment horizontal="center"/>
    </xf>
    <xf numFmtId="0" fontId="4" fillId="23" borderId="24" xfId="0" applyNumberFormat="1" applyFont="1" applyFill="1" applyBorder="1" applyAlignment="1" applyProtection="1">
      <alignment horizontal="center"/>
    </xf>
    <xf numFmtId="0" fontId="4" fillId="23" borderId="145" xfId="0" applyNumberFormat="1" applyFont="1" applyFill="1" applyBorder="1" applyAlignment="1" applyProtection="1">
      <alignment horizontal="center"/>
    </xf>
    <xf numFmtId="0" fontId="4" fillId="23" borderId="22" xfId="0" applyNumberFormat="1" applyFont="1" applyFill="1" applyBorder="1" applyAlignment="1" applyProtection="1">
      <alignment horizontal="center"/>
    </xf>
    <xf numFmtId="0" fontId="9" fillId="23" borderId="36" xfId="0" applyNumberFormat="1" applyFont="1" applyFill="1" applyBorder="1" applyAlignment="1" applyProtection="1">
      <alignment horizontal="center"/>
    </xf>
    <xf numFmtId="0" fontId="9" fillId="23" borderId="126" xfId="0" applyNumberFormat="1" applyFont="1" applyFill="1" applyBorder="1" applyAlignment="1" applyProtection="1">
      <alignment horizontal="center"/>
    </xf>
    <xf numFmtId="0" fontId="143" fillId="23" borderId="126" xfId="0" applyNumberFormat="1" applyFont="1" applyFill="1" applyBorder="1" applyAlignment="1" applyProtection="1">
      <alignment horizontal="center"/>
    </xf>
    <xf numFmtId="0" fontId="9" fillId="23" borderId="37" xfId="0" applyNumberFormat="1" applyFont="1" applyFill="1" applyBorder="1" applyAlignment="1" applyProtection="1">
      <alignment horizontal="center"/>
    </xf>
    <xf numFmtId="0" fontId="12" fillId="23" borderId="57" xfId="0" applyNumberFormat="1" applyFont="1" applyFill="1" applyBorder="1" applyProtection="1"/>
    <xf numFmtId="0" fontId="4" fillId="23" borderId="130" xfId="0" applyNumberFormat="1" applyFont="1" applyFill="1" applyBorder="1" applyAlignment="1" applyProtection="1">
      <alignment horizontal="center"/>
    </xf>
    <xf numFmtId="0" fontId="9" fillId="23" borderId="129" xfId="0" applyNumberFormat="1" applyFont="1" applyFill="1" applyBorder="1" applyAlignment="1" applyProtection="1">
      <alignment horizontal="center"/>
    </xf>
    <xf numFmtId="0" fontId="125" fillId="23" borderId="21" xfId="0" applyNumberFormat="1" applyFont="1" applyFill="1" applyBorder="1" applyAlignment="1" applyProtection="1">
      <alignment horizontal="center"/>
    </xf>
    <xf numFmtId="49" fontId="4" fillId="23" borderId="24" xfId="6" applyNumberFormat="1" applyFont="1" applyFill="1" applyBorder="1" applyAlignment="1" applyProtection="1">
      <alignment horizontal="center"/>
    </xf>
    <xf numFmtId="0" fontId="97" fillId="0" borderId="0" xfId="10" applyFont="1" applyFill="1" applyProtection="1"/>
    <xf numFmtId="0" fontId="97" fillId="0" borderId="0" xfId="10" applyFont="1" applyFill="1" applyAlignment="1" applyProtection="1"/>
    <xf numFmtId="0" fontId="97" fillId="0" borderId="0" xfId="10" applyFont="1" applyFill="1" applyAlignment="1" applyProtection="1">
      <alignment horizontal="center"/>
    </xf>
    <xf numFmtId="3" fontId="99" fillId="0" borderId="0" xfId="10" applyNumberFormat="1" applyFont="1" applyFill="1" applyAlignment="1" applyProtection="1"/>
    <xf numFmtId="3" fontId="99" fillId="0" borderId="0" xfId="10" applyNumberFormat="1" applyFont="1" applyFill="1" applyAlignment="1" applyProtection="1">
      <alignment horizontal="center"/>
    </xf>
    <xf numFmtId="3" fontId="99" fillId="0" borderId="237" xfId="10" applyNumberFormat="1" applyFont="1" applyFill="1" applyBorder="1" applyAlignment="1" applyProtection="1"/>
    <xf numFmtId="0" fontId="97" fillId="0" borderId="0" xfId="10" applyFont="1" applyFill="1" applyAlignment="1" applyProtection="1">
      <alignment horizontal="left"/>
    </xf>
    <xf numFmtId="0" fontId="4" fillId="0" borderId="0" xfId="10" applyFont="1" applyFill="1" applyAlignment="1" applyProtection="1">
      <alignment horizontal="left"/>
    </xf>
    <xf numFmtId="0" fontId="4" fillId="0" borderId="0" xfId="10" quotePrefix="1" applyFont="1" applyFill="1" applyAlignment="1" applyProtection="1">
      <alignment horizontal="center"/>
    </xf>
    <xf numFmtId="3" fontId="99" fillId="0" borderId="66" xfId="10" applyNumberFormat="1" applyFont="1" applyFill="1" applyBorder="1" applyAlignment="1" applyProtection="1"/>
    <xf numFmtId="0" fontId="4" fillId="0" borderId="0" xfId="10" applyFont="1" applyFill="1" applyAlignment="1" applyProtection="1">
      <alignment horizontal="center"/>
    </xf>
    <xf numFmtId="0" fontId="4" fillId="0" borderId="0" xfId="10" quotePrefix="1" applyFont="1" applyFill="1" applyBorder="1" applyAlignment="1" applyProtection="1">
      <alignment horizontal="center"/>
    </xf>
    <xf numFmtId="3" fontId="137" fillId="2" borderId="0" xfId="0" applyNumberFormat="1" applyFont="1" applyFill="1" applyBorder="1" applyAlignment="1" applyProtection="1">
      <alignment horizontal="left"/>
      <protection locked="0"/>
    </xf>
    <xf numFmtId="165" fontId="3" fillId="23" borderId="51" xfId="0" applyNumberFormat="1" applyFont="1" applyFill="1" applyBorder="1" applyProtection="1"/>
    <xf numFmtId="165" fontId="3" fillId="23" borderId="58" xfId="0" applyNumberFormat="1" applyFont="1" applyFill="1" applyBorder="1" applyProtection="1"/>
    <xf numFmtId="3" fontId="14" fillId="2" borderId="237" xfId="0" applyNumberFormat="1" applyFont="1" applyFill="1" applyBorder="1" applyAlignment="1" applyProtection="1">
      <alignment horizontal="right"/>
    </xf>
    <xf numFmtId="3" fontId="14" fillId="23" borderId="26" xfId="0" applyNumberFormat="1" applyFont="1" applyFill="1" applyBorder="1" applyAlignment="1" applyProtection="1">
      <alignment horizontal="right"/>
      <protection locked="0"/>
    </xf>
    <xf numFmtId="49" fontId="9" fillId="23" borderId="168" xfId="0" applyNumberFormat="1" applyFont="1" applyFill="1" applyBorder="1" applyAlignment="1" applyProtection="1">
      <alignment horizontal="center"/>
    </xf>
    <xf numFmtId="49" fontId="4" fillId="23" borderId="135" xfId="0" applyNumberFormat="1" applyFont="1" applyFill="1" applyBorder="1" applyAlignment="1" applyProtection="1">
      <alignment horizontal="center" wrapText="1"/>
    </xf>
    <xf numFmtId="49" fontId="9" fillId="23" borderId="135" xfId="0" applyNumberFormat="1" applyFont="1" applyFill="1" applyBorder="1" applyAlignment="1" applyProtection="1">
      <alignment horizontal="left"/>
    </xf>
    <xf numFmtId="49" fontId="9" fillId="23" borderId="4" xfId="0" applyNumberFormat="1" applyFont="1" applyFill="1" applyBorder="1" applyAlignment="1" applyProtection="1">
      <alignment horizontal="center"/>
    </xf>
    <xf numFmtId="49" fontId="9" fillId="0" borderId="209" xfId="0" applyNumberFormat="1" applyFont="1" applyFill="1" applyBorder="1" applyAlignment="1" applyProtection="1">
      <alignment horizontal="left"/>
    </xf>
    <xf numFmtId="3" fontId="137" fillId="0" borderId="0" xfId="0" applyNumberFormat="1" applyFont="1" applyFill="1" applyBorder="1" applyProtection="1">
      <protection locked="0"/>
    </xf>
    <xf numFmtId="3" fontId="3" fillId="2" borderId="211" xfId="0" applyNumberFormat="1" applyFont="1" applyFill="1" applyBorder="1" applyAlignment="1" applyProtection="1">
      <alignment horizontal="right"/>
      <protection locked="0"/>
    </xf>
    <xf numFmtId="3" fontId="3" fillId="0" borderId="211" xfId="0" applyNumberFormat="1" applyFont="1" applyFill="1" applyBorder="1" applyProtection="1">
      <protection locked="0"/>
    </xf>
    <xf numFmtId="3" fontId="3" fillId="23" borderId="57" xfId="0" applyNumberFormat="1" applyFont="1" applyFill="1" applyBorder="1" applyAlignment="1" applyProtection="1">
      <alignment horizontal="right"/>
      <protection locked="0"/>
    </xf>
    <xf numFmtId="3" fontId="3" fillId="23" borderId="56" xfId="0" applyNumberFormat="1" applyFont="1" applyFill="1" applyBorder="1" applyAlignment="1" applyProtection="1">
      <alignment horizontal="right"/>
      <protection locked="0"/>
    </xf>
    <xf numFmtId="0" fontId="38" fillId="0" borderId="0" xfId="0" applyFont="1" applyFill="1" applyAlignment="1" applyProtection="1">
      <alignment vertical="top"/>
    </xf>
    <xf numFmtId="0" fontId="137" fillId="0" borderId="0" xfId="0" applyFont="1" applyFill="1" applyBorder="1" applyAlignment="1" applyProtection="1"/>
    <xf numFmtId="0" fontId="0" fillId="0" borderId="0" xfId="0" applyBorder="1" applyAlignment="1">
      <alignment vertical="top" wrapText="1"/>
    </xf>
    <xf numFmtId="0" fontId="0" fillId="0" borderId="0" xfId="0" applyAlignment="1">
      <alignment vertical="top" wrapText="1"/>
    </xf>
    <xf numFmtId="20" fontId="97" fillId="0" borderId="0" xfId="10" quotePrefix="1" applyNumberFormat="1" applyFont="1" applyFill="1" applyBorder="1" applyProtection="1"/>
    <xf numFmtId="3" fontId="49" fillId="24" borderId="126" xfId="0" applyNumberFormat="1" applyFont="1" applyFill="1" applyBorder="1" applyAlignment="1" applyProtection="1"/>
    <xf numFmtId="3" fontId="49" fillId="24" borderId="59" xfId="0" applyNumberFormat="1" applyFont="1" applyFill="1" applyBorder="1" applyAlignment="1" applyProtection="1"/>
    <xf numFmtId="0" fontId="137" fillId="0" borderId="0" xfId="0" applyNumberFormat="1" applyFont="1" applyFill="1" applyBorder="1" applyAlignment="1" applyProtection="1">
      <alignment vertical="top" wrapText="1"/>
    </xf>
    <xf numFmtId="0" fontId="137" fillId="0" borderId="0" xfId="0" applyNumberFormat="1" applyFont="1" applyFill="1" applyBorder="1" applyAlignment="1" applyProtection="1">
      <alignment wrapText="1"/>
    </xf>
    <xf numFmtId="3" fontId="11" fillId="0" borderId="7" xfId="0" applyNumberFormat="1" applyFont="1" applyFill="1" applyBorder="1" applyAlignment="1" applyProtection="1">
      <alignment horizontal="right"/>
      <protection locked="0"/>
    </xf>
    <xf numFmtId="0" fontId="171" fillId="0" borderId="0" xfId="0" applyFont="1" applyFill="1" applyBorder="1" applyProtection="1"/>
    <xf numFmtId="3" fontId="137" fillId="0" borderId="0" xfId="0" applyNumberFormat="1" applyFont="1" applyFill="1" applyBorder="1" applyAlignment="1" applyProtection="1">
      <alignment horizontal="left" vertical="top" wrapText="1"/>
    </xf>
    <xf numFmtId="0" fontId="4" fillId="23" borderId="37" xfId="0" applyFont="1" applyFill="1" applyBorder="1" applyAlignment="1" applyProtection="1">
      <alignment horizontal="center"/>
    </xf>
    <xf numFmtId="0" fontId="9" fillId="23" borderId="243" xfId="0" applyFont="1" applyFill="1" applyBorder="1" applyAlignment="1" applyProtection="1">
      <alignment horizontal="center"/>
    </xf>
    <xf numFmtId="0" fontId="4" fillId="23" borderId="134" xfId="0" applyFont="1" applyFill="1" applyBorder="1" applyAlignment="1" applyProtection="1">
      <alignment horizontal="left" vertical="top" wrapText="1"/>
    </xf>
    <xf numFmtId="0" fontId="4" fillId="23" borderId="129" xfId="0" applyFont="1" applyFill="1" applyBorder="1" applyAlignment="1" applyProtection="1">
      <alignment horizontal="left" vertical="top" wrapText="1"/>
    </xf>
    <xf numFmtId="0" fontId="4" fillId="23" borderId="167" xfId="6" applyFont="1" applyFill="1" applyBorder="1" applyAlignment="1" applyProtection="1">
      <alignment vertical="top" wrapText="1"/>
    </xf>
    <xf numFmtId="3" fontId="4" fillId="23" borderId="193" xfId="0" applyNumberFormat="1" applyFont="1" applyFill="1" applyBorder="1" applyAlignment="1" applyProtection="1">
      <alignment vertical="top" wrapText="1"/>
    </xf>
    <xf numFmtId="0" fontId="0" fillId="0" borderId="0" xfId="0" applyFill="1" applyBorder="1" applyAlignment="1"/>
    <xf numFmtId="3" fontId="3" fillId="2" borderId="0" xfId="0" applyNumberFormat="1" applyFont="1" applyFill="1" applyBorder="1" applyProtection="1">
      <protection locked="0"/>
    </xf>
    <xf numFmtId="49" fontId="4" fillId="32" borderId="0" xfId="0" applyNumberFormat="1" applyFont="1" applyFill="1" applyBorder="1" applyAlignment="1" applyProtection="1">
      <alignment horizontal="center"/>
    </xf>
    <xf numFmtId="0" fontId="6" fillId="32" borderId="0" xfId="0" applyFont="1" applyFill="1" applyBorder="1" applyAlignment="1" applyProtection="1">
      <alignment horizontal="left"/>
    </xf>
    <xf numFmtId="49" fontId="4" fillId="23" borderId="114" xfId="0" applyNumberFormat="1" applyFont="1" applyFill="1" applyBorder="1" applyAlignment="1" applyProtection="1">
      <alignment horizontal="center"/>
    </xf>
    <xf numFmtId="3" fontId="3" fillId="3" borderId="154" xfId="0" applyNumberFormat="1" applyFont="1" applyFill="1" applyBorder="1" applyProtection="1"/>
    <xf numFmtId="49" fontId="4" fillId="23" borderId="15" xfId="0" applyNumberFormat="1" applyFont="1" applyFill="1" applyBorder="1" applyAlignment="1" applyProtection="1">
      <alignment horizontal="center"/>
    </xf>
    <xf numFmtId="165" fontId="4" fillId="23" borderId="15" xfId="0" applyNumberFormat="1" applyFont="1" applyFill="1" applyBorder="1" applyAlignment="1" applyProtection="1">
      <alignment horizontal="left"/>
    </xf>
    <xf numFmtId="49" fontId="4" fillId="23" borderId="67" xfId="0" applyNumberFormat="1" applyFont="1" applyFill="1" applyBorder="1" applyAlignment="1" applyProtection="1">
      <alignment horizontal="center"/>
    </xf>
    <xf numFmtId="3" fontId="3" fillId="2" borderId="190" xfId="0" applyNumberFormat="1" applyFont="1" applyFill="1" applyBorder="1" applyAlignment="1" applyProtection="1">
      <alignment horizontal="right"/>
      <protection locked="0"/>
    </xf>
    <xf numFmtId="3" fontId="3" fillId="2" borderId="94" xfId="0" applyNumberFormat="1" applyFont="1" applyFill="1" applyBorder="1" applyAlignment="1" applyProtection="1">
      <alignment horizontal="right"/>
      <protection locked="0"/>
    </xf>
    <xf numFmtId="0" fontId="38" fillId="0" borderId="157" xfId="0" applyFont="1" applyFill="1" applyBorder="1" applyProtection="1"/>
    <xf numFmtId="49" fontId="6" fillId="23" borderId="67" xfId="0" applyNumberFormat="1" applyFont="1" applyFill="1" applyBorder="1" applyAlignment="1" applyProtection="1">
      <alignment horizontal="center"/>
    </xf>
    <xf numFmtId="0" fontId="4" fillId="23" borderId="127" xfId="0" applyFont="1" applyFill="1" applyBorder="1" applyAlignment="1" applyProtection="1">
      <alignment horizontal="left"/>
    </xf>
    <xf numFmtId="0" fontId="10" fillId="2" borderId="237" xfId="0" applyFont="1" applyFill="1" applyBorder="1" applyProtection="1"/>
    <xf numFmtId="1" fontId="4" fillId="23" borderId="67" xfId="0" applyNumberFormat="1" applyFont="1" applyFill="1" applyBorder="1" applyAlignment="1" applyProtection="1">
      <alignment horizontal="center"/>
    </xf>
    <xf numFmtId="0" fontId="0" fillId="0" borderId="237" xfId="0" applyFill="1" applyBorder="1" applyProtection="1"/>
    <xf numFmtId="0" fontId="0" fillId="2" borderId="209" xfId="0" applyFill="1" applyBorder="1" applyProtection="1"/>
    <xf numFmtId="0" fontId="10" fillId="2" borderId="209" xfId="0" applyFont="1" applyFill="1" applyBorder="1" applyProtection="1"/>
    <xf numFmtId="3" fontId="14" fillId="2" borderId="165" xfId="0" applyNumberFormat="1" applyFont="1" applyFill="1" applyBorder="1" applyAlignment="1" applyProtection="1">
      <alignment horizontal="right"/>
      <protection locked="0"/>
    </xf>
    <xf numFmtId="3" fontId="3" fillId="2" borderId="70" xfId="0" applyNumberFormat="1" applyFont="1" applyFill="1" applyBorder="1" applyAlignment="1" applyProtection="1">
      <alignment horizontal="right"/>
      <protection locked="0"/>
    </xf>
    <xf numFmtId="3" fontId="49" fillId="0" borderId="57" xfId="0" applyNumberFormat="1" applyFont="1" applyFill="1" applyBorder="1" applyProtection="1"/>
    <xf numFmtId="3" fontId="49" fillId="23" borderId="68" xfId="0" applyNumberFormat="1" applyFont="1" applyFill="1" applyBorder="1" applyProtection="1"/>
    <xf numFmtId="3" fontId="49" fillId="24" borderId="86" xfId="0" applyNumberFormat="1" applyFont="1" applyFill="1" applyBorder="1" applyProtection="1"/>
    <xf numFmtId="3" fontId="49" fillId="23" borderId="18" xfId="0" applyNumberFormat="1" applyFont="1" applyFill="1" applyBorder="1" applyProtection="1"/>
    <xf numFmtId="3" fontId="3" fillId="32" borderId="60" xfId="0" applyNumberFormat="1" applyFont="1" applyFill="1" applyBorder="1" applyAlignment="1" applyProtection="1">
      <alignment horizontal="right"/>
      <protection locked="0"/>
    </xf>
    <xf numFmtId="49" fontId="4" fillId="23" borderId="132" xfId="0" applyNumberFormat="1" applyFont="1" applyFill="1" applyBorder="1" applyAlignment="1" applyProtection="1">
      <alignment horizontal="center" wrapText="1"/>
    </xf>
    <xf numFmtId="49" fontId="4" fillId="23" borderId="211" xfId="0" applyNumberFormat="1" applyFont="1" applyFill="1" applyBorder="1" applyAlignment="1" applyProtection="1">
      <alignment horizontal="left"/>
    </xf>
    <xf numFmtId="3" fontId="3" fillId="2" borderId="131" xfId="0" applyNumberFormat="1" applyFont="1" applyFill="1" applyBorder="1" applyAlignment="1" applyProtection="1">
      <alignment horizontal="right"/>
      <protection locked="0"/>
    </xf>
    <xf numFmtId="49" fontId="4" fillId="23" borderId="244" xfId="0" applyNumberFormat="1" applyFont="1" applyFill="1" applyBorder="1" applyAlignment="1" applyProtection="1">
      <alignment horizontal="center"/>
    </xf>
    <xf numFmtId="3" fontId="3" fillId="32" borderId="84" xfId="0" applyNumberFormat="1" applyFont="1" applyFill="1" applyBorder="1" applyProtection="1">
      <protection locked="0"/>
    </xf>
    <xf numFmtId="3" fontId="38" fillId="23" borderId="55" xfId="0" applyNumberFormat="1" applyFont="1" applyFill="1" applyBorder="1" applyAlignment="1" applyProtection="1"/>
    <xf numFmtId="3" fontId="137" fillId="23" borderId="55" xfId="0" applyNumberFormat="1" applyFont="1" applyFill="1" applyBorder="1" applyAlignment="1" applyProtection="1">
      <alignment vertical="center"/>
    </xf>
    <xf numFmtId="0" fontId="4" fillId="23" borderId="7" xfId="0" applyFont="1" applyFill="1" applyBorder="1" applyAlignment="1" applyProtection="1">
      <alignment horizontal="center"/>
    </xf>
    <xf numFmtId="49" fontId="4" fillId="23" borderId="27" xfId="0" applyNumberFormat="1" applyFont="1" applyFill="1" applyBorder="1" applyAlignment="1" applyProtection="1">
      <alignment horizontal="center"/>
    </xf>
    <xf numFmtId="49" fontId="4" fillId="23" borderId="245" xfId="0" applyNumberFormat="1" applyFont="1" applyFill="1" applyBorder="1" applyAlignment="1" applyProtection="1">
      <alignment horizontal="left"/>
    </xf>
    <xf numFmtId="49" fontId="4" fillId="23" borderId="155" xfId="0" applyNumberFormat="1" applyFont="1" applyFill="1" applyBorder="1" applyAlignment="1" applyProtection="1">
      <alignment horizontal="center" wrapText="1"/>
    </xf>
    <xf numFmtId="0" fontId="4" fillId="23" borderId="8" xfId="0" applyFont="1" applyFill="1" applyBorder="1" applyAlignment="1" applyProtection="1">
      <alignment horizontal="left" wrapText="1"/>
    </xf>
    <xf numFmtId="1" fontId="4" fillId="23" borderId="69" xfId="0" applyNumberFormat="1" applyFont="1" applyFill="1" applyBorder="1" applyAlignment="1" applyProtection="1">
      <alignment horizontal="center"/>
    </xf>
    <xf numFmtId="0" fontId="4" fillId="23" borderId="67" xfId="0" applyFont="1" applyFill="1" applyBorder="1" applyAlignment="1" applyProtection="1">
      <alignment horizontal="left"/>
    </xf>
    <xf numFmtId="1" fontId="4" fillId="23" borderId="132" xfId="0" applyNumberFormat="1" applyFont="1" applyFill="1" applyBorder="1" applyAlignment="1" applyProtection="1">
      <alignment horizontal="center"/>
    </xf>
    <xf numFmtId="0" fontId="4" fillId="23" borderId="83" xfId="0" applyFont="1" applyFill="1" applyBorder="1" applyProtection="1"/>
    <xf numFmtId="1" fontId="9" fillId="23" borderId="69" xfId="0" applyNumberFormat="1" applyFont="1" applyFill="1" applyBorder="1" applyAlignment="1" applyProtection="1">
      <alignment horizontal="center"/>
    </xf>
    <xf numFmtId="0" fontId="4" fillId="23" borderId="68" xfId="0" applyFont="1" applyFill="1" applyBorder="1" applyAlignment="1" applyProtection="1">
      <alignment horizontal="left" vertical="top" wrapText="1"/>
    </xf>
    <xf numFmtId="0" fontId="79" fillId="10" borderId="0" xfId="0" applyFont="1" applyFill="1" applyBorder="1" applyAlignment="1">
      <alignment wrapText="1"/>
    </xf>
    <xf numFmtId="0" fontId="70" fillId="10" borderId="0" xfId="0" applyFont="1" applyFill="1" applyBorder="1" applyAlignment="1">
      <alignment wrapText="1"/>
    </xf>
    <xf numFmtId="0" fontId="3" fillId="10" borderId="27" xfId="0" applyFont="1" applyFill="1" applyBorder="1"/>
    <xf numFmtId="0" fontId="3" fillId="10" borderId="0" xfId="0" applyFont="1" applyFill="1" applyBorder="1"/>
    <xf numFmtId="0" fontId="3" fillId="10" borderId="0" xfId="0" applyFont="1" applyFill="1" applyBorder="1" applyAlignment="1">
      <alignment wrapText="1"/>
    </xf>
    <xf numFmtId="49" fontId="3" fillId="10" borderId="0" xfId="0" applyNumberFormat="1" applyFont="1" applyFill="1" applyBorder="1"/>
    <xf numFmtId="49" fontId="3" fillId="10" borderId="0" xfId="0" applyNumberFormat="1" applyFont="1" applyFill="1" applyBorder="1" applyProtection="1"/>
    <xf numFmtId="0" fontId="74" fillId="10" borderId="0" xfId="0" applyFont="1" applyFill="1" applyBorder="1" applyAlignment="1">
      <alignment wrapText="1"/>
    </xf>
    <xf numFmtId="0" fontId="74" fillId="10" borderId="27" xfId="0" applyFont="1" applyFill="1" applyBorder="1" applyAlignment="1"/>
    <xf numFmtId="0" fontId="81" fillId="10" borderId="0" xfId="5" applyFill="1" applyBorder="1" applyAlignment="1" applyProtection="1"/>
    <xf numFmtId="0" fontId="56" fillId="10" borderId="0" xfId="5" applyFont="1" applyFill="1" applyBorder="1" applyAlignment="1" applyProtection="1"/>
    <xf numFmtId="3" fontId="3" fillId="23" borderId="20" xfId="0" applyNumberFormat="1" applyFont="1" applyFill="1" applyBorder="1" applyAlignment="1" applyProtection="1">
      <alignment horizontal="right"/>
    </xf>
    <xf numFmtId="0" fontId="4" fillId="23" borderId="24" xfId="0" applyFont="1" applyFill="1" applyBorder="1" applyAlignment="1" applyProtection="1">
      <alignment vertical="top"/>
    </xf>
    <xf numFmtId="3" fontId="4" fillId="23" borderId="25" xfId="0" applyNumberFormat="1" applyFont="1" applyFill="1" applyBorder="1" applyAlignment="1" applyProtection="1">
      <alignment vertical="top"/>
    </xf>
    <xf numFmtId="0" fontId="174" fillId="2" borderId="0" xfId="0" applyFont="1" applyFill="1" applyProtection="1"/>
    <xf numFmtId="0" fontId="6" fillId="23" borderId="9" xfId="6" applyFont="1" applyFill="1" applyBorder="1" applyAlignment="1" applyProtection="1">
      <alignment vertical="top" wrapText="1"/>
    </xf>
    <xf numFmtId="0" fontId="6" fillId="23" borderId="9" xfId="0" applyFont="1" applyFill="1" applyBorder="1" applyAlignment="1" applyProtection="1">
      <alignment vertical="top" wrapText="1"/>
    </xf>
    <xf numFmtId="3" fontId="45" fillId="23" borderId="52" xfId="0" applyNumberFormat="1" applyFont="1" applyFill="1" applyBorder="1" applyAlignment="1" applyProtection="1">
      <alignment horizontal="left"/>
    </xf>
    <xf numFmtId="1" fontId="3" fillId="23" borderId="15" xfId="0" applyNumberFormat="1" applyFont="1" applyFill="1" applyBorder="1" applyAlignment="1" applyProtection="1">
      <alignment horizontal="left" wrapText="1"/>
    </xf>
    <xf numFmtId="49" fontId="4" fillId="23" borderId="63" xfId="0" applyNumberFormat="1" applyFont="1" applyFill="1" applyBorder="1" applyAlignment="1" applyProtection="1">
      <alignment horizontal="left"/>
    </xf>
    <xf numFmtId="0" fontId="4" fillId="23" borderId="9" xfId="0" applyFont="1" applyFill="1" applyBorder="1" applyAlignment="1" applyProtection="1">
      <alignment horizontal="center" wrapText="1"/>
    </xf>
    <xf numFmtId="1" fontId="4" fillId="23" borderId="69" xfId="0" applyNumberFormat="1" applyFont="1" applyFill="1" applyBorder="1" applyAlignment="1" applyProtection="1">
      <alignment horizontal="left"/>
    </xf>
    <xf numFmtId="0" fontId="119" fillId="23" borderId="25" xfId="0" applyFont="1" applyFill="1" applyBorder="1" applyProtection="1"/>
    <xf numFmtId="3" fontId="4" fillId="23" borderId="59" xfId="0" applyNumberFormat="1" applyFont="1" applyFill="1" applyBorder="1" applyAlignment="1" applyProtection="1">
      <alignment horizontal="left" vertical="top" wrapText="1"/>
    </xf>
    <xf numFmtId="3" fontId="4" fillId="23" borderId="26" xfId="0" applyNumberFormat="1" applyFont="1" applyFill="1" applyBorder="1" applyAlignment="1" applyProtection="1">
      <alignment horizontal="left" vertical="top" wrapText="1"/>
    </xf>
    <xf numFmtId="3" fontId="4" fillId="23" borderId="54" xfId="0" applyNumberFormat="1" applyFont="1" applyFill="1" applyBorder="1" applyAlignment="1" applyProtection="1"/>
    <xf numFmtId="3" fontId="4" fillId="23" borderId="12" xfId="0" applyNumberFormat="1" applyFont="1" applyFill="1" applyBorder="1" applyAlignment="1" applyProtection="1"/>
    <xf numFmtId="3" fontId="3" fillId="0" borderId="12" xfId="0" applyNumberFormat="1" applyFont="1" applyFill="1" applyBorder="1" applyAlignment="1" applyProtection="1">
      <alignment horizontal="right"/>
      <protection locked="0"/>
    </xf>
    <xf numFmtId="3" fontId="3" fillId="23" borderId="19" xfId="0" applyNumberFormat="1" applyFont="1" applyFill="1" applyBorder="1" applyProtection="1"/>
    <xf numFmtId="3" fontId="14" fillId="0" borderId="245" xfId="0" applyNumberFormat="1" applyFont="1" applyFill="1" applyBorder="1" applyAlignment="1" applyProtection="1">
      <alignment horizontal="right"/>
      <protection locked="0"/>
    </xf>
    <xf numFmtId="3" fontId="6" fillId="23" borderId="94" xfId="0" applyNumberFormat="1" applyFont="1" applyFill="1" applyBorder="1" applyAlignment="1" applyProtection="1">
      <alignment wrapText="1"/>
    </xf>
    <xf numFmtId="166" fontId="25" fillId="10" borderId="27" xfId="0" applyNumberFormat="1" applyFont="1" applyFill="1" applyBorder="1" applyProtection="1"/>
    <xf numFmtId="3" fontId="3" fillId="32" borderId="0" xfId="0" applyNumberFormat="1" applyFont="1" applyFill="1" applyBorder="1" applyAlignment="1" applyProtection="1">
      <alignment horizontal="right"/>
    </xf>
    <xf numFmtId="3" fontId="3" fillId="2" borderId="237" xfId="0" applyNumberFormat="1" applyFont="1" applyFill="1" applyBorder="1" applyAlignment="1" applyProtection="1">
      <alignment horizontal="right"/>
      <protection locked="0"/>
    </xf>
    <xf numFmtId="0" fontId="4" fillId="23" borderId="195" xfId="0" applyNumberFormat="1" applyFont="1" applyFill="1" applyBorder="1" applyAlignment="1" applyProtection="1">
      <alignment horizontal="center" vertical="top" wrapText="1"/>
    </xf>
    <xf numFmtId="0" fontId="175" fillId="0" borderId="0" xfId="0" applyFont="1" applyFill="1" applyBorder="1" applyProtection="1"/>
    <xf numFmtId="0" fontId="6" fillId="23" borderId="65" xfId="0" applyFont="1" applyFill="1" applyBorder="1" applyAlignment="1" applyProtection="1">
      <alignment horizontal="left"/>
    </xf>
    <xf numFmtId="43" fontId="39" fillId="23" borderId="0" xfId="18" applyFont="1" applyFill="1" applyBorder="1" applyAlignment="1" applyProtection="1"/>
    <xf numFmtId="3" fontId="137" fillId="5" borderId="0" xfId="0" applyNumberFormat="1" applyFont="1" applyFill="1" applyBorder="1" applyProtection="1"/>
    <xf numFmtId="3" fontId="3" fillId="8" borderId="2" xfId="6" applyNumberFormat="1" applyFont="1" applyFill="1" applyBorder="1" applyAlignment="1">
      <alignment horizontal="right"/>
    </xf>
    <xf numFmtId="3" fontId="3" fillId="23" borderId="5" xfId="6" applyNumberFormat="1" applyFont="1" applyFill="1" applyBorder="1" applyAlignment="1">
      <alignment horizontal="right"/>
    </xf>
    <xf numFmtId="0" fontId="177" fillId="23" borderId="84" xfId="0" applyFont="1" applyFill="1" applyBorder="1" applyAlignment="1" applyProtection="1">
      <alignment horizontal="left"/>
    </xf>
    <xf numFmtId="0" fontId="4" fillId="23" borderId="25" xfId="0" applyFont="1" applyFill="1" applyBorder="1" applyAlignment="1" applyProtection="1">
      <alignment horizontal="left"/>
    </xf>
    <xf numFmtId="0" fontId="6" fillId="23" borderId="13" xfId="0" applyNumberFormat="1" applyFont="1" applyFill="1" applyBorder="1" applyAlignment="1" applyProtection="1">
      <alignment horizontal="center"/>
    </xf>
    <xf numFmtId="1" fontId="5" fillId="23" borderId="117" xfId="0" applyNumberFormat="1" applyFont="1" applyFill="1" applyBorder="1" applyAlignment="1" applyProtection="1">
      <alignment horizontal="center"/>
    </xf>
    <xf numFmtId="49" fontId="4" fillId="23" borderId="203" xfId="0" applyNumberFormat="1" applyFont="1" applyFill="1" applyBorder="1" applyAlignment="1" applyProtection="1">
      <alignment horizontal="left"/>
    </xf>
    <xf numFmtId="49" fontId="4" fillId="23" borderId="195" xfId="0" applyNumberFormat="1" applyFont="1" applyFill="1" applyBorder="1" applyAlignment="1" applyProtection="1">
      <alignment horizontal="left"/>
    </xf>
    <xf numFmtId="49" fontId="4" fillId="23" borderId="217" xfId="0" applyNumberFormat="1" applyFont="1" applyFill="1" applyBorder="1" applyAlignment="1" applyProtection="1">
      <alignment horizontal="center"/>
    </xf>
    <xf numFmtId="0" fontId="6" fillId="23" borderId="207" xfId="0" applyFont="1" applyFill="1" applyBorder="1" applyAlignment="1" applyProtection="1">
      <alignment horizontal="left"/>
    </xf>
    <xf numFmtId="0" fontId="6" fillId="23" borderId="155" xfId="0" applyFont="1" applyFill="1" applyBorder="1" applyAlignment="1" applyProtection="1">
      <alignment horizontal="center"/>
    </xf>
    <xf numFmtId="0" fontId="6" fillId="23" borderId="13" xfId="0" applyFont="1" applyFill="1" applyBorder="1" applyAlignment="1" applyProtection="1">
      <alignment horizontal="center"/>
    </xf>
    <xf numFmtId="0" fontId="6" fillId="23" borderId="9" xfId="0" applyFont="1" applyFill="1" applyBorder="1" applyAlignment="1" applyProtection="1">
      <alignment horizontal="left" wrapText="1"/>
    </xf>
    <xf numFmtId="0" fontId="5" fillId="23" borderId="117" xfId="0" applyFont="1" applyFill="1" applyBorder="1" applyAlignment="1" applyProtection="1">
      <alignment horizontal="center"/>
    </xf>
    <xf numFmtId="0" fontId="6" fillId="23" borderId="202" xfId="0" applyFont="1" applyFill="1" applyBorder="1" applyProtection="1"/>
    <xf numFmtId="1" fontId="4" fillId="23" borderId="35" xfId="0" applyNumberFormat="1" applyFont="1" applyFill="1" applyBorder="1" applyAlignment="1" applyProtection="1">
      <alignment horizontal="center"/>
    </xf>
    <xf numFmtId="0" fontId="4" fillId="23" borderId="247" xfId="0" applyFont="1" applyFill="1" applyBorder="1" applyAlignment="1" applyProtection="1">
      <alignment horizontal="left" wrapText="1"/>
    </xf>
    <xf numFmtId="0" fontId="6" fillId="23" borderId="141" xfId="0" applyFont="1" applyFill="1" applyBorder="1" applyAlignment="1" applyProtection="1">
      <alignment horizontal="left"/>
    </xf>
    <xf numFmtId="0" fontId="4" fillId="23" borderId="41" xfId="0" applyFont="1" applyFill="1" applyBorder="1" applyAlignment="1" applyProtection="1">
      <alignment horizontal="left"/>
    </xf>
    <xf numFmtId="0" fontId="6" fillId="23" borderId="135" xfId="0" applyFont="1" applyFill="1" applyBorder="1" applyProtection="1"/>
    <xf numFmtId="3" fontId="4" fillId="23" borderId="71" xfId="0" applyNumberFormat="1" applyFont="1" applyFill="1" applyBorder="1" applyProtection="1"/>
    <xf numFmtId="3" fontId="4" fillId="23" borderId="24" xfId="0" applyNumberFormat="1" applyFont="1" applyFill="1" applyBorder="1" applyAlignment="1" applyProtection="1">
      <alignment vertical="top" wrapText="1"/>
    </xf>
    <xf numFmtId="3" fontId="9" fillId="23" borderId="154" xfId="0" applyNumberFormat="1" applyFont="1" applyFill="1" applyBorder="1" applyProtection="1"/>
    <xf numFmtId="3" fontId="4" fillId="23" borderId="25" xfId="0" applyNumberFormat="1" applyFont="1" applyFill="1" applyBorder="1" applyAlignment="1" applyProtection="1">
      <alignment vertical="top" wrapText="1"/>
    </xf>
    <xf numFmtId="3" fontId="6" fillId="23" borderId="71" xfId="0" applyNumberFormat="1" applyFont="1" applyFill="1" applyBorder="1" applyAlignment="1" applyProtection="1">
      <alignment vertical="top" wrapText="1"/>
    </xf>
    <xf numFmtId="0" fontId="12" fillId="23" borderId="128" xfId="0" applyFont="1" applyFill="1" applyBorder="1" applyProtection="1"/>
    <xf numFmtId="3" fontId="6" fillId="23" borderId="180" xfId="0" applyNumberFormat="1" applyFont="1" applyFill="1" applyBorder="1" applyProtection="1"/>
    <xf numFmtId="0" fontId="5" fillId="23" borderId="71" xfId="0" applyFont="1" applyFill="1" applyBorder="1" applyAlignment="1" applyProtection="1">
      <alignment horizontal="center" vertical="center"/>
    </xf>
    <xf numFmtId="0" fontId="5" fillId="23" borderId="93" xfId="0" applyFont="1" applyFill="1" applyBorder="1" applyAlignment="1" applyProtection="1">
      <alignment horizontal="center" vertical="center" wrapText="1"/>
    </xf>
    <xf numFmtId="0" fontId="137" fillId="23" borderId="199" xfId="0" applyFont="1" applyFill="1" applyBorder="1" applyAlignment="1" applyProtection="1">
      <alignment horizontal="left"/>
    </xf>
    <xf numFmtId="0" fontId="137" fillId="23" borderId="26" xfId="0" applyFont="1" applyFill="1" applyBorder="1" applyAlignment="1" applyProtection="1">
      <alignment horizontal="left"/>
    </xf>
    <xf numFmtId="0" fontId="137" fillId="23" borderId="19" xfId="0" applyFont="1" applyFill="1" applyBorder="1" applyAlignment="1" applyProtection="1">
      <alignment horizontal="right"/>
    </xf>
    <xf numFmtId="0" fontId="6" fillId="23" borderId="118" xfId="0" applyFont="1" applyFill="1" applyBorder="1" applyAlignment="1" applyProtection="1">
      <alignment horizontal="center" vertical="top"/>
    </xf>
    <xf numFmtId="0" fontId="6" fillId="23" borderId="156" xfId="0" applyFont="1" applyFill="1" applyBorder="1" applyAlignment="1" applyProtection="1">
      <alignment horizontal="center" vertical="top" wrapText="1"/>
    </xf>
    <xf numFmtId="0" fontId="4" fillId="23" borderId="46" xfId="0" applyFont="1" applyFill="1" applyBorder="1" applyAlignment="1" applyProtection="1">
      <alignment horizontal="left" vertical="top" wrapText="1"/>
    </xf>
    <xf numFmtId="0" fontId="119" fillId="23" borderId="5" xfId="0" applyFont="1" applyFill="1" applyBorder="1" applyProtection="1"/>
    <xf numFmtId="3" fontId="25" fillId="0" borderId="0" xfId="0" applyNumberFormat="1" applyFont="1"/>
    <xf numFmtId="0" fontId="137" fillId="23" borderId="0" xfId="0" applyFont="1" applyFill="1" applyBorder="1" applyProtection="1"/>
    <xf numFmtId="0" fontId="137" fillId="23" borderId="27" xfId="0" applyFont="1" applyFill="1" applyBorder="1" applyProtection="1"/>
    <xf numFmtId="0" fontId="137" fillId="23" borderId="57" xfId="0" applyFont="1" applyFill="1" applyBorder="1" applyProtection="1"/>
    <xf numFmtId="0" fontId="137" fillId="23" borderId="27" xfId="0" applyFont="1" applyFill="1" applyBorder="1" applyAlignment="1" applyProtection="1"/>
    <xf numFmtId="0" fontId="137" fillId="23" borderId="0" xfId="0" applyFont="1" applyFill="1" applyAlignment="1">
      <alignment wrapText="1"/>
    </xf>
    <xf numFmtId="0" fontId="178" fillId="23" borderId="0" xfId="0" applyFont="1" applyFill="1" applyAlignment="1">
      <alignment wrapText="1"/>
    </xf>
    <xf numFmtId="0" fontId="38" fillId="23" borderId="0" xfId="0" applyFont="1" applyFill="1" applyAlignment="1">
      <alignment wrapText="1"/>
    </xf>
    <xf numFmtId="3" fontId="38" fillId="0" borderId="27" xfId="0" applyNumberFormat="1" applyFont="1" applyFill="1" applyBorder="1" applyAlignment="1" applyProtection="1">
      <alignment wrapText="1"/>
    </xf>
    <xf numFmtId="0" fontId="4" fillId="23" borderId="0" xfId="0" applyFont="1" applyFill="1" applyAlignment="1">
      <alignment wrapText="1"/>
    </xf>
    <xf numFmtId="1" fontId="4" fillId="0" borderId="0" xfId="0" applyNumberFormat="1" applyFont="1" applyFill="1" applyBorder="1" applyAlignment="1" applyProtection="1">
      <alignment horizontal="center" wrapText="1"/>
    </xf>
    <xf numFmtId="3" fontId="4" fillId="0" borderId="121" xfId="0" applyNumberFormat="1" applyFont="1" applyFill="1" applyBorder="1" applyAlignment="1">
      <alignment horizontal="left" vertical="top" wrapText="1"/>
    </xf>
    <xf numFmtId="49" fontId="179" fillId="23" borderId="12" xfId="0" applyNumberFormat="1" applyFont="1" applyFill="1" applyBorder="1" applyProtection="1"/>
    <xf numFmtId="3" fontId="3" fillId="9" borderId="160" xfId="6" applyNumberFormat="1" applyFont="1" applyFill="1" applyBorder="1" applyProtection="1"/>
    <xf numFmtId="3" fontId="3" fillId="2" borderId="67" xfId="6" applyNumberFormat="1" applyFont="1" applyFill="1" applyBorder="1" applyAlignment="1" applyProtection="1">
      <alignment horizontal="right"/>
      <protection locked="0"/>
    </xf>
    <xf numFmtId="3" fontId="3" fillId="38" borderId="67" xfId="6" applyNumberFormat="1" applyFont="1" applyFill="1" applyBorder="1" applyAlignment="1" applyProtection="1">
      <alignment horizontal="right"/>
    </xf>
    <xf numFmtId="3" fontId="3" fillId="2" borderId="93" xfId="6" applyNumberFormat="1" applyFont="1" applyFill="1" applyBorder="1" applyAlignment="1" applyProtection="1">
      <alignment horizontal="right"/>
      <protection locked="0"/>
    </xf>
    <xf numFmtId="3" fontId="3" fillId="2" borderId="241" xfId="0" applyNumberFormat="1" applyFont="1" applyFill="1" applyBorder="1" applyAlignment="1" applyProtection="1">
      <alignment horizontal="right"/>
      <protection locked="0"/>
    </xf>
    <xf numFmtId="49" fontId="4" fillId="23" borderId="13" xfId="0" applyNumberFormat="1" applyFont="1" applyFill="1" applyBorder="1" applyAlignment="1" applyProtection="1">
      <alignment horizontal="center"/>
    </xf>
    <xf numFmtId="49" fontId="4" fillId="23" borderId="246" xfId="0" applyNumberFormat="1" applyFont="1" applyFill="1" applyBorder="1" applyAlignment="1" applyProtection="1">
      <alignment horizontal="left" vertical="center"/>
    </xf>
    <xf numFmtId="1" fontId="5" fillId="23" borderId="83" xfId="0" applyNumberFormat="1" applyFont="1" applyFill="1" applyBorder="1" applyAlignment="1" applyProtection="1">
      <alignment horizontal="center" vertical="center"/>
    </xf>
    <xf numFmtId="0" fontId="6" fillId="23" borderId="234" xfId="0" applyFont="1" applyFill="1" applyBorder="1" applyAlignment="1" applyProtection="1">
      <alignment horizontal="left" vertical="center"/>
    </xf>
    <xf numFmtId="3" fontId="6" fillId="23" borderId="206" xfId="0" applyNumberFormat="1" applyFont="1" applyFill="1" applyBorder="1" applyAlignment="1" applyProtection="1">
      <alignment vertical="center"/>
    </xf>
    <xf numFmtId="3" fontId="6" fillId="23" borderId="98" xfId="0" applyNumberFormat="1" applyFont="1" applyFill="1" applyBorder="1" applyAlignment="1" applyProtection="1">
      <alignment vertical="center"/>
    </xf>
    <xf numFmtId="0" fontId="138" fillId="23" borderId="0" xfId="0" applyFont="1" applyFill="1" applyBorder="1" applyProtection="1"/>
    <xf numFmtId="0" fontId="0" fillId="23" borderId="56" xfId="0" applyFill="1" applyBorder="1" applyAlignment="1">
      <alignment vertical="top" wrapText="1"/>
    </xf>
    <xf numFmtId="0" fontId="8" fillId="23" borderId="18" xfId="0" applyFont="1" applyFill="1" applyBorder="1" applyProtection="1"/>
    <xf numFmtId="0" fontId="4" fillId="23" borderId="55" xfId="0" applyFont="1" applyFill="1" applyBorder="1" applyAlignment="1">
      <alignment vertical="top" wrapText="1"/>
    </xf>
    <xf numFmtId="3" fontId="3" fillId="43" borderId="25" xfId="0" applyNumberFormat="1" applyFont="1" applyFill="1" applyBorder="1" applyAlignment="1" applyProtection="1">
      <alignment horizontal="right"/>
    </xf>
    <xf numFmtId="0" fontId="4" fillId="10" borderId="145" xfId="0" applyFont="1" applyFill="1" applyBorder="1" applyAlignment="1" applyProtection="1">
      <alignment horizontal="center"/>
    </xf>
    <xf numFmtId="0" fontId="4" fillId="10" borderId="24" xfId="0" applyFont="1" applyFill="1" applyBorder="1" applyAlignment="1" applyProtection="1">
      <alignment horizontal="center"/>
    </xf>
    <xf numFmtId="0" fontId="6" fillId="23" borderId="83" xfId="0" applyFont="1" applyFill="1" applyBorder="1" applyAlignment="1" applyProtection="1">
      <alignment horizontal="left"/>
    </xf>
    <xf numFmtId="3" fontId="3" fillId="2" borderId="18" xfId="0" applyNumberFormat="1" applyFont="1" applyFill="1" applyBorder="1" applyAlignment="1" applyProtection="1">
      <alignment horizontal="right"/>
      <protection locked="0"/>
    </xf>
    <xf numFmtId="3" fontId="3" fillId="3" borderId="26" xfId="0" applyNumberFormat="1" applyFont="1" applyFill="1" applyBorder="1" applyProtection="1"/>
    <xf numFmtId="3" fontId="3" fillId="3" borderId="62" xfId="0" applyNumberFormat="1" applyFont="1" applyFill="1" applyBorder="1" applyProtection="1"/>
    <xf numFmtId="3" fontId="3" fillId="3" borderId="83" xfId="0" applyNumberFormat="1" applyFont="1" applyFill="1" applyBorder="1" applyProtection="1"/>
    <xf numFmtId="3" fontId="3" fillId="3" borderId="79" xfId="0" applyNumberFormat="1" applyFont="1" applyFill="1" applyBorder="1" applyProtection="1"/>
    <xf numFmtId="0" fontId="4" fillId="23" borderId="24" xfId="0" applyFont="1" applyFill="1" applyBorder="1" applyAlignment="1" applyProtection="1">
      <alignment horizontal="center"/>
    </xf>
    <xf numFmtId="0" fontId="4" fillId="23" borderId="5" xfId="0" applyFont="1" applyFill="1" applyBorder="1" applyAlignment="1" applyProtection="1">
      <alignment horizontal="left"/>
    </xf>
    <xf numFmtId="0" fontId="38" fillId="0" borderId="157" xfId="0" applyFont="1" applyFill="1" applyBorder="1" applyProtection="1"/>
    <xf numFmtId="3" fontId="3" fillId="24" borderId="208" xfId="0" applyNumberFormat="1" applyFont="1" applyFill="1" applyBorder="1" applyProtection="1"/>
    <xf numFmtId="0" fontId="138" fillId="2" borderId="57" xfId="0" applyFont="1" applyFill="1" applyBorder="1" applyProtection="1"/>
    <xf numFmtId="0" fontId="126" fillId="2" borderId="0" xfId="0" applyFont="1" applyFill="1" applyProtection="1"/>
    <xf numFmtId="0" fontId="180" fillId="0" borderId="0" xfId="0" applyFont="1" applyProtection="1"/>
    <xf numFmtId="3" fontId="3" fillId="3" borderId="106" xfId="0" applyNumberFormat="1" applyFont="1" applyFill="1" applyBorder="1" applyProtection="1"/>
    <xf numFmtId="3" fontId="6" fillId="23" borderId="208" xfId="0" applyNumberFormat="1" applyFont="1" applyFill="1" applyBorder="1" applyProtection="1"/>
    <xf numFmtId="49" fontId="4" fillId="23" borderId="247" xfId="0" applyNumberFormat="1" applyFont="1" applyFill="1" applyBorder="1" applyAlignment="1" applyProtection="1">
      <alignment horizontal="left" wrapText="1"/>
    </xf>
    <xf numFmtId="3" fontId="3" fillId="3" borderId="26" xfId="0" applyNumberFormat="1" applyFont="1" applyFill="1" applyBorder="1" applyAlignment="1"/>
    <xf numFmtId="0" fontId="6" fillId="23" borderId="141" xfId="0" applyFont="1" applyFill="1" applyBorder="1" applyAlignment="1" applyProtection="1"/>
    <xf numFmtId="165" fontId="7" fillId="23" borderId="142" xfId="0" applyNumberFormat="1" applyFont="1" applyFill="1" applyBorder="1" applyAlignment="1" applyProtection="1"/>
    <xf numFmtId="0" fontId="6" fillId="23" borderId="21" xfId="0" applyFont="1" applyFill="1" applyBorder="1" applyAlignment="1" applyProtection="1">
      <alignment horizontal="left"/>
    </xf>
    <xf numFmtId="0" fontId="6" fillId="23" borderId="52" xfId="0" applyFont="1" applyFill="1" applyBorder="1" applyAlignment="1" applyProtection="1">
      <alignment horizontal="left"/>
    </xf>
    <xf numFmtId="3" fontId="165" fillId="0" borderId="0" xfId="0" applyNumberFormat="1" applyFont="1" applyFill="1" applyBorder="1" applyAlignment="1" applyProtection="1"/>
    <xf numFmtId="0" fontId="164" fillId="0" borderId="0" xfId="0" applyFont="1" applyProtection="1"/>
    <xf numFmtId="3" fontId="10" fillId="0" borderId="0" xfId="0" applyNumberFormat="1" applyFont="1" applyFill="1" applyAlignment="1">
      <alignment horizontal="right"/>
    </xf>
    <xf numFmtId="0" fontId="0" fillId="0" borderId="0" xfId="0" applyAlignment="1"/>
    <xf numFmtId="49" fontId="4" fillId="23" borderId="2" xfId="0" applyNumberFormat="1" applyFont="1" applyFill="1" applyBorder="1" applyAlignment="1" applyProtection="1">
      <alignment horizontal="left" indent="1"/>
    </xf>
    <xf numFmtId="0" fontId="4" fillId="23" borderId="160" xfId="0" applyNumberFormat="1" applyFont="1" applyFill="1" applyBorder="1" applyAlignment="1" applyProtection="1">
      <alignment horizontal="center"/>
    </xf>
    <xf numFmtId="0" fontId="6" fillId="23" borderId="202" xfId="0" applyFont="1" applyFill="1" applyBorder="1" applyAlignment="1" applyProtection="1">
      <alignment horizontal="left" vertical="center" wrapText="1"/>
    </xf>
    <xf numFmtId="0" fontId="4" fillId="23" borderId="233" xfId="0" applyFont="1" applyFill="1" applyBorder="1" applyAlignment="1" applyProtection="1">
      <alignment horizontal="center"/>
    </xf>
    <xf numFmtId="0" fontId="4" fillId="23" borderId="2" xfId="0" applyFont="1" applyFill="1" applyBorder="1" applyAlignment="1" applyProtection="1">
      <alignment horizontal="left" wrapText="1"/>
    </xf>
    <xf numFmtId="0" fontId="4" fillId="23" borderId="67" xfId="0" applyFont="1" applyFill="1" applyBorder="1" applyAlignment="1">
      <alignment horizontal="left" wrapText="1"/>
    </xf>
    <xf numFmtId="0" fontId="6" fillId="23" borderId="154" xfId="0" applyFont="1" applyFill="1" applyBorder="1" applyAlignment="1">
      <alignment horizontal="left"/>
    </xf>
    <xf numFmtId="0" fontId="4" fillId="23" borderId="247" xfId="0" applyFont="1" applyFill="1" applyBorder="1" applyAlignment="1">
      <alignment horizontal="center"/>
    </xf>
    <xf numFmtId="0" fontId="6" fillId="23" borderId="202" xfId="0" applyFont="1" applyFill="1" applyBorder="1" applyAlignment="1">
      <alignment horizontal="left" vertical="center" wrapText="1"/>
    </xf>
    <xf numFmtId="0" fontId="4" fillId="23" borderId="53" xfId="0" applyFont="1" applyFill="1" applyBorder="1" applyAlignment="1">
      <alignment horizontal="left"/>
    </xf>
    <xf numFmtId="0" fontId="4" fillId="23" borderId="21" xfId="0" applyFont="1" applyFill="1" applyBorder="1" applyAlignment="1">
      <alignment horizontal="center"/>
    </xf>
    <xf numFmtId="0" fontId="4" fillId="23" borderId="50" xfId="0" applyFont="1" applyFill="1" applyBorder="1" applyAlignment="1">
      <alignment horizontal="center"/>
    </xf>
    <xf numFmtId="0" fontId="6" fillId="23" borderId="25" xfId="0" applyFont="1" applyFill="1" applyBorder="1" applyAlignment="1">
      <alignment horizontal="left" vertical="center" wrapText="1"/>
    </xf>
    <xf numFmtId="0" fontId="4" fillId="23" borderId="2" xfId="0" applyFont="1" applyFill="1" applyBorder="1"/>
    <xf numFmtId="1" fontId="4" fillId="23" borderId="54" xfId="0" applyNumberFormat="1" applyFont="1" applyFill="1" applyBorder="1" applyAlignment="1">
      <alignment horizontal="center" wrapText="1"/>
    </xf>
    <xf numFmtId="0" fontId="4" fillId="23" borderId="90" xfId="0" applyFont="1" applyFill="1" applyBorder="1" applyAlignment="1" applyProtection="1">
      <alignment horizontal="left" vertical="top" wrapText="1"/>
    </xf>
    <xf numFmtId="3" fontId="4" fillId="23" borderId="75" xfId="0" applyNumberFormat="1" applyFont="1" applyFill="1" applyBorder="1" applyAlignment="1" applyProtection="1"/>
    <xf numFmtId="0" fontId="4" fillId="23" borderId="5" xfId="0" applyFont="1" applyFill="1" applyBorder="1"/>
    <xf numFmtId="0" fontId="4" fillId="23" borderId="5" xfId="0" applyFont="1" applyFill="1" applyBorder="1" applyAlignment="1">
      <alignment horizontal="center"/>
    </xf>
    <xf numFmtId="0" fontId="6" fillId="23" borderId="190" xfId="0" applyFont="1" applyFill="1" applyBorder="1"/>
    <xf numFmtId="49" fontId="4" fillId="23" borderId="12" xfId="0" applyNumberFormat="1" applyFont="1" applyFill="1" applyBorder="1"/>
    <xf numFmtId="49" fontId="4" fillId="23" borderId="53" xfId="0" applyNumberFormat="1" applyFont="1" applyFill="1" applyBorder="1"/>
    <xf numFmtId="49" fontId="4" fillId="23" borderId="53" xfId="0" applyNumberFormat="1" applyFont="1" applyFill="1" applyBorder="1" applyAlignment="1">
      <alignment wrapText="1"/>
    </xf>
    <xf numFmtId="49" fontId="4" fillId="23" borderId="170" xfId="0" applyNumberFormat="1" applyFont="1" applyFill="1" applyBorder="1"/>
    <xf numFmtId="49" fontId="4" fillId="23" borderId="129" xfId="0" applyNumberFormat="1" applyFont="1" applyFill="1" applyBorder="1" applyAlignment="1">
      <alignment horizontal="left"/>
    </xf>
    <xf numFmtId="49" fontId="4" fillId="23" borderId="22" xfId="0" applyNumberFormat="1" applyFont="1" applyFill="1" applyBorder="1" applyAlignment="1">
      <alignment horizontal="left"/>
    </xf>
    <xf numFmtId="49" fontId="4" fillId="23" borderId="23" xfId="0" applyNumberFormat="1" applyFont="1" applyFill="1" applyBorder="1" applyAlignment="1">
      <alignment horizontal="left"/>
    </xf>
    <xf numFmtId="0" fontId="4" fillId="42" borderId="2" xfId="0" applyFont="1" applyFill="1" applyBorder="1" applyProtection="1"/>
    <xf numFmtId="0" fontId="4" fillId="44" borderId="81" xfId="0" applyFont="1" applyFill="1" applyBorder="1" applyAlignment="1" applyProtection="1">
      <alignment horizontal="left"/>
    </xf>
    <xf numFmtId="1" fontId="4" fillId="44" borderId="2" xfId="0" applyNumberFormat="1" applyFont="1" applyFill="1" applyBorder="1" applyAlignment="1" applyProtection="1">
      <alignment horizontal="center"/>
    </xf>
    <xf numFmtId="0" fontId="4" fillId="44" borderId="154" xfId="0" applyFont="1" applyFill="1" applyBorder="1" applyAlignment="1" applyProtection="1">
      <alignment horizontal="left" vertical="top" wrapText="1"/>
    </xf>
    <xf numFmtId="3" fontId="4" fillId="44" borderId="25" xfId="0" applyNumberFormat="1" applyFont="1" applyFill="1" applyBorder="1" applyAlignment="1" applyProtection="1">
      <alignment horizontal="left" vertical="top" wrapText="1"/>
    </xf>
    <xf numFmtId="49" fontId="4" fillId="44" borderId="149" xfId="0" applyNumberFormat="1" applyFont="1" applyFill="1" applyBorder="1" applyAlignment="1" applyProtection="1">
      <alignment horizontal="center"/>
    </xf>
    <xf numFmtId="1" fontId="9" fillId="44" borderId="41" xfId="0" applyNumberFormat="1" applyFont="1" applyFill="1" applyBorder="1" applyAlignment="1" applyProtection="1">
      <alignment horizontal="center"/>
    </xf>
    <xf numFmtId="49" fontId="9" fillId="23" borderId="90" xfId="0" applyNumberFormat="1" applyFont="1" applyFill="1" applyBorder="1" applyAlignment="1" applyProtection="1">
      <alignment horizontal="center"/>
    </xf>
    <xf numFmtId="1" fontId="9" fillId="23" borderId="25" xfId="0" applyNumberFormat="1" applyFont="1" applyFill="1" applyBorder="1" applyAlignment="1" applyProtection="1">
      <alignment horizontal="center"/>
    </xf>
    <xf numFmtId="3" fontId="14" fillId="2" borderId="177" xfId="0" applyNumberFormat="1" applyFont="1" applyFill="1" applyBorder="1" applyAlignment="1" applyProtection="1">
      <alignment horizontal="right"/>
      <protection locked="0"/>
    </xf>
    <xf numFmtId="49" fontId="4" fillId="44" borderId="132" xfId="0" applyNumberFormat="1" applyFont="1" applyFill="1" applyBorder="1" applyAlignment="1" applyProtection="1">
      <alignment horizontal="center"/>
    </xf>
    <xf numFmtId="49" fontId="4" fillId="44" borderId="217" xfId="0" applyNumberFormat="1" applyFont="1" applyFill="1" applyBorder="1" applyAlignment="1" applyProtection="1">
      <alignment horizontal="left"/>
    </xf>
    <xf numFmtId="3" fontId="2" fillId="2" borderId="42" xfId="0" applyNumberFormat="1" applyFont="1" applyFill="1" applyBorder="1" applyAlignment="1" applyProtection="1">
      <alignment horizontal="right"/>
      <protection locked="0"/>
    </xf>
    <xf numFmtId="1" fontId="4" fillId="23" borderId="141" xfId="6" applyNumberFormat="1" applyFont="1" applyFill="1" applyBorder="1" applyAlignment="1" applyProtection="1">
      <alignment horizontal="left"/>
    </xf>
    <xf numFmtId="0" fontId="4" fillId="23" borderId="195" xfId="6" applyFont="1" applyFill="1" applyBorder="1" applyProtection="1"/>
    <xf numFmtId="0" fontId="4" fillId="23" borderId="2" xfId="6" applyFont="1" applyFill="1" applyBorder="1"/>
    <xf numFmtId="0" fontId="4" fillId="23" borderId="2" xfId="6" applyFont="1" applyFill="1" applyBorder="1" applyAlignment="1">
      <alignment horizontal="left"/>
    </xf>
    <xf numFmtId="49" fontId="4" fillId="44" borderId="131" xfId="0" applyNumberFormat="1" applyFont="1" applyFill="1" applyBorder="1" applyAlignment="1" applyProtection="1">
      <alignment horizontal="center"/>
    </xf>
    <xf numFmtId="0" fontId="183" fillId="0" borderId="0" xfId="0" applyFont="1" applyFill="1" applyProtection="1"/>
    <xf numFmtId="0" fontId="137" fillId="0" borderId="27" xfId="0" applyFont="1" applyFill="1" applyBorder="1" applyProtection="1"/>
    <xf numFmtId="1" fontId="4" fillId="44" borderId="41" xfId="0" applyNumberFormat="1" applyFont="1" applyFill="1" applyBorder="1" applyAlignment="1" applyProtection="1">
      <alignment horizontal="left" wrapText="1"/>
    </xf>
    <xf numFmtId="0" fontId="117" fillId="10" borderId="0" xfId="0" applyFont="1" applyFill="1" applyBorder="1" applyAlignment="1">
      <alignment wrapText="1"/>
    </xf>
    <xf numFmtId="0" fontId="118" fillId="10" borderId="0" xfId="0" applyFont="1" applyFill="1" applyBorder="1" applyAlignment="1"/>
    <xf numFmtId="0" fontId="11" fillId="10" borderId="27" xfId="0" applyFont="1" applyFill="1" applyBorder="1" applyAlignment="1">
      <alignment wrapText="1"/>
    </xf>
    <xf numFmtId="0" fontId="11" fillId="10" borderId="0" xfId="0" applyFont="1" applyFill="1" applyBorder="1" applyAlignment="1">
      <alignment wrapText="1"/>
    </xf>
    <xf numFmtId="0" fontId="11" fillId="10" borderId="27" xfId="0" applyFont="1" applyFill="1" applyBorder="1" applyAlignment="1">
      <alignment horizontal="left" wrapText="1"/>
    </xf>
    <xf numFmtId="0" fontId="11" fillId="10" borderId="0" xfId="0" applyFont="1" applyFill="1" applyBorder="1" applyAlignment="1">
      <alignment horizontal="left" wrapText="1"/>
    </xf>
    <xf numFmtId="0" fontId="3" fillId="10" borderId="27" xfId="0" applyFont="1" applyFill="1" applyBorder="1" applyAlignment="1">
      <alignment wrapText="1"/>
    </xf>
    <xf numFmtId="0" fontId="3" fillId="10" borderId="0" xfId="0" applyFont="1" applyFill="1" applyBorder="1" applyAlignment="1">
      <alignment wrapText="1"/>
    </xf>
    <xf numFmtId="0" fontId="83" fillId="10" borderId="27" xfId="0" applyFont="1" applyFill="1" applyBorder="1" applyAlignment="1">
      <alignment wrapText="1"/>
    </xf>
    <xf numFmtId="0" fontId="83" fillId="10" borderId="0" xfId="0" applyFont="1" applyFill="1" applyBorder="1" applyAlignment="1">
      <alignment wrapText="1"/>
    </xf>
    <xf numFmtId="0" fontId="84" fillId="10" borderId="27" xfId="0" applyFont="1" applyFill="1" applyBorder="1" applyAlignment="1"/>
    <xf numFmtId="0" fontId="56" fillId="10" borderId="0" xfId="0" applyFont="1" applyFill="1" applyBorder="1" applyAlignment="1"/>
    <xf numFmtId="0" fontId="74" fillId="10" borderId="27" xfId="0" applyFont="1" applyFill="1" applyBorder="1" applyAlignment="1">
      <alignment horizontal="left" vertical="top"/>
    </xf>
    <xf numFmtId="0" fontId="10" fillId="10" borderId="0" xfId="0" applyFont="1" applyFill="1" applyBorder="1" applyAlignment="1">
      <alignment horizontal="left" vertical="top"/>
    </xf>
    <xf numFmtId="0" fontId="25" fillId="0" borderId="0" xfId="0" applyFont="1" applyBorder="1" applyAlignment="1"/>
    <xf numFmtId="0" fontId="74" fillId="10" borderId="27" xfId="0" applyFont="1" applyFill="1" applyBorder="1" applyAlignment="1">
      <alignment horizontal="left" wrapText="1"/>
    </xf>
    <xf numFmtId="0" fontId="2" fillId="10" borderId="0" xfId="0" applyFont="1" applyFill="1" applyBorder="1" applyAlignment="1">
      <alignment horizontal="left" wrapText="1"/>
    </xf>
    <xf numFmtId="0" fontId="74" fillId="10" borderId="0" xfId="0" applyFont="1" applyFill="1" applyBorder="1" applyAlignment="1">
      <alignment horizontal="left" wrapText="1"/>
    </xf>
    <xf numFmtId="0" fontId="84" fillId="10" borderId="111" xfId="0" applyFont="1" applyFill="1" applyBorder="1" applyAlignment="1">
      <alignment wrapText="1"/>
    </xf>
    <xf numFmtId="0" fontId="84" fillId="10" borderId="66" xfId="0" applyFont="1" applyFill="1" applyBorder="1" applyAlignment="1">
      <alignment wrapText="1"/>
    </xf>
    <xf numFmtId="0" fontId="82" fillId="10" borderId="27" xfId="0" applyFont="1" applyFill="1" applyBorder="1" applyAlignment="1">
      <alignment wrapText="1"/>
    </xf>
    <xf numFmtId="0" fontId="82" fillId="10" borderId="0" xfId="0" applyFont="1" applyFill="1" applyBorder="1" applyAlignment="1">
      <alignment wrapText="1"/>
    </xf>
    <xf numFmtId="0" fontId="74" fillId="10" borderId="0" xfId="0" applyFont="1" applyFill="1" applyBorder="1" applyAlignment="1">
      <alignment horizontal="left" vertical="top"/>
    </xf>
    <xf numFmtId="0" fontId="3" fillId="0" borderId="172" xfId="0" applyFont="1" applyFill="1" applyBorder="1" applyAlignment="1" applyProtection="1">
      <alignment vertical="top" wrapText="1"/>
      <protection locked="0"/>
    </xf>
    <xf numFmtId="0" fontId="3" fillId="0" borderId="158" xfId="0" applyFont="1" applyBorder="1" applyAlignment="1" applyProtection="1">
      <alignment vertical="top" wrapText="1"/>
      <protection locked="0"/>
    </xf>
    <xf numFmtId="0" fontId="3" fillId="0" borderId="175" xfId="0" applyFont="1" applyBorder="1" applyAlignment="1" applyProtection="1">
      <alignment vertical="top" wrapText="1"/>
      <protection locked="0"/>
    </xf>
    <xf numFmtId="0" fontId="6" fillId="23" borderId="36" xfId="0" applyFont="1" applyFill="1" applyBorder="1" applyAlignment="1" applyProtection="1">
      <alignment horizontal="center" vertical="center"/>
    </xf>
    <xf numFmtId="0" fontId="0" fillId="23" borderId="120" xfId="0" applyFill="1" applyBorder="1" applyProtection="1"/>
    <xf numFmtId="0" fontId="4" fillId="23" borderId="124" xfId="0" applyFont="1" applyFill="1" applyBorder="1" applyAlignment="1" applyProtection="1">
      <alignment wrapText="1"/>
    </xf>
    <xf numFmtId="0" fontId="0" fillId="23" borderId="78" xfId="0" applyFill="1" applyBorder="1" applyAlignment="1">
      <alignment wrapText="1"/>
    </xf>
    <xf numFmtId="0" fontId="4" fillId="23" borderId="49" xfId="0" applyFont="1" applyFill="1" applyBorder="1" applyAlignment="1" applyProtection="1">
      <alignment wrapText="1"/>
    </xf>
    <xf numFmtId="0" fontId="25" fillId="23" borderId="51" xfId="0" applyFont="1" applyFill="1" applyBorder="1" applyAlignment="1">
      <alignment wrapText="1"/>
    </xf>
    <xf numFmtId="0" fontId="2" fillId="23" borderId="120" xfId="0" applyFont="1" applyFill="1" applyBorder="1" applyAlignment="1" applyProtection="1"/>
    <xf numFmtId="3" fontId="49" fillId="24" borderId="126" xfId="0" applyNumberFormat="1" applyFont="1" applyFill="1" applyBorder="1" applyAlignment="1" applyProtection="1"/>
    <xf numFmtId="3" fontId="49" fillId="24" borderId="21" xfId="0" applyNumberFormat="1" applyFont="1" applyFill="1" applyBorder="1" applyAlignment="1" applyProtection="1"/>
    <xf numFmtId="3" fontId="49" fillId="24" borderId="59" xfId="0" applyNumberFormat="1" applyFont="1" applyFill="1" applyBorder="1" applyAlignment="1" applyProtection="1"/>
    <xf numFmtId="3" fontId="49" fillId="24" borderId="18" xfId="0" applyNumberFormat="1" applyFont="1" applyFill="1" applyBorder="1" applyAlignment="1" applyProtection="1"/>
    <xf numFmtId="0" fontId="3" fillId="0" borderId="172" xfId="0" applyFont="1" applyBorder="1" applyAlignment="1" applyProtection="1">
      <alignment vertical="top" wrapText="1"/>
      <protection locked="0"/>
    </xf>
    <xf numFmtId="0" fontId="10" fillId="2" borderId="172" xfId="0" applyFont="1" applyFill="1" applyBorder="1" applyAlignment="1" applyProtection="1">
      <alignment vertical="top" wrapText="1"/>
      <protection locked="0"/>
    </xf>
    <xf numFmtId="0" fontId="0" fillId="0" borderId="158" xfId="0" applyBorder="1" applyAlignment="1" applyProtection="1">
      <alignment vertical="top" wrapText="1"/>
      <protection locked="0"/>
    </xf>
    <xf numFmtId="0" fontId="0" fillId="0" borderId="242" xfId="0" applyBorder="1" applyAlignment="1" applyProtection="1">
      <alignment vertical="top" wrapText="1"/>
      <protection locked="0"/>
    </xf>
    <xf numFmtId="0" fontId="6" fillId="23" borderId="120" xfId="0" applyFont="1" applyFill="1" applyBorder="1" applyAlignment="1" applyProtection="1"/>
    <xf numFmtId="3" fontId="6" fillId="23" borderId="36" xfId="0" applyNumberFormat="1" applyFont="1" applyFill="1" applyBorder="1" applyAlignment="1" applyProtection="1">
      <alignment horizontal="center" vertical="center"/>
    </xf>
    <xf numFmtId="0" fontId="8" fillId="23" borderId="120" xfId="0" applyFont="1" applyFill="1" applyBorder="1" applyAlignment="1" applyProtection="1"/>
    <xf numFmtId="0" fontId="3" fillId="0" borderId="111" xfId="0" applyFont="1" applyBorder="1" applyAlignment="1" applyProtection="1">
      <alignment vertical="top" wrapText="1"/>
      <protection locked="0"/>
    </xf>
    <xf numFmtId="0" fontId="3" fillId="0" borderId="66" xfId="0" applyFont="1" applyBorder="1" applyAlignment="1" applyProtection="1">
      <alignment vertical="top" wrapText="1"/>
      <protection locked="0"/>
    </xf>
    <xf numFmtId="0" fontId="3" fillId="0" borderId="125"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3" xfId="0" applyFont="1" applyBorder="1" applyAlignment="1" applyProtection="1">
      <alignment vertical="top" wrapText="1"/>
      <protection locked="0"/>
    </xf>
    <xf numFmtId="0" fontId="3" fillId="0" borderId="110"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61" xfId="0" applyFont="1" applyBorder="1" applyAlignment="1" applyProtection="1">
      <alignment vertical="top" wrapText="1"/>
      <protection locked="0"/>
    </xf>
    <xf numFmtId="1" fontId="6"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1" fontId="4" fillId="0" borderId="0" xfId="0" applyNumberFormat="1" applyFont="1" applyFill="1" applyBorder="1" applyAlignment="1" applyProtection="1">
      <alignment horizontal="center" wrapText="1"/>
    </xf>
    <xf numFmtId="0" fontId="8" fillId="0" borderId="0" xfId="0" applyFont="1" applyFill="1" applyBorder="1" applyAlignment="1" applyProtection="1">
      <alignment vertical="top" wrapText="1"/>
    </xf>
    <xf numFmtId="1" fontId="18" fillId="23" borderId="15" xfId="0" applyNumberFormat="1" applyFont="1" applyFill="1" applyBorder="1" applyAlignment="1" applyProtection="1">
      <alignment horizontal="left" vertical="top" wrapText="1"/>
    </xf>
    <xf numFmtId="0" fontId="56" fillId="23" borderId="41" xfId="0" applyFont="1" applyFill="1" applyBorder="1" applyAlignment="1">
      <alignment horizontal="left" vertical="top" wrapText="1"/>
    </xf>
    <xf numFmtId="1" fontId="3" fillId="23" borderId="15" xfId="0" applyNumberFormat="1" applyFont="1" applyFill="1" applyBorder="1" applyAlignment="1" applyProtection="1">
      <alignment horizontal="left" wrapText="1"/>
    </xf>
    <xf numFmtId="0" fontId="10" fillId="23" borderId="15" xfId="0" applyFont="1" applyFill="1" applyBorder="1" applyAlignment="1">
      <alignment wrapText="1"/>
    </xf>
    <xf numFmtId="0" fontId="9" fillId="2" borderId="66" xfId="0" applyFont="1" applyFill="1" applyBorder="1" applyAlignment="1" applyProtection="1"/>
    <xf numFmtId="0" fontId="0" fillId="0" borderId="66" xfId="0" applyBorder="1" applyAlignment="1" applyProtection="1"/>
    <xf numFmtId="0" fontId="3" fillId="2" borderId="111" xfId="0" applyFont="1" applyFill="1" applyBorder="1" applyAlignment="1" applyProtection="1">
      <alignment vertical="top" wrapText="1"/>
      <protection locked="0"/>
    </xf>
    <xf numFmtId="0" fontId="3" fillId="2" borderId="66" xfId="0" applyFont="1" applyFill="1" applyBorder="1" applyAlignment="1" applyProtection="1">
      <alignment vertical="top" wrapText="1"/>
      <protection locked="0"/>
    </xf>
    <xf numFmtId="0" fontId="3" fillId="2" borderId="125" xfId="0" applyFont="1" applyFill="1" applyBorder="1" applyAlignment="1" applyProtection="1">
      <alignment vertical="top" wrapText="1"/>
      <protection locked="0"/>
    </xf>
    <xf numFmtId="0" fontId="3" fillId="2" borderId="27"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43" xfId="0" applyFont="1" applyFill="1" applyBorder="1" applyAlignment="1" applyProtection="1">
      <alignment vertical="top" wrapText="1"/>
      <protection locked="0"/>
    </xf>
    <xf numFmtId="0" fontId="3" fillId="2" borderId="110"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3" fillId="2" borderId="61" xfId="0" applyFont="1" applyFill="1" applyBorder="1" applyAlignment="1" applyProtection="1">
      <alignment vertical="top" wrapText="1"/>
      <protection locked="0"/>
    </xf>
    <xf numFmtId="0" fontId="8" fillId="0" borderId="0" xfId="0" applyFont="1" applyFill="1" applyBorder="1" applyAlignment="1">
      <alignment wrapText="1"/>
    </xf>
    <xf numFmtId="0" fontId="0" fillId="0" borderId="237" xfId="0" applyBorder="1" applyAlignment="1" applyProtection="1">
      <alignment vertical="top" wrapText="1"/>
      <protection locked="0"/>
    </xf>
    <xf numFmtId="0" fontId="0" fillId="0" borderId="238" xfId="0" applyBorder="1" applyAlignment="1" applyProtection="1">
      <alignment vertical="top" wrapText="1"/>
      <protection locked="0"/>
    </xf>
    <xf numFmtId="0" fontId="0" fillId="0" borderId="239" xfId="0" applyBorder="1" applyAlignment="1" applyProtection="1">
      <alignment vertical="top" wrapText="1"/>
      <protection locked="0"/>
    </xf>
    <xf numFmtId="0" fontId="0" fillId="0" borderId="240" xfId="0" applyBorder="1" applyAlignment="1" applyProtection="1">
      <alignment vertical="top" wrapText="1"/>
      <protection locked="0"/>
    </xf>
    <xf numFmtId="0" fontId="0" fillId="0" borderId="241" xfId="0" applyBorder="1" applyAlignment="1" applyProtection="1">
      <alignment vertical="top" wrapText="1"/>
      <protection locked="0"/>
    </xf>
    <xf numFmtId="0" fontId="4" fillId="23" borderId="117" xfId="0" applyFont="1" applyFill="1" applyBorder="1" applyAlignment="1" applyProtection="1">
      <alignment horizontal="left" vertical="top" wrapText="1"/>
    </xf>
    <xf numFmtId="0" fontId="0" fillId="0" borderId="41" xfId="0" applyBorder="1"/>
    <xf numFmtId="0" fontId="3" fillId="2" borderId="210" xfId="0" applyFont="1" applyFill="1" applyBorder="1" applyAlignment="1" applyProtection="1">
      <alignment vertical="top" wrapText="1"/>
      <protection locked="0"/>
    </xf>
    <xf numFmtId="0" fontId="10" fillId="0" borderId="209" xfId="0" applyFont="1" applyBorder="1" applyAlignment="1" applyProtection="1">
      <alignment vertical="top" wrapText="1"/>
      <protection locked="0"/>
    </xf>
    <xf numFmtId="0" fontId="10" fillId="0" borderId="60" xfId="0" applyFont="1" applyBorder="1" applyAlignment="1" applyProtection="1">
      <alignment vertical="top" wrapText="1"/>
      <protection locked="0"/>
    </xf>
    <xf numFmtId="0" fontId="3" fillId="0" borderId="66" xfId="0" applyFont="1" applyBorder="1" applyAlignment="1" applyProtection="1">
      <alignment wrapText="1"/>
      <protection locked="0"/>
    </xf>
    <xf numFmtId="0" fontId="3" fillId="0" borderId="125" xfId="0" applyFont="1" applyBorder="1" applyAlignment="1" applyProtection="1">
      <alignment wrapText="1"/>
      <protection locked="0"/>
    </xf>
    <xf numFmtId="0" fontId="3" fillId="0" borderId="110"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61" xfId="0" applyFont="1" applyBorder="1" applyAlignment="1" applyProtection="1">
      <alignment wrapText="1"/>
      <protection locked="0"/>
    </xf>
    <xf numFmtId="3" fontId="3" fillId="0" borderId="111" xfId="0" applyNumberFormat="1" applyFont="1" applyFill="1" applyBorder="1" applyAlignment="1" applyProtection="1">
      <alignment vertical="top" wrapText="1"/>
      <protection locked="0"/>
    </xf>
    <xf numFmtId="0" fontId="0" fillId="0" borderId="66" xfId="0" applyBorder="1" applyAlignment="1" applyProtection="1">
      <alignment vertical="top" wrapText="1"/>
      <protection locked="0"/>
    </xf>
    <xf numFmtId="0" fontId="0" fillId="0" borderId="125" xfId="0" applyBorder="1" applyAlignment="1" applyProtection="1">
      <alignment vertical="top" wrapText="1"/>
      <protection locked="0"/>
    </xf>
    <xf numFmtId="0" fontId="0" fillId="0" borderId="110"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1" xfId="0" applyBorder="1" applyAlignment="1" applyProtection="1">
      <alignment vertical="top" wrapText="1"/>
      <protection locked="0"/>
    </xf>
    <xf numFmtId="49" fontId="21" fillId="0" borderId="0" xfId="0" applyNumberFormat="1" applyFont="1" applyFill="1" applyBorder="1" applyAlignment="1" applyProtection="1">
      <alignment horizontal="left" wrapText="1"/>
    </xf>
    <xf numFmtId="0" fontId="62" fillId="0" borderId="0" xfId="0" applyFont="1" applyAlignment="1">
      <alignment horizontal="left" wrapText="1"/>
    </xf>
    <xf numFmtId="0" fontId="0" fillId="0" borderId="0" xfId="0" applyAlignment="1"/>
    <xf numFmtId="0" fontId="62" fillId="0" borderId="0" xfId="0" applyFont="1" applyAlignment="1" applyProtection="1">
      <alignment horizontal="left" wrapText="1"/>
    </xf>
    <xf numFmtId="0" fontId="0" fillId="0" borderId="0" xfId="0" applyAlignment="1" applyProtection="1">
      <alignment wrapText="1"/>
    </xf>
    <xf numFmtId="0" fontId="165" fillId="0" borderId="0" xfId="0" applyNumberFormat="1" applyFont="1" applyFill="1" applyBorder="1" applyAlignment="1" applyProtection="1">
      <alignment vertical="center" wrapText="1"/>
    </xf>
    <xf numFmtId="0" fontId="0" fillId="0" borderId="0" xfId="0" applyFill="1" applyAlignment="1">
      <alignment vertical="center" wrapText="1"/>
    </xf>
    <xf numFmtId="0" fontId="142" fillId="0" borderId="0" xfId="0" applyFont="1" applyFill="1" applyBorder="1" applyAlignment="1" applyProtection="1">
      <alignment vertical="top" wrapText="1"/>
    </xf>
    <xf numFmtId="0" fontId="164" fillId="0" borderId="0" xfId="0" applyFont="1" applyAlignment="1">
      <alignment vertical="top" wrapText="1"/>
    </xf>
    <xf numFmtId="0" fontId="139" fillId="0" borderId="0" xfId="0" applyFont="1" applyFill="1" applyAlignment="1" applyProtection="1">
      <alignment vertical="top" wrapText="1"/>
    </xf>
    <xf numFmtId="0" fontId="139" fillId="0" borderId="0" xfId="0" applyFont="1" applyFill="1" applyBorder="1" applyAlignment="1">
      <alignment wrapText="1"/>
    </xf>
    <xf numFmtId="0" fontId="139" fillId="0" borderId="0" xfId="0" applyFont="1" applyFill="1" applyAlignment="1">
      <alignment vertical="top" wrapText="1"/>
    </xf>
    <xf numFmtId="0" fontId="162" fillId="0" borderId="0" xfId="0" applyFont="1" applyFill="1" applyBorder="1" applyAlignment="1">
      <alignment horizontal="left" wrapText="1"/>
    </xf>
    <xf numFmtId="0" fontId="162" fillId="0" borderId="56" xfId="0" applyFont="1" applyBorder="1" applyAlignment="1">
      <alignment horizontal="left" wrapText="1"/>
    </xf>
    <xf numFmtId="0" fontId="162" fillId="0" borderId="0" xfId="0" applyFont="1" applyAlignment="1">
      <alignment horizontal="left" wrapText="1"/>
    </xf>
    <xf numFmtId="0" fontId="162" fillId="0" borderId="0" xfId="0" applyFont="1" applyBorder="1" applyAlignment="1">
      <alignment horizontal="left" wrapText="1"/>
    </xf>
    <xf numFmtId="0" fontId="162" fillId="0" borderId="0" xfId="0" applyFont="1" applyFill="1" applyBorder="1" applyAlignment="1" applyProtection="1">
      <alignment horizontal="left" vertical="top" wrapText="1"/>
    </xf>
    <xf numFmtId="0" fontId="0" fillId="0" borderId="0" xfId="0" applyFill="1" applyBorder="1" applyAlignment="1">
      <alignment wrapText="1"/>
    </xf>
    <xf numFmtId="0" fontId="0" fillId="0" borderId="0" xfId="0" applyFill="1" applyAlignment="1">
      <alignment wrapText="1"/>
    </xf>
    <xf numFmtId="0" fontId="3" fillId="0" borderId="111" xfId="0" applyFont="1" applyFill="1" applyBorder="1" applyAlignment="1" applyProtection="1">
      <alignment vertical="top" wrapText="1"/>
      <protection locked="0"/>
    </xf>
    <xf numFmtId="0" fontId="162" fillId="0" borderId="123" xfId="0" applyFont="1" applyFill="1" applyBorder="1" applyAlignment="1" applyProtection="1">
      <alignment vertical="top" wrapText="1"/>
    </xf>
    <xf numFmtId="0" fontId="0" fillId="0" borderId="123" xfId="0" applyFill="1" applyBorder="1" applyAlignment="1">
      <alignment vertical="top" wrapText="1"/>
    </xf>
    <xf numFmtId="0" fontId="0" fillId="0" borderId="0" xfId="0" applyFill="1" applyAlignment="1">
      <alignment vertical="top" wrapText="1"/>
    </xf>
    <xf numFmtId="0" fontId="3" fillId="23" borderId="48" xfId="0" applyFont="1" applyFill="1" applyBorder="1" applyAlignment="1" applyProtection="1">
      <alignment horizontal="center" vertical="top"/>
    </xf>
    <xf numFmtId="0" fontId="3" fillId="23" borderId="164" xfId="0" applyFont="1" applyFill="1" applyBorder="1" applyAlignment="1" applyProtection="1">
      <alignment horizontal="center" vertical="top"/>
    </xf>
    <xf numFmtId="3" fontId="3" fillId="23" borderId="48" xfId="0" applyNumberFormat="1" applyFont="1" applyFill="1" applyBorder="1" applyAlignment="1" applyProtection="1">
      <alignment horizontal="center" vertical="top"/>
    </xf>
    <xf numFmtId="3" fontId="3" fillId="23" borderId="47" xfId="0" applyNumberFormat="1" applyFont="1" applyFill="1" applyBorder="1" applyAlignment="1" applyProtection="1">
      <alignment horizontal="center" vertical="top"/>
    </xf>
    <xf numFmtId="3" fontId="3" fillId="23" borderId="164" xfId="0" applyNumberFormat="1" applyFont="1" applyFill="1" applyBorder="1" applyAlignment="1" applyProtection="1">
      <alignment horizontal="center" vertical="top"/>
    </xf>
    <xf numFmtId="0" fontId="3" fillId="23" borderId="196" xfId="0" applyFont="1" applyFill="1" applyBorder="1" applyAlignment="1" applyProtection="1">
      <alignment horizontal="center" vertical="top"/>
    </xf>
    <xf numFmtId="0" fontId="3" fillId="23" borderId="47" xfId="0" applyFont="1" applyFill="1" applyBorder="1" applyAlignment="1" applyProtection="1">
      <alignment horizontal="center" vertical="top"/>
    </xf>
    <xf numFmtId="3" fontId="3" fillId="23" borderId="48" xfId="0" applyNumberFormat="1" applyFont="1" applyFill="1" applyBorder="1" applyAlignment="1" applyProtection="1">
      <alignment horizontal="left" vertical="top" wrapText="1"/>
    </xf>
    <xf numFmtId="0" fontId="10" fillId="23" borderId="40" xfId="0" applyFont="1" applyFill="1" applyBorder="1" applyAlignment="1" applyProtection="1">
      <alignment vertical="top" wrapText="1"/>
    </xf>
    <xf numFmtId="0" fontId="162" fillId="0" borderId="0" xfId="0" applyFont="1" applyFill="1" applyBorder="1" applyAlignment="1" applyProtection="1">
      <alignment vertical="top" wrapText="1"/>
    </xf>
    <xf numFmtId="0" fontId="164" fillId="0" borderId="0" xfId="0" applyFont="1" applyFill="1" applyAlignment="1">
      <alignment vertical="top" wrapText="1"/>
    </xf>
    <xf numFmtId="0" fontId="164" fillId="0" borderId="0" xfId="0" applyFont="1" applyFill="1" applyAlignment="1">
      <alignment wrapText="1"/>
    </xf>
    <xf numFmtId="0" fontId="3" fillId="0" borderId="125" xfId="0" applyFont="1" applyFill="1" applyBorder="1" applyAlignment="1" applyProtection="1">
      <alignment vertical="top" wrapText="1"/>
      <protection locked="0"/>
    </xf>
    <xf numFmtId="0" fontId="3" fillId="0" borderId="27" xfId="0" applyFont="1" applyFill="1" applyBorder="1" applyAlignment="1" applyProtection="1">
      <alignment vertical="top" wrapText="1"/>
      <protection locked="0"/>
    </xf>
    <xf numFmtId="0" fontId="3" fillId="0" borderId="43" xfId="0" applyFont="1" applyFill="1" applyBorder="1" applyAlignment="1" applyProtection="1">
      <alignment vertical="top" wrapText="1"/>
      <protection locked="0"/>
    </xf>
    <xf numFmtId="0" fontId="3" fillId="0" borderId="110" xfId="0" applyFont="1" applyFill="1" applyBorder="1" applyAlignment="1" applyProtection="1">
      <alignment vertical="top" wrapText="1"/>
      <protection locked="0"/>
    </xf>
    <xf numFmtId="0" fontId="3" fillId="0" borderId="61" xfId="0" applyFont="1" applyFill="1" applyBorder="1" applyAlignment="1" applyProtection="1">
      <alignment vertical="top" wrapText="1"/>
      <protection locked="0"/>
    </xf>
    <xf numFmtId="0" fontId="4" fillId="2" borderId="205" xfId="0" applyFont="1" applyFill="1" applyBorder="1" applyAlignment="1" applyProtection="1">
      <alignment horizontal="right"/>
    </xf>
    <xf numFmtId="0" fontId="0" fillId="0" borderId="163" xfId="0" applyBorder="1" applyAlignment="1">
      <alignment horizontal="right"/>
    </xf>
    <xf numFmtId="0" fontId="0" fillId="0" borderId="101" xfId="0" applyBorder="1" applyAlignment="1">
      <alignment horizontal="right"/>
    </xf>
    <xf numFmtId="0" fontId="3" fillId="0" borderId="206" xfId="0" applyFont="1" applyFill="1" applyBorder="1" applyAlignment="1" applyProtection="1">
      <alignment horizontal="left" vertical="top" wrapText="1"/>
      <protection locked="0"/>
    </xf>
    <xf numFmtId="0" fontId="3" fillId="0" borderId="234" xfId="0" applyFont="1" applyFill="1" applyBorder="1" applyAlignment="1" applyProtection="1">
      <alignment horizontal="left" vertical="top" wrapText="1"/>
      <protection locked="0"/>
    </xf>
    <xf numFmtId="0" fontId="3" fillId="0" borderId="235" xfId="0" applyFont="1" applyFill="1" applyBorder="1" applyAlignment="1" applyProtection="1">
      <alignment horizontal="left" vertical="top" wrapText="1"/>
      <protection locked="0"/>
    </xf>
    <xf numFmtId="3" fontId="4" fillId="23" borderId="74" xfId="0" applyNumberFormat="1" applyFont="1" applyFill="1" applyBorder="1" applyAlignment="1" applyProtection="1">
      <alignment wrapText="1"/>
    </xf>
    <xf numFmtId="0" fontId="0" fillId="23" borderId="75" xfId="0" applyFill="1" applyBorder="1" applyAlignment="1">
      <alignment wrapText="1"/>
    </xf>
    <xf numFmtId="0" fontId="0" fillId="23" borderId="91" xfId="0" applyFill="1" applyBorder="1" applyAlignment="1">
      <alignment wrapText="1"/>
    </xf>
    <xf numFmtId="3" fontId="4" fillId="23" borderId="159" xfId="6" applyNumberFormat="1" applyFont="1" applyFill="1" applyBorder="1" applyAlignment="1" applyProtection="1">
      <alignment horizontal="left" vertical="top" wrapText="1"/>
    </xf>
    <xf numFmtId="0" fontId="25" fillId="23" borderId="159" xfId="6" applyFill="1" applyBorder="1" applyAlignment="1">
      <alignment horizontal="left" wrapText="1"/>
    </xf>
    <xf numFmtId="3" fontId="4" fillId="23" borderId="172" xfId="0" applyNumberFormat="1" applyFont="1" applyFill="1" applyBorder="1" applyAlignment="1" applyProtection="1">
      <alignment horizontal="left" vertical="top" wrapText="1"/>
    </xf>
    <xf numFmtId="0" fontId="0" fillId="0" borderId="158" xfId="0" applyBorder="1" applyAlignment="1">
      <alignment horizontal="left" wrapText="1"/>
    </xf>
    <xf numFmtId="3" fontId="4" fillId="23" borderId="173" xfId="0" applyNumberFormat="1" applyFont="1" applyFill="1" applyBorder="1" applyAlignment="1" applyProtection="1">
      <alignment horizontal="left" vertical="top" wrapText="1"/>
    </xf>
    <xf numFmtId="0" fontId="0" fillId="0" borderId="157" xfId="0" applyBorder="1" applyAlignment="1">
      <alignment horizontal="left" wrapText="1"/>
    </xf>
    <xf numFmtId="3" fontId="4" fillId="0" borderId="57" xfId="0" applyNumberFormat="1" applyFont="1" applyFill="1" applyBorder="1" applyAlignment="1" applyProtection="1"/>
    <xf numFmtId="0" fontId="8" fillId="0" borderId="56" xfId="0" applyFont="1" applyFill="1" applyBorder="1" applyAlignment="1"/>
    <xf numFmtId="0" fontId="10" fillId="23" borderId="47" xfId="0" applyFont="1" applyFill="1" applyBorder="1" applyAlignment="1" applyProtection="1">
      <alignment horizontal="center" vertical="top"/>
    </xf>
    <xf numFmtId="0" fontId="10" fillId="23" borderId="40" xfId="0" applyFont="1" applyFill="1" applyBorder="1" applyAlignment="1" applyProtection="1">
      <alignment horizontal="center" vertical="top"/>
    </xf>
    <xf numFmtId="0" fontId="6" fillId="23" borderId="205" xfId="0" applyFont="1" applyFill="1" applyBorder="1" applyAlignment="1" applyProtection="1">
      <alignment horizontal="center" vertical="center" wrapText="1"/>
    </xf>
    <xf numFmtId="0" fontId="6" fillId="23" borderId="163" xfId="0" applyFont="1" applyFill="1" applyBorder="1" applyAlignment="1" applyProtection="1">
      <alignment horizontal="center" vertical="center" wrapText="1"/>
    </xf>
    <xf numFmtId="0" fontId="6" fillId="23" borderId="233" xfId="0" applyFont="1" applyFill="1" applyBorder="1" applyAlignment="1" applyProtection="1">
      <alignment horizontal="center" vertical="center" wrapText="1"/>
    </xf>
    <xf numFmtId="3" fontId="4" fillId="23" borderId="74" xfId="0" applyNumberFormat="1" applyFont="1" applyFill="1" applyBorder="1" applyAlignment="1" applyProtection="1">
      <alignment horizontal="left" wrapText="1"/>
    </xf>
    <xf numFmtId="0" fontId="25" fillId="23" borderId="75" xfId="0" applyFont="1" applyFill="1" applyBorder="1" applyAlignment="1" applyProtection="1">
      <alignment horizontal="left" wrapText="1"/>
    </xf>
    <xf numFmtId="0" fontId="25" fillId="23" borderId="91" xfId="0" applyFont="1" applyFill="1" applyBorder="1" applyAlignment="1" applyProtection="1">
      <alignment horizontal="left" wrapText="1"/>
    </xf>
    <xf numFmtId="3" fontId="4" fillId="23" borderId="74" xfId="0" applyNumberFormat="1" applyFont="1" applyFill="1" applyBorder="1" applyAlignment="1" applyProtection="1">
      <alignment horizontal="left" vertical="top" wrapText="1"/>
    </xf>
    <xf numFmtId="0" fontId="25" fillId="23" borderId="75" xfId="0" applyFont="1" applyFill="1" applyBorder="1" applyAlignment="1" applyProtection="1">
      <alignment horizontal="left" vertical="top" wrapText="1"/>
    </xf>
    <xf numFmtId="0" fontId="25" fillId="23" borderId="91" xfId="0" applyFont="1" applyFill="1" applyBorder="1" applyAlignment="1" applyProtection="1">
      <alignment horizontal="left" vertical="top" wrapText="1"/>
    </xf>
    <xf numFmtId="3" fontId="4" fillId="23" borderId="74" xfId="0" applyNumberFormat="1" applyFont="1" applyFill="1" applyBorder="1" applyAlignment="1" applyProtection="1">
      <alignment vertical="center" wrapText="1"/>
    </xf>
    <xf numFmtId="0" fontId="0" fillId="23" borderId="75" xfId="0" applyFill="1" applyBorder="1" applyAlignment="1" applyProtection="1">
      <alignment vertical="center"/>
    </xf>
    <xf numFmtId="0" fontId="0" fillId="23" borderId="91" xfId="0" applyFill="1" applyBorder="1" applyAlignment="1" applyProtection="1">
      <alignment vertical="center"/>
    </xf>
    <xf numFmtId="3" fontId="4" fillId="23" borderId="157" xfId="0" applyNumberFormat="1" applyFont="1" applyFill="1" applyBorder="1" applyAlignment="1" applyProtection="1">
      <alignment horizontal="left" vertical="top" wrapText="1"/>
    </xf>
    <xf numFmtId="3" fontId="11" fillId="0" borderId="206" xfId="0" applyNumberFormat="1" applyFont="1" applyFill="1" applyBorder="1" applyAlignment="1" applyProtection="1">
      <alignment horizontal="left" vertical="top" wrapText="1"/>
      <protection locked="0"/>
    </xf>
    <xf numFmtId="3" fontId="4" fillId="23" borderId="210" xfId="0" applyNumberFormat="1" applyFont="1" applyFill="1" applyBorder="1" applyAlignment="1" applyProtection="1">
      <alignment vertical="center" wrapText="1"/>
    </xf>
    <xf numFmtId="3" fontId="4" fillId="23" borderId="200" xfId="0" applyNumberFormat="1" applyFont="1" applyFill="1" applyBorder="1" applyAlignment="1" applyProtection="1">
      <alignment vertical="center" wrapText="1"/>
    </xf>
    <xf numFmtId="0" fontId="4" fillId="23" borderId="12" xfId="0" applyFont="1" applyFill="1" applyBorder="1" applyAlignment="1" applyProtection="1">
      <alignment horizontal="left" vertical="top" wrapText="1"/>
    </xf>
    <xf numFmtId="0" fontId="0" fillId="0" borderId="91" xfId="0" applyBorder="1" applyAlignment="1"/>
    <xf numFmtId="0" fontId="3" fillId="0" borderId="66"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169" fillId="2" borderId="27" xfId="0" applyFont="1" applyFill="1" applyBorder="1" applyAlignment="1" applyProtection="1">
      <alignment vertical="top" wrapText="1"/>
    </xf>
    <xf numFmtId="0" fontId="164" fillId="0" borderId="27" xfId="0" applyFont="1" applyBorder="1" applyAlignment="1">
      <alignment vertical="top" wrapText="1"/>
    </xf>
    <xf numFmtId="0" fontId="3" fillId="0" borderId="198" xfId="0" applyFont="1" applyFill="1" applyBorder="1" applyAlignment="1" applyProtection="1">
      <alignment vertical="top" wrapText="1"/>
      <protection locked="0"/>
    </xf>
    <xf numFmtId="0" fontId="3" fillId="0" borderId="57" xfId="0" applyFont="1" applyFill="1" applyBorder="1" applyAlignment="1" applyProtection="1">
      <alignment vertical="top" wrapText="1"/>
      <protection locked="0"/>
    </xf>
    <xf numFmtId="0" fontId="3" fillId="0" borderId="141" xfId="0" applyFont="1" applyFill="1" applyBorder="1" applyAlignment="1" applyProtection="1">
      <alignment vertical="top" wrapText="1"/>
      <protection locked="0"/>
    </xf>
    <xf numFmtId="0" fontId="3" fillId="0" borderId="198" xfId="0" applyFont="1" applyFill="1" applyBorder="1" applyAlignment="1" applyProtection="1">
      <alignment horizontal="left" vertical="top" wrapText="1"/>
      <protection locked="0"/>
    </xf>
    <xf numFmtId="0" fontId="0" fillId="0" borderId="66" xfId="0" applyFill="1" applyBorder="1" applyAlignment="1" applyProtection="1">
      <alignment vertical="top" wrapText="1"/>
      <protection locked="0"/>
    </xf>
    <xf numFmtId="0" fontId="0" fillId="0" borderId="125" xfId="0" applyFill="1" applyBorder="1" applyAlignment="1" applyProtection="1">
      <alignment vertical="top" wrapText="1"/>
      <protection locked="0"/>
    </xf>
    <xf numFmtId="0" fontId="0" fillId="0" borderId="57"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0" fillId="0" borderId="43" xfId="0" applyFill="1" applyBorder="1" applyAlignment="1" applyProtection="1">
      <alignment vertical="top" wrapText="1"/>
      <protection locked="0"/>
    </xf>
    <xf numFmtId="0" fontId="0" fillId="0" borderId="141" xfId="0"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0" fillId="0" borderId="61" xfId="0" applyFill="1" applyBorder="1" applyAlignment="1" applyProtection="1">
      <alignment vertical="top" wrapText="1"/>
      <protection locked="0"/>
    </xf>
    <xf numFmtId="0" fontId="63" fillId="0" borderId="0" xfId="0" applyFont="1" applyFill="1" applyBorder="1" applyAlignment="1" applyProtection="1">
      <alignment horizontal="left" wrapText="1"/>
    </xf>
    <xf numFmtId="0" fontId="6" fillId="23" borderId="123" xfId="0" applyFont="1" applyFill="1" applyBorder="1" applyAlignment="1" applyProtection="1">
      <alignment vertical="top" wrapText="1"/>
    </xf>
    <xf numFmtId="0" fontId="13" fillId="23" borderId="95" xfId="0" applyFont="1" applyFill="1" applyBorder="1" applyAlignment="1" applyProtection="1">
      <alignment vertical="top" wrapText="1"/>
    </xf>
    <xf numFmtId="0" fontId="13" fillId="23" borderId="0" xfId="0" applyFont="1" applyFill="1" applyBorder="1" applyAlignment="1" applyProtection="1">
      <alignment vertical="top" wrapText="1"/>
    </xf>
    <xf numFmtId="0" fontId="13" fillId="23" borderId="43" xfId="0" applyFont="1" applyFill="1" applyBorder="1" applyAlignment="1" applyProtection="1">
      <alignment vertical="top" wrapText="1"/>
    </xf>
    <xf numFmtId="0" fontId="13" fillId="23" borderId="1" xfId="0" applyFont="1" applyFill="1" applyBorder="1" applyAlignment="1" applyProtection="1"/>
    <xf numFmtId="0" fontId="13" fillId="23" borderId="61" xfId="0" applyFont="1" applyFill="1" applyBorder="1" applyAlignment="1" applyProtection="1"/>
    <xf numFmtId="0" fontId="6" fillId="23" borderId="87" xfId="0" applyFont="1" applyFill="1" applyBorder="1" applyAlignment="1" applyProtection="1">
      <alignment vertical="top" wrapText="1"/>
    </xf>
    <xf numFmtId="0" fontId="56" fillId="23" borderId="59" xfId="0" applyFont="1" applyFill="1" applyBorder="1" applyAlignment="1" applyProtection="1">
      <alignment vertical="top" wrapText="1"/>
    </xf>
    <xf numFmtId="0" fontId="4" fillId="23" borderId="15" xfId="0" applyFont="1" applyFill="1" applyBorder="1" applyAlignment="1" applyProtection="1">
      <alignment vertical="top" wrapText="1"/>
    </xf>
    <xf numFmtId="0" fontId="0" fillId="23" borderId="15" xfId="0" applyFill="1" applyBorder="1" applyAlignment="1" applyProtection="1">
      <alignment vertical="top" wrapText="1"/>
    </xf>
    <xf numFmtId="0" fontId="0" fillId="23" borderId="41" xfId="0" applyFill="1" applyBorder="1" applyAlignment="1" applyProtection="1">
      <alignment vertical="top" wrapText="1"/>
    </xf>
    <xf numFmtId="0" fontId="4" fillId="23" borderId="59" xfId="0" applyFont="1" applyFill="1" applyBorder="1" applyAlignment="1" applyProtection="1">
      <alignment vertical="top" wrapText="1"/>
    </xf>
    <xf numFmtId="0" fontId="0" fillId="23" borderId="59" xfId="0" applyFill="1" applyBorder="1" applyAlignment="1" applyProtection="1">
      <alignment vertical="top" wrapText="1"/>
    </xf>
    <xf numFmtId="0" fontId="0" fillId="23" borderId="89" xfId="0" applyFill="1" applyBorder="1" applyAlignment="1" applyProtection="1">
      <alignment vertical="top" wrapText="1"/>
    </xf>
    <xf numFmtId="0" fontId="6" fillId="23" borderId="194" xfId="0" applyFont="1" applyFill="1" applyBorder="1" applyAlignment="1" applyProtection="1">
      <alignment horizontal="left" vertical="top" wrapText="1"/>
    </xf>
    <xf numFmtId="0" fontId="0" fillId="23" borderId="123" xfId="0" applyFill="1" applyBorder="1" applyAlignment="1">
      <alignment vertical="top"/>
    </xf>
    <xf numFmtId="0" fontId="0" fillId="23" borderId="120" xfId="0" applyFill="1" applyBorder="1" applyAlignment="1">
      <alignment vertical="top"/>
    </xf>
    <xf numFmtId="0" fontId="0" fillId="23" borderId="110" xfId="0" applyFill="1" applyBorder="1" applyAlignment="1">
      <alignment vertical="top"/>
    </xf>
    <xf numFmtId="0" fontId="0" fillId="23" borderId="1" xfId="0" applyFill="1" applyBorder="1" applyAlignment="1">
      <alignment vertical="top"/>
    </xf>
    <xf numFmtId="0" fontId="0" fillId="23" borderId="142" xfId="0" applyFill="1" applyBorder="1" applyAlignment="1">
      <alignment vertical="top"/>
    </xf>
    <xf numFmtId="0" fontId="4" fillId="23" borderId="0" xfId="0" applyFont="1" applyFill="1" applyBorder="1" applyAlignment="1" applyProtection="1">
      <alignment wrapText="1"/>
    </xf>
    <xf numFmtId="0" fontId="25" fillId="23" borderId="0" xfId="0" applyFont="1" applyFill="1" applyAlignment="1">
      <alignment wrapText="1"/>
    </xf>
    <xf numFmtId="0" fontId="154" fillId="23" borderId="27" xfId="0" applyFont="1" applyFill="1" applyBorder="1" applyAlignment="1" applyProtection="1">
      <alignment wrapText="1"/>
    </xf>
    <xf numFmtId="0" fontId="0" fillId="23" borderId="27" xfId="0" applyFill="1" applyBorder="1" applyAlignment="1">
      <alignment wrapText="1"/>
    </xf>
    <xf numFmtId="0" fontId="4" fillId="23" borderId="27" xfId="0" applyFont="1" applyFill="1" applyBorder="1" applyAlignment="1" applyProtection="1">
      <alignment wrapText="1"/>
    </xf>
    <xf numFmtId="0" fontId="4" fillId="23" borderId="27" xfId="0" applyFont="1" applyFill="1" applyBorder="1" applyAlignment="1" applyProtection="1">
      <alignment horizontal="left" vertical="top" wrapText="1"/>
    </xf>
    <xf numFmtId="0" fontId="0" fillId="23" borderId="27" xfId="0" applyFill="1" applyBorder="1" applyAlignment="1">
      <alignment horizontal="left" vertical="top" wrapText="1"/>
    </xf>
    <xf numFmtId="0" fontId="0" fillId="23" borderId="0" xfId="0" applyFill="1" applyAlignment="1">
      <alignment wrapText="1"/>
    </xf>
    <xf numFmtId="0" fontId="154" fillId="23" borderId="0" xfId="0" applyFont="1" applyFill="1" applyBorder="1" applyAlignment="1" applyProtection="1">
      <alignment wrapText="1"/>
    </xf>
    <xf numFmtId="0" fontId="0" fillId="23" borderId="38" xfId="0" applyFill="1" applyBorder="1" applyAlignment="1">
      <alignment wrapText="1"/>
    </xf>
    <xf numFmtId="0" fontId="56" fillId="23" borderId="36" xfId="6" applyFont="1" applyFill="1" applyBorder="1" applyAlignment="1" applyProtection="1">
      <alignment vertical="center" wrapText="1"/>
    </xf>
    <xf numFmtId="0" fontId="0" fillId="0" borderId="95" xfId="0" applyBorder="1" applyAlignment="1">
      <alignment wrapText="1"/>
    </xf>
    <xf numFmtId="0" fontId="0" fillId="0" borderId="57" xfId="0" applyBorder="1" applyAlignment="1">
      <alignment wrapText="1"/>
    </xf>
    <xf numFmtId="0" fontId="0" fillId="0" borderId="43" xfId="0" applyBorder="1" applyAlignment="1">
      <alignment wrapText="1"/>
    </xf>
    <xf numFmtId="0" fontId="4" fillId="23" borderId="117" xfId="6" applyFont="1" applyFill="1" applyBorder="1" applyAlignment="1" applyProtection="1">
      <alignment vertical="top" wrapText="1"/>
    </xf>
    <xf numFmtId="0" fontId="0" fillId="0" borderId="2" xfId="0" applyBorder="1" applyAlignment="1">
      <alignment vertical="top" wrapText="1"/>
    </xf>
    <xf numFmtId="3" fontId="4" fillId="23" borderId="16" xfId="6" applyNumberFormat="1" applyFont="1" applyFill="1" applyBorder="1" applyAlignment="1" applyProtection="1">
      <alignment vertical="top" wrapText="1"/>
    </xf>
    <xf numFmtId="0" fontId="0" fillId="23" borderId="16" xfId="0" applyFill="1" applyBorder="1" applyAlignment="1">
      <alignment wrapText="1"/>
    </xf>
    <xf numFmtId="3" fontId="4" fillId="23" borderId="15" xfId="6" applyNumberFormat="1" applyFont="1" applyFill="1" applyBorder="1" applyAlignment="1" applyProtection="1">
      <alignment vertical="top" wrapText="1"/>
    </xf>
    <xf numFmtId="0" fontId="0" fillId="23" borderId="15" xfId="0" applyFill="1" applyBorder="1" applyAlignment="1">
      <alignment vertical="top" wrapText="1"/>
    </xf>
    <xf numFmtId="0" fontId="0" fillId="23" borderId="15" xfId="0" applyFill="1" applyBorder="1" applyAlignment="1">
      <alignment wrapText="1"/>
    </xf>
    <xf numFmtId="0" fontId="4" fillId="23" borderId="15" xfId="6" applyFont="1" applyFill="1" applyBorder="1" applyAlignment="1" applyProtection="1">
      <alignment vertical="top" wrapText="1"/>
    </xf>
    <xf numFmtId="0" fontId="0" fillId="23" borderId="41" xfId="0" applyFill="1" applyBorder="1" applyAlignment="1">
      <alignment vertical="top" wrapText="1"/>
    </xf>
    <xf numFmtId="3" fontId="4" fillId="23" borderId="158" xfId="6" applyNumberFormat="1" applyFont="1" applyFill="1" applyBorder="1" applyAlignment="1" applyProtection="1">
      <alignment vertical="center" wrapText="1"/>
    </xf>
    <xf numFmtId="0" fontId="0" fillId="23" borderId="158" xfId="0" applyFill="1" applyBorder="1" applyAlignment="1">
      <alignment vertical="center" wrapText="1"/>
    </xf>
    <xf numFmtId="3" fontId="4" fillId="23" borderId="167" xfId="6" applyNumberFormat="1" applyFont="1" applyFill="1" applyBorder="1" applyAlignment="1" applyProtection="1">
      <alignment wrapText="1"/>
    </xf>
    <xf numFmtId="0" fontId="0" fillId="23" borderId="3" xfId="0" applyFill="1" applyBorder="1" applyAlignment="1">
      <alignment wrapText="1"/>
    </xf>
    <xf numFmtId="0" fontId="0" fillId="23" borderId="158" xfId="0" applyFill="1" applyBorder="1" applyAlignment="1">
      <alignment vertical="center"/>
    </xf>
    <xf numFmtId="3" fontId="4" fillId="23" borderId="158" xfId="6" applyNumberFormat="1" applyFont="1" applyFill="1" applyBorder="1" applyAlignment="1" applyProtection="1">
      <alignment vertical="top" wrapText="1"/>
    </xf>
    <xf numFmtId="0" fontId="25" fillId="23" borderId="158" xfId="0" applyFont="1" applyFill="1" applyBorder="1" applyAlignment="1">
      <alignment vertical="top" wrapText="1"/>
    </xf>
    <xf numFmtId="0" fontId="4" fillId="23" borderId="156" xfId="6" applyFont="1" applyFill="1" applyBorder="1" applyAlignment="1" applyProtection="1">
      <alignment wrapText="1"/>
    </xf>
    <xf numFmtId="0" fontId="0" fillId="0" borderId="158" xfId="0" applyBorder="1" applyAlignment="1">
      <alignment wrapText="1"/>
    </xf>
    <xf numFmtId="0" fontId="3" fillId="0" borderId="111" xfId="6" applyFont="1" applyBorder="1" applyAlignment="1" applyProtection="1">
      <alignment vertical="top" wrapText="1"/>
      <protection locked="0"/>
    </xf>
    <xf numFmtId="0" fontId="0" fillId="0" borderId="66" xfId="0" applyBorder="1" applyAlignment="1">
      <alignment vertical="top" wrapText="1"/>
    </xf>
    <xf numFmtId="0" fontId="0" fillId="0" borderId="125" xfId="0" applyBorder="1" applyAlignment="1">
      <alignment vertical="top" wrapText="1"/>
    </xf>
    <xf numFmtId="0" fontId="0" fillId="0" borderId="27" xfId="0" applyBorder="1" applyAlignment="1">
      <alignment vertical="top" wrapText="1"/>
    </xf>
    <xf numFmtId="0" fontId="0" fillId="0" borderId="0" xfId="0" applyBorder="1" applyAlignment="1">
      <alignment vertical="top" wrapText="1"/>
    </xf>
    <xf numFmtId="0" fontId="0" fillId="0" borderId="43" xfId="0" applyBorder="1" applyAlignment="1">
      <alignment vertical="top" wrapText="1"/>
    </xf>
    <xf numFmtId="0" fontId="0" fillId="0" borderId="110" xfId="0" applyBorder="1" applyAlignment="1">
      <alignment vertical="top" wrapText="1"/>
    </xf>
    <xf numFmtId="0" fontId="0" fillId="0" borderId="1" xfId="0" applyBorder="1" applyAlignment="1">
      <alignment vertical="top" wrapText="1"/>
    </xf>
    <xf numFmtId="0" fontId="0" fillId="0" borderId="61" xfId="0" applyBorder="1" applyAlignment="1">
      <alignment vertical="top" wrapText="1"/>
    </xf>
    <xf numFmtId="0" fontId="3" fillId="0" borderId="111" xfId="6" applyFont="1" applyFill="1" applyBorder="1" applyAlignment="1" applyProtection="1">
      <alignment vertical="top" wrapText="1"/>
      <protection locked="0"/>
    </xf>
    <xf numFmtId="3" fontId="4" fillId="23" borderId="27" xfId="6" applyNumberFormat="1" applyFont="1" applyFill="1" applyBorder="1" applyAlignment="1" applyProtection="1">
      <alignment vertical="top" wrapText="1"/>
    </xf>
    <xf numFmtId="0" fontId="25" fillId="23" borderId="56" xfId="6" applyFill="1" applyBorder="1" applyAlignment="1" applyProtection="1"/>
    <xf numFmtId="0" fontId="25" fillId="23" borderId="27" xfId="6" applyFill="1" applyBorder="1" applyAlignment="1" applyProtection="1"/>
    <xf numFmtId="0" fontId="3" fillId="0" borderId="66" xfId="6" applyFont="1" applyFill="1" applyBorder="1" applyAlignment="1" applyProtection="1">
      <alignment vertical="top" wrapText="1"/>
      <protection locked="0"/>
    </xf>
    <xf numFmtId="0" fontId="3" fillId="0" borderId="125" xfId="6" applyFont="1" applyFill="1" applyBorder="1" applyAlignment="1" applyProtection="1">
      <alignment vertical="top" wrapText="1"/>
      <protection locked="0"/>
    </xf>
    <xf numFmtId="0" fontId="3" fillId="0" borderId="27" xfId="6" applyFont="1" applyFill="1" applyBorder="1" applyAlignment="1" applyProtection="1">
      <alignment vertical="top" wrapText="1"/>
      <protection locked="0"/>
    </xf>
    <xf numFmtId="0" fontId="3" fillId="0" borderId="0" xfId="6" applyFont="1" applyFill="1" applyBorder="1" applyAlignment="1" applyProtection="1">
      <alignment vertical="top" wrapText="1"/>
      <protection locked="0"/>
    </xf>
    <xf numFmtId="0" fontId="3" fillId="0" borderId="43" xfId="6" applyFont="1" applyFill="1" applyBorder="1" applyAlignment="1" applyProtection="1">
      <alignment vertical="top" wrapText="1"/>
      <protection locked="0"/>
    </xf>
    <xf numFmtId="0" fontId="3" fillId="0" borderId="110" xfId="6" applyFont="1" applyFill="1" applyBorder="1" applyAlignment="1" applyProtection="1">
      <alignment vertical="top" wrapText="1"/>
      <protection locked="0"/>
    </xf>
    <xf numFmtId="0" fontId="3" fillId="0" borderId="1" xfId="6" applyFont="1" applyFill="1" applyBorder="1" applyAlignment="1" applyProtection="1">
      <alignment vertical="top" wrapText="1"/>
      <protection locked="0"/>
    </xf>
    <xf numFmtId="0" fontId="3" fillId="0" borderId="61" xfId="6" applyFont="1" applyFill="1" applyBorder="1" applyAlignment="1" applyProtection="1">
      <alignment vertical="top" wrapText="1"/>
      <protection locked="0"/>
    </xf>
    <xf numFmtId="0" fontId="4" fillId="23" borderId="158" xfId="6" applyFont="1" applyFill="1" applyBorder="1" applyAlignment="1" applyProtection="1">
      <alignment horizontal="left" wrapText="1"/>
    </xf>
    <xf numFmtId="0" fontId="4" fillId="23" borderId="242" xfId="6" applyFont="1" applyFill="1" applyBorder="1" applyAlignment="1" applyProtection="1">
      <alignment horizontal="left" wrapText="1"/>
    </xf>
    <xf numFmtId="0" fontId="160" fillId="23" borderId="56" xfId="0" applyFont="1" applyFill="1" applyBorder="1" applyAlignment="1">
      <alignment wrapText="1"/>
    </xf>
    <xf numFmtId="0" fontId="161" fillId="0" borderId="56" xfId="0" applyFont="1" applyBorder="1" applyAlignment="1">
      <alignment wrapText="1"/>
    </xf>
    <xf numFmtId="0" fontId="158" fillId="23" borderId="86" xfId="0" applyFont="1" applyFill="1" applyBorder="1" applyAlignment="1">
      <alignment horizontal="left" vertical="top" wrapText="1"/>
    </xf>
    <xf numFmtId="0" fontId="0" fillId="23" borderId="56" xfId="0" applyFill="1" applyBorder="1" applyAlignment="1">
      <alignment horizontal="left" vertical="top" wrapText="1"/>
    </xf>
    <xf numFmtId="0" fontId="0" fillId="23" borderId="58" xfId="0" applyFill="1" applyBorder="1" applyAlignment="1">
      <alignment horizontal="left" vertical="top" wrapText="1"/>
    </xf>
    <xf numFmtId="0" fontId="157" fillId="23" borderId="56" xfId="0" applyFont="1" applyFill="1" applyBorder="1" applyAlignment="1">
      <alignment horizontal="center" vertical="top" wrapText="1"/>
    </xf>
    <xf numFmtId="0" fontId="0" fillId="0" borderId="0" xfId="0" applyAlignment="1">
      <alignment vertical="top" wrapText="1"/>
    </xf>
    <xf numFmtId="3" fontId="4" fillId="23" borderId="158" xfId="0" applyNumberFormat="1" applyFont="1" applyFill="1" applyBorder="1" applyAlignment="1" applyProtection="1">
      <alignment wrapText="1"/>
    </xf>
    <xf numFmtId="0" fontId="0" fillId="23" borderId="158" xfId="0" applyFill="1" applyBorder="1" applyAlignment="1">
      <alignment wrapText="1"/>
    </xf>
    <xf numFmtId="0" fontId="4" fillId="23" borderId="158" xfId="0" applyFont="1" applyFill="1" applyBorder="1" applyAlignment="1" applyProtection="1">
      <alignment vertical="top" wrapText="1"/>
    </xf>
    <xf numFmtId="0" fontId="0" fillId="0" borderId="158" xfId="0" applyBorder="1" applyAlignment="1">
      <alignment vertical="top" wrapText="1"/>
    </xf>
    <xf numFmtId="3" fontId="4" fillId="23" borderId="158" xfId="0" applyNumberFormat="1" applyFont="1" applyFill="1" applyBorder="1" applyAlignment="1" applyProtection="1">
      <alignment vertical="top" wrapText="1"/>
    </xf>
    <xf numFmtId="3" fontId="4" fillId="23" borderId="107" xfId="0" applyNumberFormat="1" applyFont="1" applyFill="1" applyBorder="1" applyAlignment="1" applyProtection="1">
      <alignment vertical="top" wrapText="1"/>
    </xf>
    <xf numFmtId="0" fontId="4" fillId="23" borderId="156" xfId="0" applyFont="1" applyFill="1" applyBorder="1" applyAlignment="1" applyProtection="1">
      <alignment vertical="top" wrapText="1"/>
    </xf>
    <xf numFmtId="0" fontId="25" fillId="23" borderId="175" xfId="0" applyFont="1" applyFill="1" applyBorder="1" applyAlignment="1">
      <alignment vertical="top" wrapText="1"/>
    </xf>
    <xf numFmtId="0" fontId="3" fillId="0" borderId="111" xfId="6" applyFont="1" applyFill="1" applyBorder="1" applyAlignment="1" applyProtection="1">
      <alignment horizontal="left" vertical="top" wrapText="1"/>
      <protection locked="0"/>
    </xf>
    <xf numFmtId="0" fontId="0" fillId="0" borderId="66" xfId="0" applyBorder="1" applyAlignment="1" applyProtection="1">
      <alignment horizontal="left" vertical="top" wrapText="1"/>
      <protection locked="0"/>
    </xf>
    <xf numFmtId="0" fontId="0" fillId="0" borderId="125"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3" fontId="150" fillId="23" borderId="0" xfId="0" applyNumberFormat="1" applyFont="1" applyFill="1" applyBorder="1" applyAlignment="1" applyProtection="1">
      <alignment horizontal="left" vertical="center" wrapText="1"/>
    </xf>
    <xf numFmtId="0" fontId="173" fillId="0" borderId="56" xfId="0" applyFont="1" applyBorder="1" applyAlignment="1">
      <alignment vertical="center" wrapText="1"/>
    </xf>
    <xf numFmtId="0" fontId="173" fillId="0" borderId="0" xfId="0" applyFont="1" applyBorder="1" applyAlignment="1">
      <alignment vertical="center" wrapText="1"/>
    </xf>
    <xf numFmtId="0" fontId="173" fillId="0" borderId="0" xfId="0" applyFont="1" applyAlignment="1">
      <alignment vertical="center" wrapText="1"/>
    </xf>
    <xf numFmtId="0" fontId="173" fillId="0" borderId="38" xfId="0" applyFont="1" applyBorder="1" applyAlignment="1">
      <alignment vertical="center" wrapText="1"/>
    </xf>
    <xf numFmtId="0" fontId="173" fillId="0" borderId="58" xfId="0" applyFont="1" applyBorder="1" applyAlignment="1">
      <alignment vertical="center" wrapText="1"/>
    </xf>
    <xf numFmtId="0" fontId="3" fillId="0" borderId="111" xfId="10" applyFont="1" applyFill="1" applyBorder="1" applyAlignment="1" applyProtection="1">
      <alignment horizontal="left" vertical="top" wrapText="1"/>
      <protection locked="0"/>
    </xf>
    <xf numFmtId="0" fontId="0" fillId="0" borderId="237" xfId="0" applyBorder="1" applyAlignment="1">
      <alignment vertical="top" wrapText="1"/>
    </xf>
    <xf numFmtId="0" fontId="0" fillId="0" borderId="238" xfId="0" applyBorder="1" applyAlignment="1">
      <alignment vertical="top" wrapText="1"/>
    </xf>
    <xf numFmtId="0" fontId="0" fillId="0" borderId="239" xfId="0" applyBorder="1" applyAlignment="1">
      <alignment vertical="top" wrapText="1"/>
    </xf>
    <xf numFmtId="0" fontId="0" fillId="0" borderId="240" xfId="0" applyBorder="1" applyAlignment="1">
      <alignment vertical="top" wrapText="1"/>
    </xf>
    <xf numFmtId="0" fontId="0" fillId="0" borderId="241" xfId="0" applyBorder="1" applyAlignment="1">
      <alignment vertical="top" wrapText="1"/>
    </xf>
    <xf numFmtId="0" fontId="3" fillId="0" borderId="111" xfId="11" applyFont="1" applyFill="1" applyBorder="1" applyAlignment="1" applyProtection="1">
      <alignment vertical="top" wrapText="1"/>
      <protection locked="0"/>
    </xf>
    <xf numFmtId="0" fontId="0" fillId="0" borderId="237" xfId="0" applyFill="1" applyBorder="1" applyAlignment="1">
      <alignment vertical="top" wrapText="1"/>
    </xf>
    <xf numFmtId="0" fontId="0" fillId="0" borderId="238" xfId="0" applyFill="1" applyBorder="1" applyAlignment="1">
      <alignment vertical="top" wrapText="1"/>
    </xf>
    <xf numFmtId="0" fontId="0" fillId="0" borderId="27" xfId="0" applyFill="1" applyBorder="1" applyAlignment="1">
      <alignment vertical="top" wrapText="1"/>
    </xf>
    <xf numFmtId="0" fontId="0" fillId="0" borderId="43" xfId="0" applyFill="1" applyBorder="1" applyAlignment="1">
      <alignment vertical="top" wrapText="1"/>
    </xf>
    <xf numFmtId="0" fontId="0" fillId="0" borderId="239" xfId="0" applyFill="1" applyBorder="1" applyAlignment="1">
      <alignment vertical="top" wrapText="1"/>
    </xf>
    <xf numFmtId="0" fontId="0" fillId="0" borderId="240" xfId="0" applyFill="1" applyBorder="1" applyAlignment="1">
      <alignment vertical="top" wrapText="1"/>
    </xf>
    <xf numFmtId="0" fontId="0" fillId="0" borderId="241" xfId="0" applyFill="1" applyBorder="1" applyAlignment="1">
      <alignment vertical="top" wrapText="1"/>
    </xf>
    <xf numFmtId="0" fontId="3" fillId="0" borderId="111" xfId="10" applyFont="1" applyFill="1" applyBorder="1" applyAlignment="1" applyProtection="1">
      <alignment vertical="top" wrapText="1"/>
      <protection locked="0"/>
    </xf>
    <xf numFmtId="0" fontId="56" fillId="0" borderId="0" xfId="0" applyFont="1" applyAlignment="1">
      <alignment wrapText="1"/>
    </xf>
    <xf numFmtId="0" fontId="25" fillId="0" borderId="0" xfId="0" applyFont="1" applyAlignment="1"/>
  </cellXfs>
  <cellStyles count="25">
    <cellStyle name="Anteckning 2" xfId="1" xr:uid="{00000000-0005-0000-0000-000000000000}"/>
    <cellStyle name="Anteckning 2 2" xfId="2" xr:uid="{00000000-0005-0000-0000-000001000000}"/>
    <cellStyle name="Anteckning 2 2 2" xfId="20" xr:uid="{980DEC4E-8892-4E84-B793-0FB55E05772C}"/>
    <cellStyle name="Anteckning 2 3" xfId="19" xr:uid="{B3A94F0D-7E7F-46CA-A7D6-2DF259A641AE}"/>
    <cellStyle name="Dålig 2" xfId="3" xr:uid="{00000000-0005-0000-0000-000002000000}"/>
    <cellStyle name="Följde hyperlänken" xfId="4" xr:uid="{00000000-0005-0000-0000-000003000000}"/>
    <cellStyle name="Hyperlänk" xfId="5" builtinId="8"/>
    <cellStyle name="Normal" xfId="0" builtinId="0"/>
    <cellStyle name="Normal 2" xfId="6" xr:uid="{00000000-0005-0000-0000-000006000000}"/>
    <cellStyle name="Normal 3" xfId="7" xr:uid="{00000000-0005-0000-0000-000007000000}"/>
    <cellStyle name="Normal 4" xfId="8" xr:uid="{00000000-0005-0000-0000-000008000000}"/>
    <cellStyle name="Normal 4 2" xfId="9" xr:uid="{00000000-0005-0000-0000-000009000000}"/>
    <cellStyle name="Normal 4 2 2" xfId="22" xr:uid="{9427D73E-2370-485D-BAFD-63EEDD79EE4A}"/>
    <cellStyle name="Normal 4 3" xfId="21" xr:uid="{7ACACD36-7FAF-497B-9F24-69FAECF3BC09}"/>
    <cellStyle name="Normal 5" xfId="24" xr:uid="{692164B7-F736-4A83-BCE1-3E1D987D8461}"/>
    <cellStyle name="Normal_Kontrollblad" xfId="10" xr:uid="{00000000-0005-0000-0000-00000A000000}"/>
    <cellStyle name="Normal_Kontrollblad_1" xfId="11" xr:uid="{00000000-0005-0000-0000-00000B000000}"/>
    <cellStyle name="Normal_skolkostn" xfId="12" xr:uid="{00000000-0005-0000-0000-00000C000000}"/>
    <cellStyle name="Normal_skolkostn 2" xfId="13" xr:uid="{00000000-0005-0000-0000-00000D000000}"/>
    <cellStyle name="Procent" xfId="14" builtinId="5"/>
    <cellStyle name="Procent 2" xfId="15" xr:uid="{00000000-0005-0000-0000-00000F000000}"/>
    <cellStyle name="Tusental" xfId="18" builtinId="3"/>
    <cellStyle name="Tusental (0)_Kommunägda företag" xfId="16" xr:uid="{00000000-0005-0000-0000-000010000000}"/>
    <cellStyle name="Tusental 2" xfId="23" xr:uid="{25C499EC-3936-410A-9950-5D73A1A36248}"/>
    <cellStyle name="Valuta (0)_Kommunägda företag" xfId="17" xr:uid="{00000000-0005-0000-0000-000011000000}"/>
  </cellStyles>
  <dxfs count="178">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rgb="FFFFFFCC"/>
      </font>
    </dxf>
    <dxf>
      <font>
        <color rgb="FFFFFFCC"/>
      </font>
    </dxf>
    <dxf>
      <fill>
        <patternFill>
          <bgColor indexed="10"/>
        </patternFill>
      </fill>
    </dxf>
    <dxf>
      <fill>
        <patternFill>
          <bgColor rgb="FFFF0000"/>
        </patternFill>
      </fill>
    </dxf>
    <dxf>
      <font>
        <color rgb="FFFF0000"/>
      </font>
    </dxf>
    <dxf>
      <font>
        <color rgb="FFFF0000"/>
      </font>
    </dxf>
    <dxf>
      <font>
        <color rgb="FFFF0000"/>
      </font>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color rgb="FFFF0000"/>
      </font>
    </dxf>
    <dxf>
      <font>
        <color auto="1"/>
      </font>
      <fill>
        <patternFill>
          <bgColor theme="9" tint="0.59996337778862885"/>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ill>
        <patternFill>
          <bgColor theme="9" tint="0.59996337778862885"/>
        </patternFill>
      </fill>
    </dxf>
    <dxf>
      <font>
        <color rgb="FFFF0000"/>
      </font>
    </dxf>
    <dxf>
      <font>
        <b val="0"/>
        <i val="0"/>
        <color auto="1"/>
        <name val="Cambria"/>
        <scheme val="none"/>
      </font>
      <fill>
        <patternFill patternType="solid">
          <bgColor theme="9" tint="0.39994506668294322"/>
        </patternFill>
      </fill>
    </dxf>
    <dxf>
      <font>
        <color rgb="FFFF0000"/>
      </font>
    </dxf>
    <dxf>
      <font>
        <color rgb="FFFF0000"/>
      </font>
    </dxf>
    <dxf>
      <font>
        <color rgb="FFFF0000"/>
      </font>
    </dxf>
    <dxf>
      <font>
        <color rgb="FFFF0000"/>
      </font>
    </dxf>
    <dxf>
      <font>
        <color rgb="FFFF0000"/>
      </font>
    </dxf>
    <dxf>
      <font>
        <b val="0"/>
        <i val="0"/>
        <color auto="1"/>
        <name val="Cambria"/>
        <scheme val="none"/>
      </font>
      <fill>
        <patternFill>
          <bgColor theme="9" tint="0.39994506668294322"/>
        </patternFill>
      </fill>
    </dxf>
    <dxf>
      <font>
        <color rgb="FFFF0000"/>
      </font>
    </dxf>
    <dxf>
      <font>
        <b val="0"/>
        <i val="0"/>
        <color auto="1"/>
        <name val="Cambria"/>
        <scheme val="none"/>
      </font>
      <fill>
        <patternFill patternType="solid">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i val="0"/>
        <color rgb="FFFF0000"/>
      </font>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ill>
        <patternFill>
          <bgColor rgb="FFFF0000"/>
        </patternFill>
      </fill>
    </dxf>
    <dxf>
      <font>
        <b val="0"/>
        <i val="0"/>
        <color auto="1"/>
      </font>
      <fill>
        <patternFill>
          <bgColor theme="9" tint="0.39994506668294322"/>
        </patternFill>
      </fill>
    </dxf>
    <dxf>
      <font>
        <color auto="1"/>
      </font>
      <fill>
        <patternFill>
          <bgColor rgb="FFFFC000"/>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rgb="FFFF0000"/>
      </font>
    </dxf>
    <dxf>
      <font>
        <color rgb="FFFF0000"/>
      </font>
    </dxf>
    <dxf>
      <font>
        <color rgb="FFFF0000"/>
      </font>
    </dxf>
    <dxf>
      <font>
        <condense val="0"/>
        <extend val="0"/>
        <color indexed="10"/>
      </font>
    </dxf>
    <dxf>
      <font>
        <color rgb="FFFF0000"/>
      </font>
    </dxf>
    <dxf>
      <font>
        <condense val="0"/>
        <extend val="0"/>
        <color indexed="10"/>
      </font>
    </dxf>
    <dxf>
      <fill>
        <patternFill>
          <bgColor indexed="10"/>
        </patternFill>
      </fill>
    </dxf>
    <dxf>
      <fill>
        <patternFill>
          <bgColor rgb="FFFF0000"/>
        </patternFill>
      </fill>
    </dxf>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lor rgb="FFFF0000"/>
      </font>
    </dxf>
    <dxf>
      <font>
        <b val="0"/>
        <i val="0"/>
        <color rgb="FFFF0000"/>
      </font>
    </dxf>
    <dxf>
      <font>
        <b val="0"/>
        <i val="0"/>
        <color rgb="FFFF0000"/>
      </font>
    </dxf>
    <dxf>
      <font>
        <b val="0"/>
        <i val="0"/>
        <color rgb="FFFF0000"/>
      </font>
    </dxf>
    <dxf>
      <font>
        <b/>
        <i val="0"/>
        <color rgb="FFFF0000"/>
      </font>
    </dxf>
    <dxf>
      <font>
        <b val="0"/>
        <i val="0"/>
        <color rgb="FFFF0000"/>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color auto="1"/>
      </font>
      <fill>
        <patternFill>
          <bgColor theme="9" tint="0.39994506668294322"/>
        </patternFill>
      </fill>
    </dxf>
    <dxf>
      <font>
        <b/>
        <i val="0"/>
        <color rgb="FFFF0000"/>
      </font>
    </dxf>
    <dxf>
      <font>
        <b/>
        <i val="0"/>
        <color rgb="FFFF0000"/>
      </font>
    </dxf>
    <dxf>
      <font>
        <color auto="1"/>
      </font>
      <fill>
        <patternFill>
          <bgColor theme="9" tint="0.59996337778862885"/>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ill>
        <patternFill>
          <bgColor rgb="FFFF0000"/>
        </patternFill>
      </fill>
    </dxf>
    <dxf>
      <fill>
        <patternFill>
          <bgColor rgb="FFFF0000"/>
        </patternFill>
      </fill>
    </dxf>
    <dxf>
      <fill>
        <patternFill>
          <bgColor rgb="FFFF0000"/>
        </patternFill>
      </fill>
    </dxf>
    <dxf>
      <font>
        <color rgb="FFFF0000"/>
      </font>
    </dxf>
    <dxf>
      <fill>
        <patternFill>
          <bgColor indexed="10"/>
        </patternFill>
      </fill>
    </dxf>
    <dxf>
      <font>
        <color rgb="FFFF0000"/>
      </font>
    </dxf>
    <dxf>
      <fill>
        <patternFill>
          <bgColor indexed="10"/>
        </patternFill>
      </fill>
    </dxf>
    <dxf>
      <font>
        <color rgb="FFFF0000"/>
      </font>
    </dxf>
    <dxf>
      <font>
        <color rgb="FFFF0000"/>
      </font>
    </dxf>
    <dxf>
      <fill>
        <patternFill>
          <bgColor rgb="FFFF0000"/>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39994506668294322"/>
        </patternFill>
      </fill>
    </dxf>
    <dxf>
      <font>
        <strike val="0"/>
        <color auto="1"/>
      </font>
      <fill>
        <patternFill>
          <bgColor theme="9" tint="0.79998168889431442"/>
        </patternFill>
      </fill>
    </dxf>
    <dxf>
      <fill>
        <patternFill>
          <bgColor indexed="10"/>
        </patternFill>
      </fill>
    </dxf>
    <dxf>
      <font>
        <b/>
        <i val="0"/>
        <condense val="0"/>
        <extend val="0"/>
        <color indexed="10"/>
      </font>
    </dxf>
    <dxf>
      <font>
        <b/>
        <i val="0"/>
        <condense val="0"/>
        <extend val="0"/>
        <color indexed="10"/>
      </font>
      <fill>
        <patternFill patternType="none">
          <bgColor indexed="65"/>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CCC0DA"/>
      <color rgb="FFC0C0C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617845" y="5097780"/>
          <a:ext cx="184731" cy="26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a:extLst>
            <a:ext uri="{FF2B5EF4-FFF2-40B4-BE49-F238E27FC236}">
              <a16:creationId xmlns:a16="http://schemas.microsoft.com/office/drawing/2014/main" id="{00000000-0008-0000-0200-000011D70200}"/>
            </a:ext>
          </a:extLst>
        </xdr:cNvPr>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a:extLst>
            <a:ext uri="{FF2B5EF4-FFF2-40B4-BE49-F238E27FC236}">
              <a16:creationId xmlns:a16="http://schemas.microsoft.com/office/drawing/2014/main" id="{00000000-0008-0000-0200-000012D70200}"/>
            </a:ext>
          </a:extLst>
        </xdr:cNvPr>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a:extLst>
            <a:ext uri="{FF2B5EF4-FFF2-40B4-BE49-F238E27FC236}">
              <a16:creationId xmlns:a16="http://schemas.microsoft.com/office/drawing/2014/main" id="{00000000-0008-0000-0200-000013D70200}"/>
            </a:ext>
          </a:extLst>
        </xdr:cNvPr>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717550</xdr:colOff>
      <xdr:row>53</xdr:row>
      <xdr:rowOff>28576</xdr:rowOff>
    </xdr:from>
    <xdr:to>
      <xdr:col>8</xdr:col>
      <xdr:colOff>69850</xdr:colOff>
      <xdr:row>53</xdr:row>
      <xdr:rowOff>31750</xdr:rowOff>
    </xdr:to>
    <xdr:cxnSp macro="">
      <xdr:nvCxnSpPr>
        <xdr:cNvPr id="186132" name="AutoShape 245">
          <a:extLst>
            <a:ext uri="{FF2B5EF4-FFF2-40B4-BE49-F238E27FC236}">
              <a16:creationId xmlns:a16="http://schemas.microsoft.com/office/drawing/2014/main" id="{00000000-0008-0000-0200-000014D70200}"/>
            </a:ext>
          </a:extLst>
        </xdr:cNvPr>
        <xdr:cNvCxnSpPr>
          <a:cxnSpLocks noChangeShapeType="1"/>
        </xdr:cNvCxnSpPr>
      </xdr:nvCxnSpPr>
      <xdr:spPr bwMode="auto">
        <a:xfrm>
          <a:off x="4203700" y="8899526"/>
          <a:ext cx="3117850" cy="31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63</xdr:row>
      <xdr:rowOff>104775</xdr:rowOff>
    </xdr:from>
    <xdr:to>
      <xdr:col>6</xdr:col>
      <xdr:colOff>0</xdr:colOff>
      <xdr:row>63</xdr:row>
      <xdr:rowOff>114300</xdr:rowOff>
    </xdr:to>
    <xdr:cxnSp macro="">
      <xdr:nvCxnSpPr>
        <xdr:cNvPr id="186133" name="AutoShape 246">
          <a:extLst>
            <a:ext uri="{FF2B5EF4-FFF2-40B4-BE49-F238E27FC236}">
              <a16:creationId xmlns:a16="http://schemas.microsoft.com/office/drawing/2014/main" id="{00000000-0008-0000-0200-000015D70200}"/>
            </a:ext>
          </a:extLst>
        </xdr:cNvPr>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59</xdr:row>
      <xdr:rowOff>114300</xdr:rowOff>
    </xdr:from>
    <xdr:to>
      <xdr:col>5</xdr:col>
      <xdr:colOff>1568450</xdr:colOff>
      <xdr:row>60</xdr:row>
      <xdr:rowOff>85725</xdr:rowOff>
    </xdr:to>
    <xdr:cxnSp macro="">
      <xdr:nvCxnSpPr>
        <xdr:cNvPr id="186135" name="AutoShape 250">
          <a:extLst>
            <a:ext uri="{FF2B5EF4-FFF2-40B4-BE49-F238E27FC236}">
              <a16:creationId xmlns:a16="http://schemas.microsoft.com/office/drawing/2014/main" id="{00000000-0008-0000-0200-000017D70200}"/>
            </a:ext>
          </a:extLst>
        </xdr:cNvPr>
        <xdr:cNvCxnSpPr>
          <a:cxnSpLocks noChangeShapeType="1"/>
        </xdr:cNvCxnSpPr>
      </xdr:nvCxnSpPr>
      <xdr:spPr bwMode="auto">
        <a:xfrm flipV="1">
          <a:off x="4902200" y="10090150"/>
          <a:ext cx="1568450" cy="155575"/>
        </a:xfrm>
        <a:prstGeom prst="bentConnector3">
          <a:avLst>
            <a:gd name="adj1" fmla="val 5404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a:extLst>
            <a:ext uri="{FF2B5EF4-FFF2-40B4-BE49-F238E27FC236}">
              <a16:creationId xmlns:a16="http://schemas.microsoft.com/office/drawing/2014/main" id="{00000000-0008-0000-0200-000019D70200}"/>
            </a:ext>
          </a:extLst>
        </xdr:cNvPr>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a:extLst>
            <a:ext uri="{FF2B5EF4-FFF2-40B4-BE49-F238E27FC236}">
              <a16:creationId xmlns:a16="http://schemas.microsoft.com/office/drawing/2014/main" id="{00000000-0008-0000-0200-00001AD70200}"/>
            </a:ext>
          </a:extLst>
        </xdr:cNvPr>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61</xdr:row>
      <xdr:rowOff>76200</xdr:rowOff>
    </xdr:from>
    <xdr:to>
      <xdr:col>6</xdr:col>
      <xdr:colOff>9525</xdr:colOff>
      <xdr:row>62</xdr:row>
      <xdr:rowOff>104775</xdr:rowOff>
    </xdr:to>
    <xdr:cxnSp macro="">
      <xdr:nvCxnSpPr>
        <xdr:cNvPr id="186140" name="AutoShape 250">
          <a:extLst>
            <a:ext uri="{FF2B5EF4-FFF2-40B4-BE49-F238E27FC236}">
              <a16:creationId xmlns:a16="http://schemas.microsoft.com/office/drawing/2014/main" id="{00000000-0008-0000-0200-00001CD70200}"/>
            </a:ext>
          </a:extLst>
        </xdr:cNvPr>
        <xdr:cNvCxnSpPr>
          <a:cxnSpLocks noChangeShapeType="1"/>
        </xdr:cNvCxnSpPr>
      </xdr:nvCxnSpPr>
      <xdr:spPr bwMode="auto">
        <a:xfrm flipV="1">
          <a:off x="5648325" y="10029825"/>
          <a:ext cx="361950" cy="209550"/>
        </a:xfrm>
        <a:prstGeom prst="bentConnector3">
          <a:avLst>
            <a:gd name="adj1" fmla="val -517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62</xdr:row>
      <xdr:rowOff>104776</xdr:rowOff>
    </xdr:from>
    <xdr:to>
      <xdr:col>5</xdr:col>
      <xdr:colOff>1568450</xdr:colOff>
      <xdr:row>62</xdr:row>
      <xdr:rowOff>120650</xdr:rowOff>
    </xdr:to>
    <xdr:cxnSp macro="">
      <xdr:nvCxnSpPr>
        <xdr:cNvPr id="186141" name="AutoShape 248">
          <a:extLst>
            <a:ext uri="{FF2B5EF4-FFF2-40B4-BE49-F238E27FC236}">
              <a16:creationId xmlns:a16="http://schemas.microsoft.com/office/drawing/2014/main" id="{00000000-0008-0000-0200-00001DD70200}"/>
            </a:ext>
          </a:extLst>
        </xdr:cNvPr>
        <xdr:cNvCxnSpPr>
          <a:cxnSpLocks noChangeShapeType="1"/>
        </xdr:cNvCxnSpPr>
      </xdr:nvCxnSpPr>
      <xdr:spPr bwMode="auto">
        <a:xfrm>
          <a:off x="4911725" y="10690226"/>
          <a:ext cx="1558925" cy="158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698500</xdr:colOff>
      <xdr:row>22</xdr:row>
      <xdr:rowOff>103188</xdr:rowOff>
    </xdr:from>
    <xdr:to>
      <xdr:col>6</xdr:col>
      <xdr:colOff>25400</xdr:colOff>
      <xdr:row>23</xdr:row>
      <xdr:rowOff>112712</xdr:rowOff>
    </xdr:to>
    <xdr:cxnSp macro="">
      <xdr:nvCxnSpPr>
        <xdr:cNvPr id="186142" name="AutoShape 249">
          <a:extLst>
            <a:ext uri="{FF2B5EF4-FFF2-40B4-BE49-F238E27FC236}">
              <a16:creationId xmlns:a16="http://schemas.microsoft.com/office/drawing/2014/main" id="{00000000-0008-0000-0200-00001ED70200}"/>
            </a:ext>
          </a:extLst>
        </xdr:cNvPr>
        <xdr:cNvCxnSpPr>
          <a:cxnSpLocks noChangeShapeType="1"/>
        </xdr:cNvCxnSpPr>
      </xdr:nvCxnSpPr>
      <xdr:spPr bwMode="auto">
        <a:xfrm>
          <a:off x="4079875" y="4278313"/>
          <a:ext cx="2239963" cy="192087"/>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73</xdr:row>
      <xdr:rowOff>41275</xdr:rowOff>
    </xdr:from>
    <xdr:to>
      <xdr:col>6</xdr:col>
      <xdr:colOff>19050</xdr:colOff>
      <xdr:row>73</xdr:row>
      <xdr:rowOff>41275</xdr:rowOff>
    </xdr:to>
    <xdr:cxnSp macro="">
      <xdr:nvCxnSpPr>
        <xdr:cNvPr id="186143" name="AutoShape 248">
          <a:extLst>
            <a:ext uri="{FF2B5EF4-FFF2-40B4-BE49-F238E27FC236}">
              <a16:creationId xmlns:a16="http://schemas.microsoft.com/office/drawing/2014/main" id="{00000000-0008-0000-0200-00001FD70200}"/>
            </a:ext>
          </a:extLst>
        </xdr:cNvPr>
        <xdr:cNvCxnSpPr>
          <a:cxnSpLocks noChangeShapeType="1"/>
        </xdr:cNvCxnSpPr>
      </xdr:nvCxnSpPr>
      <xdr:spPr bwMode="auto">
        <a:xfrm>
          <a:off x="4867275" y="12512675"/>
          <a:ext cx="16287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63</xdr:row>
      <xdr:rowOff>114300</xdr:rowOff>
    </xdr:from>
    <xdr:to>
      <xdr:col>6</xdr:col>
      <xdr:colOff>0</xdr:colOff>
      <xdr:row>64</xdr:row>
      <xdr:rowOff>104775</xdr:rowOff>
    </xdr:to>
    <xdr:cxnSp macro="">
      <xdr:nvCxnSpPr>
        <xdr:cNvPr id="186144" name="AutoShape 249">
          <a:extLst>
            <a:ext uri="{FF2B5EF4-FFF2-40B4-BE49-F238E27FC236}">
              <a16:creationId xmlns:a16="http://schemas.microsoft.com/office/drawing/2014/main" id="{00000000-0008-0000-0200-000020D70200}"/>
            </a:ext>
          </a:extLst>
        </xdr:cNvPr>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39687</xdr:colOff>
      <xdr:row>64</xdr:row>
      <xdr:rowOff>111125</xdr:rowOff>
    </xdr:from>
    <xdr:to>
      <xdr:col>5</xdr:col>
      <xdr:colOff>1524000</xdr:colOff>
      <xdr:row>66</xdr:row>
      <xdr:rowOff>95250</xdr:rowOff>
    </xdr:to>
    <xdr:cxnSp macro="">
      <xdr:nvCxnSpPr>
        <xdr:cNvPr id="186145" name="AutoShape 249">
          <a:extLst>
            <a:ext uri="{FF2B5EF4-FFF2-40B4-BE49-F238E27FC236}">
              <a16:creationId xmlns:a16="http://schemas.microsoft.com/office/drawing/2014/main" id="{00000000-0008-0000-0200-000021D70200}"/>
            </a:ext>
          </a:extLst>
        </xdr:cNvPr>
        <xdr:cNvCxnSpPr>
          <a:cxnSpLocks noChangeShapeType="1"/>
        </xdr:cNvCxnSpPr>
      </xdr:nvCxnSpPr>
      <xdr:spPr bwMode="auto">
        <a:xfrm>
          <a:off x="4127500" y="11072813"/>
          <a:ext cx="2159000" cy="34925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12700</xdr:colOff>
      <xdr:row>81</xdr:row>
      <xdr:rowOff>76200</xdr:rowOff>
    </xdr:from>
    <xdr:to>
      <xdr:col>6</xdr:col>
      <xdr:colOff>31750</xdr:colOff>
      <xdr:row>86</xdr:row>
      <xdr:rowOff>95250</xdr:rowOff>
    </xdr:to>
    <xdr:cxnSp macro="">
      <xdr:nvCxnSpPr>
        <xdr:cNvPr id="186146" name="AutoShape 249">
          <a:extLst>
            <a:ext uri="{FF2B5EF4-FFF2-40B4-BE49-F238E27FC236}">
              <a16:creationId xmlns:a16="http://schemas.microsoft.com/office/drawing/2014/main" id="{00000000-0008-0000-0200-000022D70200}"/>
            </a:ext>
          </a:extLst>
        </xdr:cNvPr>
        <xdr:cNvCxnSpPr>
          <a:cxnSpLocks noChangeShapeType="1"/>
        </xdr:cNvCxnSpPr>
      </xdr:nvCxnSpPr>
      <xdr:spPr bwMode="auto">
        <a:xfrm>
          <a:off x="4914900" y="14249400"/>
          <a:ext cx="159385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83</xdr:row>
      <xdr:rowOff>85725</xdr:rowOff>
    </xdr:from>
    <xdr:to>
      <xdr:col>4</xdr:col>
      <xdr:colOff>647700</xdr:colOff>
      <xdr:row>83</xdr:row>
      <xdr:rowOff>85725</xdr:rowOff>
    </xdr:to>
    <xdr:cxnSp macro="">
      <xdr:nvCxnSpPr>
        <xdr:cNvPr id="186147" name="AutoShape 249">
          <a:extLst>
            <a:ext uri="{FF2B5EF4-FFF2-40B4-BE49-F238E27FC236}">
              <a16:creationId xmlns:a16="http://schemas.microsoft.com/office/drawing/2014/main" id="{00000000-0008-0000-0200-000023D70200}"/>
            </a:ext>
          </a:extLst>
        </xdr:cNvPr>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82</xdr:row>
      <xdr:rowOff>66675</xdr:rowOff>
    </xdr:from>
    <xdr:to>
      <xdr:col>5</xdr:col>
      <xdr:colOff>1076325</xdr:colOff>
      <xdr:row>82</xdr:row>
      <xdr:rowOff>66676</xdr:rowOff>
    </xdr:to>
    <xdr:cxnSp macro="">
      <xdr:nvCxnSpPr>
        <xdr:cNvPr id="186148" name="AutoShape 249">
          <a:extLst>
            <a:ext uri="{FF2B5EF4-FFF2-40B4-BE49-F238E27FC236}">
              <a16:creationId xmlns:a16="http://schemas.microsoft.com/office/drawing/2014/main" id="{00000000-0008-0000-0200-000024D70200}"/>
            </a:ext>
          </a:extLst>
        </xdr:cNvPr>
        <xdr:cNvCxnSpPr>
          <a:cxnSpLocks noChangeShapeType="1"/>
        </xdr:cNvCxnSpPr>
      </xdr:nvCxnSpPr>
      <xdr:spPr bwMode="auto">
        <a:xfrm flipV="1">
          <a:off x="4867275" y="14455775"/>
          <a:ext cx="1111250"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83</xdr:row>
      <xdr:rowOff>95250</xdr:rowOff>
    </xdr:from>
    <xdr:to>
      <xdr:col>5</xdr:col>
      <xdr:colOff>1095375</xdr:colOff>
      <xdr:row>83</xdr:row>
      <xdr:rowOff>95251</xdr:rowOff>
    </xdr:to>
    <xdr:cxnSp macro="">
      <xdr:nvCxnSpPr>
        <xdr:cNvPr id="33" name="AutoShape 249">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84</xdr:row>
      <xdr:rowOff>114300</xdr:rowOff>
    </xdr:from>
    <xdr:to>
      <xdr:col>5</xdr:col>
      <xdr:colOff>1047750</xdr:colOff>
      <xdr:row>84</xdr:row>
      <xdr:rowOff>114303</xdr:rowOff>
    </xdr:to>
    <xdr:cxnSp macro="">
      <xdr:nvCxnSpPr>
        <xdr:cNvPr id="34" name="AutoShape 249">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476250</xdr:colOff>
      <xdr:row>23</xdr:row>
      <xdr:rowOff>111125</xdr:rowOff>
    </xdr:from>
    <xdr:to>
      <xdr:col>6</xdr:col>
      <xdr:colOff>25400</xdr:colOff>
      <xdr:row>24</xdr:row>
      <xdr:rowOff>112712</xdr:rowOff>
    </xdr:to>
    <xdr:cxnSp macro="">
      <xdr:nvCxnSpPr>
        <xdr:cNvPr id="24" name="AutoShape 249">
          <a:extLst>
            <a:ext uri="{FF2B5EF4-FFF2-40B4-BE49-F238E27FC236}">
              <a16:creationId xmlns:a16="http://schemas.microsoft.com/office/drawing/2014/main" id="{00000000-0008-0000-0200-000018000000}"/>
            </a:ext>
          </a:extLst>
        </xdr:cNvPr>
        <xdr:cNvCxnSpPr>
          <a:cxnSpLocks noChangeShapeType="1"/>
        </xdr:cNvCxnSpPr>
      </xdr:nvCxnSpPr>
      <xdr:spPr bwMode="auto">
        <a:xfrm>
          <a:off x="5238750" y="4468813"/>
          <a:ext cx="1081088" cy="184149"/>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687161</xdr:colOff>
      <xdr:row>69</xdr:row>
      <xdr:rowOff>53975</xdr:rowOff>
    </xdr:from>
    <xdr:to>
      <xdr:col>6</xdr:col>
      <xdr:colOff>6350</xdr:colOff>
      <xdr:row>69</xdr:row>
      <xdr:rowOff>54428</xdr:rowOff>
    </xdr:to>
    <xdr:cxnSp macro="">
      <xdr:nvCxnSpPr>
        <xdr:cNvPr id="25" name="AutoShape 249">
          <a:extLst>
            <a:ext uri="{FF2B5EF4-FFF2-40B4-BE49-F238E27FC236}">
              <a16:creationId xmlns:a16="http://schemas.microsoft.com/office/drawing/2014/main" id="{00000000-0008-0000-0200-000019000000}"/>
            </a:ext>
          </a:extLst>
        </xdr:cNvPr>
        <xdr:cNvCxnSpPr>
          <a:cxnSpLocks noChangeShapeType="1"/>
        </xdr:cNvCxnSpPr>
      </xdr:nvCxnSpPr>
      <xdr:spPr bwMode="auto">
        <a:xfrm flipV="1">
          <a:off x="4061732" y="11994243"/>
          <a:ext cx="2231118" cy="453"/>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914400</xdr:colOff>
      <xdr:row>64</xdr:row>
      <xdr:rowOff>114300</xdr:rowOff>
    </xdr:from>
    <xdr:to>
      <xdr:col>5</xdr:col>
      <xdr:colOff>1568450</xdr:colOff>
      <xdr:row>65</xdr:row>
      <xdr:rowOff>114300</xdr:rowOff>
    </xdr:to>
    <xdr:cxnSp macro="">
      <xdr:nvCxnSpPr>
        <xdr:cNvPr id="26" name="AutoShape 249">
          <a:extLst>
            <a:ext uri="{FF2B5EF4-FFF2-40B4-BE49-F238E27FC236}">
              <a16:creationId xmlns:a16="http://schemas.microsoft.com/office/drawing/2014/main" id="{00000000-0008-0000-0200-00001A000000}"/>
            </a:ext>
          </a:extLst>
        </xdr:cNvPr>
        <xdr:cNvCxnSpPr>
          <a:cxnSpLocks noChangeShapeType="1"/>
        </xdr:cNvCxnSpPr>
      </xdr:nvCxnSpPr>
      <xdr:spPr bwMode="auto">
        <a:xfrm>
          <a:off x="5816600" y="11112500"/>
          <a:ext cx="654050" cy="184150"/>
        </a:xfrm>
        <a:prstGeom prst="bentConnector3">
          <a:avLst>
            <a:gd name="adj1" fmla="val 1456"/>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41</xdr:row>
      <xdr:rowOff>0</xdr:rowOff>
    </xdr:from>
    <xdr:to>
      <xdr:col>5</xdr:col>
      <xdr:colOff>9525</xdr:colOff>
      <xdr:row>41</xdr:row>
      <xdr:rowOff>123825</xdr:rowOff>
    </xdr:to>
    <xdr:cxnSp macro="">
      <xdr:nvCxnSpPr>
        <xdr:cNvPr id="2" name="AutoShape 187">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4200525" y="8086725"/>
          <a:ext cx="1495425"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28</xdr:row>
      <xdr:rowOff>70139</xdr:rowOff>
    </xdr:from>
    <xdr:to>
      <xdr:col>5</xdr:col>
      <xdr:colOff>9525</xdr:colOff>
      <xdr:row>28</xdr:row>
      <xdr:rowOff>70139</xdr:rowOff>
    </xdr:to>
    <xdr:cxnSp macro="">
      <xdr:nvCxnSpPr>
        <xdr:cNvPr id="3" name="AutoShape 197">
          <a:extLst>
            <a:ext uri="{FF2B5EF4-FFF2-40B4-BE49-F238E27FC236}">
              <a16:creationId xmlns:a16="http://schemas.microsoft.com/office/drawing/2014/main" id="{00000000-0008-0000-0300-000003000000}"/>
            </a:ext>
          </a:extLst>
        </xdr:cNvPr>
        <xdr:cNvCxnSpPr>
          <a:cxnSpLocks noChangeShapeType="1"/>
        </xdr:cNvCxnSpPr>
      </xdr:nvCxnSpPr>
      <xdr:spPr bwMode="auto">
        <a:xfrm>
          <a:off x="4210050" y="4975514"/>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26</xdr:row>
      <xdr:rowOff>112568</xdr:rowOff>
    </xdr:from>
    <xdr:to>
      <xdr:col>5</xdr:col>
      <xdr:colOff>0</xdr:colOff>
      <xdr:row>26</xdr:row>
      <xdr:rowOff>112568</xdr:rowOff>
    </xdr:to>
    <xdr:cxnSp macro="">
      <xdr:nvCxnSpPr>
        <xdr:cNvPr id="4" name="AutoShape 197">
          <a:extLst>
            <a:ext uri="{FF2B5EF4-FFF2-40B4-BE49-F238E27FC236}">
              <a16:creationId xmlns:a16="http://schemas.microsoft.com/office/drawing/2014/main" id="{00000000-0008-0000-0300-000004000000}"/>
            </a:ext>
          </a:extLst>
        </xdr:cNvPr>
        <xdr:cNvCxnSpPr>
          <a:cxnSpLocks noChangeShapeType="1"/>
        </xdr:cNvCxnSpPr>
      </xdr:nvCxnSpPr>
      <xdr:spPr bwMode="auto">
        <a:xfrm>
          <a:off x="4199659" y="4658591"/>
          <a:ext cx="15153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44</xdr:row>
      <xdr:rowOff>159327</xdr:rowOff>
    </xdr:from>
    <xdr:to>
      <xdr:col>5</xdr:col>
      <xdr:colOff>19050</xdr:colOff>
      <xdr:row>44</xdr:row>
      <xdr:rowOff>159327</xdr:rowOff>
    </xdr:to>
    <xdr:cxnSp macro="">
      <xdr:nvCxnSpPr>
        <xdr:cNvPr id="5" name="AutoShape 191">
          <a:extLst>
            <a:ext uri="{FF2B5EF4-FFF2-40B4-BE49-F238E27FC236}">
              <a16:creationId xmlns:a16="http://schemas.microsoft.com/office/drawing/2014/main" id="{00000000-0008-0000-0300-000005000000}"/>
            </a:ext>
          </a:extLst>
        </xdr:cNvPr>
        <xdr:cNvCxnSpPr>
          <a:cxnSpLocks noChangeShapeType="1"/>
        </xdr:cNvCxnSpPr>
      </xdr:nvCxnSpPr>
      <xdr:spPr bwMode="auto">
        <a:xfrm>
          <a:off x="4219575" y="8903277"/>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54</xdr:row>
      <xdr:rowOff>95250</xdr:rowOff>
    </xdr:from>
    <xdr:to>
      <xdr:col>5</xdr:col>
      <xdr:colOff>9525</xdr:colOff>
      <xdr:row>54</xdr:row>
      <xdr:rowOff>95250</xdr:rowOff>
    </xdr:to>
    <xdr:cxnSp macro="">
      <xdr:nvCxnSpPr>
        <xdr:cNvPr id="6" name="AutoShape 191">
          <a:extLst>
            <a:ext uri="{FF2B5EF4-FFF2-40B4-BE49-F238E27FC236}">
              <a16:creationId xmlns:a16="http://schemas.microsoft.com/office/drawing/2014/main" id="{00000000-0008-0000-0300-000006000000}"/>
            </a:ext>
          </a:extLst>
        </xdr:cNvPr>
        <xdr:cNvCxnSpPr>
          <a:cxnSpLocks noChangeShapeType="1"/>
        </xdr:cNvCxnSpPr>
      </xdr:nvCxnSpPr>
      <xdr:spPr bwMode="auto">
        <a:xfrm>
          <a:off x="4210050" y="10544175"/>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57</xdr:row>
      <xdr:rowOff>76200</xdr:rowOff>
    </xdr:from>
    <xdr:to>
      <xdr:col>5</xdr:col>
      <xdr:colOff>9525</xdr:colOff>
      <xdr:row>58</xdr:row>
      <xdr:rowOff>0</xdr:rowOff>
    </xdr:to>
    <xdr:cxnSp macro="">
      <xdr:nvCxnSpPr>
        <xdr:cNvPr id="7" name="AutoShape 250">
          <a:extLst>
            <a:ext uri="{FF2B5EF4-FFF2-40B4-BE49-F238E27FC236}">
              <a16:creationId xmlns:a16="http://schemas.microsoft.com/office/drawing/2014/main" id="{00000000-0008-0000-0300-000007000000}"/>
            </a:ext>
          </a:extLst>
        </xdr:cNvPr>
        <xdr:cNvCxnSpPr>
          <a:cxnSpLocks noChangeShapeType="1"/>
        </xdr:cNvCxnSpPr>
      </xdr:nvCxnSpPr>
      <xdr:spPr bwMode="auto">
        <a:xfrm>
          <a:off x="4210050" y="11010900"/>
          <a:ext cx="1485900"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8" name="AutoShape 250">
          <a:extLst>
            <a:ext uri="{FF2B5EF4-FFF2-40B4-BE49-F238E27FC236}">
              <a16:creationId xmlns:a16="http://schemas.microsoft.com/office/drawing/2014/main" id="{00000000-0008-0000-0300-000008000000}"/>
            </a:ext>
          </a:extLst>
        </xdr:cNvPr>
        <xdr:cNvCxnSpPr>
          <a:cxnSpLocks noChangeShapeType="1"/>
        </xdr:cNvCxnSpPr>
      </xdr:nvCxnSpPr>
      <xdr:spPr bwMode="auto">
        <a:xfrm>
          <a:off x="4219575" y="8382000"/>
          <a:ext cx="1476375" cy="2000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755072</xdr:colOff>
      <xdr:row>49</xdr:row>
      <xdr:rowOff>17319</xdr:rowOff>
    </xdr:from>
    <xdr:to>
      <xdr:col>5</xdr:col>
      <xdr:colOff>25977</xdr:colOff>
      <xdr:row>49</xdr:row>
      <xdr:rowOff>103044</xdr:rowOff>
    </xdr:to>
    <xdr:cxnSp macro="">
      <xdr:nvCxnSpPr>
        <xdr:cNvPr id="9" name="AutoShape 250">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2731" y="9862705"/>
          <a:ext cx="1522269"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67</xdr:row>
      <xdr:rowOff>6615</xdr:rowOff>
    </xdr:from>
    <xdr:to>
      <xdr:col>5</xdr:col>
      <xdr:colOff>6614</xdr:colOff>
      <xdr:row>69</xdr:row>
      <xdr:rowOff>112448</xdr:rowOff>
    </xdr:to>
    <xdr:cxnSp macro="">
      <xdr:nvCxnSpPr>
        <xdr:cNvPr id="10" name="AutoShape 250">
          <a:extLst>
            <a:ext uri="{FF2B5EF4-FFF2-40B4-BE49-F238E27FC236}">
              <a16:creationId xmlns:a16="http://schemas.microsoft.com/office/drawing/2014/main" id="{00000000-0008-0000-0300-00000A000000}"/>
            </a:ext>
          </a:extLst>
        </xdr:cNvPr>
        <xdr:cNvCxnSpPr>
          <a:cxnSpLocks noChangeShapeType="1"/>
        </xdr:cNvCxnSpPr>
      </xdr:nvCxnSpPr>
      <xdr:spPr bwMode="auto">
        <a:xfrm flipV="1">
          <a:off x="4921250" y="12607396"/>
          <a:ext cx="1838854" cy="502708"/>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69273</xdr:rowOff>
    </xdr:from>
    <xdr:to>
      <xdr:col>5</xdr:col>
      <xdr:colOff>8659</xdr:colOff>
      <xdr:row>27</xdr:row>
      <xdr:rowOff>69273</xdr:rowOff>
    </xdr:to>
    <xdr:cxnSp macro="">
      <xdr:nvCxnSpPr>
        <xdr:cNvPr id="11" name="AutoShape 197">
          <a:extLst>
            <a:ext uri="{FF2B5EF4-FFF2-40B4-BE49-F238E27FC236}">
              <a16:creationId xmlns:a16="http://schemas.microsoft.com/office/drawing/2014/main" id="{00000000-0008-0000-0300-00000B000000}"/>
            </a:ext>
          </a:extLst>
        </xdr:cNvPr>
        <xdr:cNvCxnSpPr>
          <a:cxnSpLocks noChangeShapeType="1"/>
        </xdr:cNvCxnSpPr>
      </xdr:nvCxnSpPr>
      <xdr:spPr bwMode="auto">
        <a:xfrm>
          <a:off x="4210050" y="4812723"/>
          <a:ext cx="1485034"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39</xdr:row>
      <xdr:rowOff>112569</xdr:rowOff>
    </xdr:from>
    <xdr:to>
      <xdr:col>5</xdr:col>
      <xdr:colOff>9525</xdr:colOff>
      <xdr:row>39</xdr:row>
      <xdr:rowOff>112569</xdr:rowOff>
    </xdr:to>
    <xdr:cxnSp macro="">
      <xdr:nvCxnSpPr>
        <xdr:cNvPr id="12" name="AutoShape 197">
          <a:extLst>
            <a:ext uri="{FF2B5EF4-FFF2-40B4-BE49-F238E27FC236}">
              <a16:creationId xmlns:a16="http://schemas.microsoft.com/office/drawing/2014/main" id="{00000000-0008-0000-0300-00000C000000}"/>
            </a:ext>
          </a:extLst>
        </xdr:cNvPr>
        <xdr:cNvCxnSpPr>
          <a:cxnSpLocks noChangeShapeType="1"/>
        </xdr:cNvCxnSpPr>
      </xdr:nvCxnSpPr>
      <xdr:spPr bwMode="auto">
        <a:xfrm>
          <a:off x="4210050" y="7808769"/>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800100</xdr:colOff>
      <xdr:row>18</xdr:row>
      <xdr:rowOff>21359</xdr:rowOff>
    </xdr:from>
    <xdr:to>
      <xdr:col>5</xdr:col>
      <xdr:colOff>2309</xdr:colOff>
      <xdr:row>18</xdr:row>
      <xdr:rowOff>21359</xdr:rowOff>
    </xdr:to>
    <xdr:cxnSp macro="">
      <xdr:nvCxnSpPr>
        <xdr:cNvPr id="15" name="AutoShape 197">
          <a:extLst>
            <a:ext uri="{FF2B5EF4-FFF2-40B4-BE49-F238E27FC236}">
              <a16:creationId xmlns:a16="http://schemas.microsoft.com/office/drawing/2014/main" id="{00000000-0008-0000-0300-00000F000000}"/>
            </a:ext>
          </a:extLst>
        </xdr:cNvPr>
        <xdr:cNvCxnSpPr>
          <a:cxnSpLocks noChangeShapeType="1"/>
        </xdr:cNvCxnSpPr>
      </xdr:nvCxnSpPr>
      <xdr:spPr bwMode="auto">
        <a:xfrm>
          <a:off x="4391025" y="3297959"/>
          <a:ext cx="1583459"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24</xdr:row>
      <xdr:rowOff>138545</xdr:rowOff>
    </xdr:from>
    <xdr:to>
      <xdr:col>5</xdr:col>
      <xdr:colOff>0</xdr:colOff>
      <xdr:row>24</xdr:row>
      <xdr:rowOff>138545</xdr:rowOff>
    </xdr:to>
    <xdr:cxnSp macro="">
      <xdr:nvCxnSpPr>
        <xdr:cNvPr id="16" name="AutoShape 197">
          <a:extLst>
            <a:ext uri="{FF2B5EF4-FFF2-40B4-BE49-F238E27FC236}">
              <a16:creationId xmlns:a16="http://schemas.microsoft.com/office/drawing/2014/main" id="{00000000-0008-0000-0300-000010000000}"/>
            </a:ext>
          </a:extLst>
        </xdr:cNvPr>
        <xdr:cNvCxnSpPr>
          <a:cxnSpLocks noChangeShapeType="1"/>
        </xdr:cNvCxnSpPr>
      </xdr:nvCxnSpPr>
      <xdr:spPr bwMode="auto">
        <a:xfrm>
          <a:off x="4199659" y="4320886"/>
          <a:ext cx="2034886"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70139</xdr:rowOff>
    </xdr:from>
    <xdr:to>
      <xdr:col>5</xdr:col>
      <xdr:colOff>9525</xdr:colOff>
      <xdr:row>27</xdr:row>
      <xdr:rowOff>70139</xdr:rowOff>
    </xdr:to>
    <xdr:cxnSp macro="">
      <xdr:nvCxnSpPr>
        <xdr:cNvPr id="17" name="AutoShape 197">
          <a:extLst>
            <a:ext uri="{FF2B5EF4-FFF2-40B4-BE49-F238E27FC236}">
              <a16:creationId xmlns:a16="http://schemas.microsoft.com/office/drawing/2014/main" id="{00000000-0008-0000-0300-000011000000}"/>
            </a:ext>
          </a:extLst>
        </xdr:cNvPr>
        <xdr:cNvCxnSpPr>
          <a:cxnSpLocks noChangeShapeType="1"/>
        </xdr:cNvCxnSpPr>
      </xdr:nvCxnSpPr>
      <xdr:spPr bwMode="auto">
        <a:xfrm>
          <a:off x="4208318" y="4979844"/>
          <a:ext cx="149023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129886</xdr:rowOff>
    </xdr:from>
    <xdr:to>
      <xdr:col>5</xdr:col>
      <xdr:colOff>9525</xdr:colOff>
      <xdr:row>45</xdr:row>
      <xdr:rowOff>129886</xdr:rowOff>
    </xdr:to>
    <xdr:cxnSp macro="">
      <xdr:nvCxnSpPr>
        <xdr:cNvPr id="27" name="AutoShape 191">
          <a:extLst>
            <a:ext uri="{FF2B5EF4-FFF2-40B4-BE49-F238E27FC236}">
              <a16:creationId xmlns:a16="http://schemas.microsoft.com/office/drawing/2014/main" id="{00000000-0008-0000-0300-00001B000000}"/>
            </a:ext>
          </a:extLst>
        </xdr:cNvPr>
        <xdr:cNvCxnSpPr>
          <a:cxnSpLocks noChangeShapeType="1"/>
        </xdr:cNvCxnSpPr>
      </xdr:nvCxnSpPr>
      <xdr:spPr bwMode="auto">
        <a:xfrm>
          <a:off x="4328160" y="9212926"/>
          <a:ext cx="155638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69273</xdr:rowOff>
    </xdr:from>
    <xdr:to>
      <xdr:col>5</xdr:col>
      <xdr:colOff>8659</xdr:colOff>
      <xdr:row>29</xdr:row>
      <xdr:rowOff>69273</xdr:rowOff>
    </xdr:to>
    <xdr:cxnSp macro="">
      <xdr:nvCxnSpPr>
        <xdr:cNvPr id="18" name="AutoShape 197">
          <a:extLst>
            <a:ext uri="{FF2B5EF4-FFF2-40B4-BE49-F238E27FC236}">
              <a16:creationId xmlns:a16="http://schemas.microsoft.com/office/drawing/2014/main" id="{00000000-0008-0000-0300-000012000000}"/>
            </a:ext>
          </a:extLst>
        </xdr:cNvPr>
        <xdr:cNvCxnSpPr>
          <a:cxnSpLocks noChangeShapeType="1"/>
        </xdr:cNvCxnSpPr>
      </xdr:nvCxnSpPr>
      <xdr:spPr bwMode="auto">
        <a:xfrm>
          <a:off x="4329545" y="4786746"/>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70139</xdr:rowOff>
    </xdr:from>
    <xdr:to>
      <xdr:col>5</xdr:col>
      <xdr:colOff>9525</xdr:colOff>
      <xdr:row>29</xdr:row>
      <xdr:rowOff>70139</xdr:rowOff>
    </xdr:to>
    <xdr:cxnSp macro="">
      <xdr:nvCxnSpPr>
        <xdr:cNvPr id="19" name="AutoShape 197">
          <a:extLst>
            <a:ext uri="{FF2B5EF4-FFF2-40B4-BE49-F238E27FC236}">
              <a16:creationId xmlns:a16="http://schemas.microsoft.com/office/drawing/2014/main" id="{00000000-0008-0000-0300-000013000000}"/>
            </a:ext>
          </a:extLst>
        </xdr:cNvPr>
        <xdr:cNvCxnSpPr>
          <a:cxnSpLocks noChangeShapeType="1"/>
        </xdr:cNvCxnSpPr>
      </xdr:nvCxnSpPr>
      <xdr:spPr bwMode="auto">
        <a:xfrm>
          <a:off x="4329545" y="4787612"/>
          <a:ext cx="1554307"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782783</xdr:colOff>
      <xdr:row>31</xdr:row>
      <xdr:rowOff>6929</xdr:rowOff>
    </xdr:from>
    <xdr:to>
      <xdr:col>5</xdr:col>
      <xdr:colOff>1733</xdr:colOff>
      <xdr:row>31</xdr:row>
      <xdr:rowOff>6929</xdr:rowOff>
    </xdr:to>
    <xdr:cxnSp macro="">
      <xdr:nvCxnSpPr>
        <xdr:cNvPr id="20" name="AutoShape 197">
          <a:extLst>
            <a:ext uri="{FF2B5EF4-FFF2-40B4-BE49-F238E27FC236}">
              <a16:creationId xmlns:a16="http://schemas.microsoft.com/office/drawing/2014/main" id="{00000000-0008-0000-0300-000014000000}"/>
            </a:ext>
          </a:extLst>
        </xdr:cNvPr>
        <xdr:cNvCxnSpPr>
          <a:cxnSpLocks noChangeShapeType="1"/>
        </xdr:cNvCxnSpPr>
      </xdr:nvCxnSpPr>
      <xdr:spPr bwMode="auto">
        <a:xfrm>
          <a:off x="4322619" y="5437911"/>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796924</xdr:colOff>
      <xdr:row>50</xdr:row>
      <xdr:rowOff>66279</xdr:rowOff>
    </xdr:from>
    <xdr:to>
      <xdr:col>5</xdr:col>
      <xdr:colOff>0</xdr:colOff>
      <xdr:row>52</xdr:row>
      <xdr:rowOff>92472</xdr:rowOff>
    </xdr:to>
    <xdr:cxnSp macro="">
      <xdr:nvCxnSpPr>
        <xdr:cNvPr id="13" name="AutoShape 249">
          <a:extLst>
            <a:ext uri="{FF2B5EF4-FFF2-40B4-BE49-F238E27FC236}">
              <a16:creationId xmlns:a16="http://schemas.microsoft.com/office/drawing/2014/main" id="{4F1C9B1D-5D0E-45FB-A1FC-74DA6DFE79A7}"/>
            </a:ext>
          </a:extLst>
        </xdr:cNvPr>
        <xdr:cNvCxnSpPr>
          <a:cxnSpLocks noChangeShapeType="1"/>
        </xdr:cNvCxnSpPr>
      </xdr:nvCxnSpPr>
      <xdr:spPr bwMode="auto">
        <a:xfrm>
          <a:off x="4914502" y="9859170"/>
          <a:ext cx="1852217" cy="343693"/>
        </a:xfrm>
        <a:prstGeom prst="bentConnector3">
          <a:avLst>
            <a:gd name="adj1" fmla="val 8053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18</xdr:row>
      <xdr:rowOff>47625</xdr:rowOff>
    </xdr:from>
    <xdr:to>
      <xdr:col>0</xdr:col>
      <xdr:colOff>19050</xdr:colOff>
      <xdr:row>18</xdr:row>
      <xdr:rowOff>167640</xdr:rowOff>
    </xdr:to>
    <xdr:sp macro="" textlink="">
      <xdr:nvSpPr>
        <xdr:cNvPr id="3" name="Text 1">
          <a:extLst>
            <a:ext uri="{FF2B5EF4-FFF2-40B4-BE49-F238E27FC236}">
              <a16:creationId xmlns:a16="http://schemas.microsoft.com/office/drawing/2014/main" id="{00000000-0008-0000-0500-000003000000}"/>
            </a:ext>
          </a:extLst>
        </xdr:cNvPr>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390525</xdr:colOff>
      <xdr:row>6</xdr:row>
      <xdr:rowOff>38100</xdr:rowOff>
    </xdr:from>
    <xdr:to>
      <xdr:col>13</xdr:col>
      <xdr:colOff>9525</xdr:colOff>
      <xdr:row>7</xdr:row>
      <xdr:rowOff>57150</xdr:rowOff>
    </xdr:to>
    <xdr:cxnSp macro="">
      <xdr:nvCxnSpPr>
        <xdr:cNvPr id="4" name="AutoShape 250">
          <a:extLst>
            <a:ext uri="{FF2B5EF4-FFF2-40B4-BE49-F238E27FC236}">
              <a16:creationId xmlns:a16="http://schemas.microsoft.com/office/drawing/2014/main" id="{00000000-0008-0000-0400-000004000000}"/>
            </a:ext>
          </a:extLst>
        </xdr:cNvPr>
        <xdr:cNvCxnSpPr>
          <a:cxnSpLocks noChangeShapeType="1"/>
        </xdr:cNvCxnSpPr>
      </xdr:nvCxnSpPr>
      <xdr:spPr bwMode="auto">
        <a:xfrm>
          <a:off x="10591800" y="1133475"/>
          <a:ext cx="194310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5" name="AutoShape 191">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1060132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14</xdr:row>
      <xdr:rowOff>76200</xdr:rowOff>
    </xdr:from>
    <xdr:to>
      <xdr:col>13</xdr:col>
      <xdr:colOff>9525</xdr:colOff>
      <xdr:row>15</xdr:row>
      <xdr:rowOff>85725</xdr:rowOff>
    </xdr:to>
    <xdr:cxnSp macro="">
      <xdr:nvCxnSpPr>
        <xdr:cNvPr id="14" name="AutoShape 250">
          <a:extLst>
            <a:ext uri="{FF2B5EF4-FFF2-40B4-BE49-F238E27FC236}">
              <a16:creationId xmlns:a16="http://schemas.microsoft.com/office/drawing/2014/main" id="{00000000-0008-0000-0400-00000E000000}"/>
            </a:ext>
          </a:extLst>
        </xdr:cNvPr>
        <xdr:cNvCxnSpPr>
          <a:cxnSpLocks noChangeShapeType="1"/>
        </xdr:cNvCxnSpPr>
      </xdr:nvCxnSpPr>
      <xdr:spPr bwMode="auto">
        <a:xfrm>
          <a:off x="10944225" y="2619375"/>
          <a:ext cx="15906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0</xdr:colOff>
      <xdr:row>14</xdr:row>
      <xdr:rowOff>66675</xdr:rowOff>
    </xdr:from>
    <xdr:to>
      <xdr:col>13</xdr:col>
      <xdr:colOff>9525</xdr:colOff>
      <xdr:row>14</xdr:row>
      <xdr:rowOff>66675</xdr:rowOff>
    </xdr:to>
    <xdr:cxnSp macro="">
      <xdr:nvCxnSpPr>
        <xdr:cNvPr id="16" name="AutoShape 191">
          <a:extLst>
            <a:ext uri="{FF2B5EF4-FFF2-40B4-BE49-F238E27FC236}">
              <a16:creationId xmlns:a16="http://schemas.microsoft.com/office/drawing/2014/main" id="{00000000-0008-0000-0400-000010000000}"/>
            </a:ext>
          </a:extLst>
        </xdr:cNvPr>
        <xdr:cNvCxnSpPr>
          <a:cxnSpLocks noChangeShapeType="1"/>
        </xdr:cNvCxnSpPr>
      </xdr:nvCxnSpPr>
      <xdr:spPr bwMode="auto">
        <a:xfrm>
          <a:off x="11630025" y="2609850"/>
          <a:ext cx="9048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31115</xdr:rowOff>
    </xdr:to>
    <xdr:sp macro="" textlink="">
      <xdr:nvSpPr>
        <xdr:cNvPr id="2" name="txtGoTo">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31115</xdr:rowOff>
    </xdr:to>
    <xdr:sp macro="" textlink="">
      <xdr:nvSpPr>
        <xdr:cNvPr id="3" name="txtGoTo">
          <a:extLst>
            <a:ext uri="{FF2B5EF4-FFF2-40B4-BE49-F238E27FC236}">
              <a16:creationId xmlns:a16="http://schemas.microsoft.com/office/drawing/2014/main" id="{00000000-0008-0000-0900-000003000000}"/>
            </a:ext>
          </a:extLst>
        </xdr:cNvPr>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2</xdr:col>
      <xdr:colOff>255269</xdr:colOff>
      <xdr:row>0</xdr:row>
      <xdr:rowOff>266700</xdr:rowOff>
    </xdr:from>
    <xdr:to>
      <xdr:col>7</xdr:col>
      <xdr:colOff>142869</xdr:colOff>
      <xdr:row>2</xdr:row>
      <xdr:rowOff>123825</xdr:rowOff>
    </xdr:to>
    <xdr:sp macro="" textlink="">
      <xdr:nvSpPr>
        <xdr:cNvPr id="62515" name="Rectangle 48">
          <a:extLst>
            <a:ext uri="{FF2B5EF4-FFF2-40B4-BE49-F238E27FC236}">
              <a16:creationId xmlns:a16="http://schemas.microsoft.com/office/drawing/2014/main" id="{00000000-0008-0000-0900-000033F40000}"/>
            </a:ext>
          </a:extLst>
        </xdr:cNvPr>
        <xdr:cNvSpPr>
          <a:spLocks noChangeArrowheads="1"/>
        </xdr:cNvSpPr>
      </xdr:nvSpPr>
      <xdr:spPr bwMode="auto">
        <a:xfrm>
          <a:off x="2781299" y="266700"/>
          <a:ext cx="3000375" cy="295275"/>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r>
            <a:rPr lang="sv-SE" sz="800" b="1" i="0" u="none" strike="noStrike" baseline="0">
              <a:solidFill>
                <a:srgbClr val="000000"/>
              </a:solidFill>
              <a:latin typeface="Helvetica"/>
              <a:cs typeface="Helvetica"/>
            </a:rPr>
            <a:t>Obs!</a:t>
          </a:r>
          <a:r>
            <a:rPr lang="sv-SE" sz="800" b="0" i="0" u="none" strike="noStrike" baseline="0">
              <a:solidFill>
                <a:srgbClr val="000000"/>
              </a:solidFill>
              <a:latin typeface="Helvetica"/>
              <a:cs typeface="Helvetica"/>
            </a:rPr>
            <a:t> Skriv 0 om kostnad/intäkt ej förekommer. Om uppgiften är okänd/saknas lämnas cellen tom och orsaken kommenteras.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21590</xdr:rowOff>
    </xdr:to>
    <xdr:sp macro="" textlink="">
      <xdr:nvSpPr>
        <xdr:cNvPr id="2" name="txtGoTo">
          <a:extLst>
            <a:ext uri="{FF2B5EF4-FFF2-40B4-BE49-F238E27FC236}">
              <a16:creationId xmlns:a16="http://schemas.microsoft.com/office/drawing/2014/main" id="{00000000-0008-0000-0A00-000002000000}"/>
            </a:ext>
          </a:extLst>
        </xdr:cNvPr>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a:extLst>
            <a:ext uri="{FF2B5EF4-FFF2-40B4-BE49-F238E27FC236}">
              <a16:creationId xmlns:a16="http://schemas.microsoft.com/office/drawing/2014/main" id="{00000000-0008-0000-0A00-00006B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a:extLst>
            <a:ext uri="{FF2B5EF4-FFF2-40B4-BE49-F238E27FC236}">
              <a16:creationId xmlns:a16="http://schemas.microsoft.com/office/drawing/2014/main" id="{00000000-0008-0000-0A00-00006C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scb.se/rskommuner"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comments" Target="../comments9.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vmlDrawing" Target="../drawings/vmlDrawing9.vml"/><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comments" Target="../comments10.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vmlDrawing" Target="../drawings/vmlDrawing10.vml"/><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comments" Target="../comments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E50"/>
  <sheetViews>
    <sheetView tabSelected="1" zoomScaleNormal="100" workbookViewId="0">
      <selection sqref="A1:D1"/>
    </sheetView>
  </sheetViews>
  <sheetFormatPr defaultColWidth="0" defaultRowHeight="12.5" zeroHeight="1"/>
  <cols>
    <col min="1" max="1" width="22.54296875" style="508" customWidth="1"/>
    <col min="2" max="2" width="26.54296875" style="508" customWidth="1"/>
    <col min="3" max="3" width="20.54296875" style="508" customWidth="1"/>
    <col min="4" max="4" width="26.54296875" style="508" customWidth="1"/>
    <col min="5" max="5" width="12.453125" style="499" customWidth="1"/>
  </cols>
  <sheetData>
    <row r="1" spans="1:5" s="509" customFormat="1" ht="13">
      <c r="A1" s="2857" t="s">
        <v>586</v>
      </c>
      <c r="B1" s="2858"/>
      <c r="C1" s="2858"/>
      <c r="D1" s="2858"/>
      <c r="E1" s="497"/>
    </row>
    <row r="2" spans="1:5" s="508" customFormat="1" ht="15.5">
      <c r="A2" s="498" t="s">
        <v>588</v>
      </c>
      <c r="B2" s="495"/>
      <c r="C2" s="147"/>
      <c r="D2" s="147"/>
      <c r="E2" s="499"/>
    </row>
    <row r="3" spans="1:5" s="508" customFormat="1" ht="15.5">
      <c r="A3" s="498" t="s">
        <v>589</v>
      </c>
      <c r="B3" s="496"/>
      <c r="C3" s="147"/>
      <c r="D3" s="147"/>
      <c r="E3" s="499"/>
    </row>
    <row r="4" spans="1:5" s="508" customFormat="1" ht="15.5">
      <c r="A4" s="2392" t="str">
        <f>"Invånare 30 nov. "&amp;År&amp;""</f>
        <v>Invånare 30 nov. 2025</v>
      </c>
      <c r="B4" s="500"/>
      <c r="C4" s="2285"/>
      <c r="D4" s="147"/>
      <c r="E4" s="499"/>
    </row>
    <row r="5" spans="1:5" s="508" customFormat="1" ht="19.5" customHeight="1">
      <c r="A5" s="2392" t="str">
        <f>"Inv. 7-15 år 30 nov. "&amp;År&amp;""</f>
        <v>Inv. 7-15 år 30 nov. 2025</v>
      </c>
      <c r="B5" s="500"/>
      <c r="C5" s="148"/>
      <c r="D5" s="147"/>
      <c r="E5" s="499"/>
    </row>
    <row r="6" spans="1:5" s="508" customFormat="1" ht="15.5">
      <c r="A6" s="501"/>
      <c r="B6" s="147"/>
      <c r="C6" s="502"/>
      <c r="D6" s="502"/>
      <c r="E6" s="499"/>
    </row>
    <row r="7" spans="1:5" s="508" customFormat="1" ht="15.5">
      <c r="A7" s="2859" t="str">
        <f>"Räkenskapssammandraget "&amp;År&amp;""</f>
        <v>Räkenskapssammandraget 2025</v>
      </c>
      <c r="B7" s="2860"/>
      <c r="C7" s="2860"/>
      <c r="D7" s="2860"/>
      <c r="E7" s="499"/>
    </row>
    <row r="8" spans="1:5" s="508" customFormat="1" ht="22.5" customHeight="1">
      <c r="A8" s="503"/>
      <c r="B8" s="147"/>
      <c r="C8" s="147"/>
      <c r="D8" s="147"/>
      <c r="E8" s="499"/>
    </row>
    <row r="9" spans="1:5" s="508" customFormat="1" ht="12.75" customHeight="1">
      <c r="A9" s="2670" t="s">
        <v>1654</v>
      </c>
      <c r="B9" s="2669" t="s">
        <v>1653</v>
      </c>
      <c r="C9" s="504"/>
      <c r="D9" s="2660"/>
      <c r="E9" s="499"/>
    </row>
    <row r="10" spans="1:5" s="508" customFormat="1">
      <c r="A10" s="2851"/>
      <c r="B10" s="2861"/>
      <c r="C10" s="2861"/>
      <c r="D10" s="2660"/>
      <c r="E10" s="499"/>
    </row>
    <row r="11" spans="1:5" s="508" customFormat="1" ht="13">
      <c r="A11" s="2849" t="s">
        <v>1655</v>
      </c>
      <c r="B11" s="2850"/>
      <c r="C11" s="504"/>
      <c r="D11" s="2660"/>
      <c r="E11" s="499"/>
    </row>
    <row r="12" spans="1:5" s="508" customFormat="1">
      <c r="A12" s="2851" t="s">
        <v>1649</v>
      </c>
      <c r="B12" s="2852"/>
      <c r="C12" s="2853"/>
      <c r="D12" s="2660"/>
      <c r="E12" s="499"/>
    </row>
    <row r="13" spans="1:5" s="508" customFormat="1" ht="13">
      <c r="A13" s="2668" t="s">
        <v>1650</v>
      </c>
      <c r="B13" s="2667"/>
      <c r="C13" s="2667"/>
      <c r="D13" s="146"/>
      <c r="E13" s="499"/>
    </row>
    <row r="14" spans="1:5" s="508" customFormat="1">
      <c r="A14" s="2854" t="s">
        <v>1651</v>
      </c>
      <c r="B14" s="2855"/>
      <c r="C14" s="2855"/>
      <c r="D14" s="2855"/>
      <c r="E14" s="499"/>
    </row>
    <row r="15" spans="1:5" s="508" customFormat="1">
      <c r="A15" s="2667" t="s">
        <v>1661</v>
      </c>
      <c r="B15" s="2661"/>
      <c r="C15" s="2660"/>
      <c r="D15" s="2660"/>
      <c r="E15" s="499"/>
    </row>
    <row r="16" spans="1:5" s="508" customFormat="1">
      <c r="A16" s="2667" t="s">
        <v>1652</v>
      </c>
      <c r="B16" s="2665"/>
      <c r="C16" s="2665"/>
      <c r="D16" s="2666"/>
      <c r="E16" s="499"/>
    </row>
    <row r="17" spans="1:5" s="508" customFormat="1">
      <c r="A17" s="2662"/>
      <c r="B17" s="2663"/>
      <c r="C17" s="2663"/>
      <c r="D17" s="2663"/>
      <c r="E17" s="499"/>
    </row>
    <row r="18" spans="1:5" s="508" customFormat="1" ht="13.4" customHeight="1">
      <c r="A18" s="2854" t="s">
        <v>1656</v>
      </c>
      <c r="B18" s="2856"/>
      <c r="C18" s="2856"/>
      <c r="D18" s="2856"/>
      <c r="E18" s="2856"/>
    </row>
    <row r="19" spans="1:5" s="508" customFormat="1">
      <c r="A19" s="2843"/>
      <c r="B19" s="2844"/>
      <c r="C19" s="2844"/>
      <c r="D19" s="2844"/>
      <c r="E19" s="499"/>
    </row>
    <row r="20" spans="1:5" s="508" customFormat="1">
      <c r="A20" s="2660"/>
      <c r="B20" s="2660"/>
      <c r="C20" s="2660"/>
      <c r="D20" s="2660"/>
      <c r="E20" s="499"/>
    </row>
    <row r="21" spans="1:5" s="508" customFormat="1">
      <c r="A21" s="2664"/>
      <c r="B21" s="2665"/>
      <c r="C21" s="2665"/>
      <c r="D21" s="2666"/>
      <c r="E21" s="499"/>
    </row>
    <row r="22" spans="1:5" s="508" customFormat="1" ht="13">
      <c r="A22" s="2849"/>
      <c r="B22" s="2850"/>
      <c r="C22" s="504"/>
      <c r="D22" s="2660"/>
      <c r="E22" s="499"/>
    </row>
    <row r="23" spans="1:5" s="508" customFormat="1">
      <c r="A23" s="2851"/>
      <c r="B23" s="2852"/>
      <c r="C23" s="2853"/>
      <c r="D23" s="2660"/>
      <c r="E23" s="499"/>
    </row>
    <row r="24" spans="1:5" s="508" customFormat="1" ht="13">
      <c r="A24" s="2668"/>
      <c r="B24" s="2667"/>
      <c r="C24" s="2667"/>
      <c r="D24" s="146"/>
      <c r="E24" s="499"/>
    </row>
    <row r="25" spans="1:5" s="508" customFormat="1">
      <c r="A25" s="2854"/>
      <c r="B25" s="2855"/>
      <c r="C25" s="2855"/>
      <c r="D25" s="2855"/>
      <c r="E25" s="499"/>
    </row>
    <row r="26" spans="1:5" s="508" customFormat="1">
      <c r="A26" s="2667"/>
      <c r="B26" s="2661"/>
      <c r="C26" s="2660"/>
      <c r="D26" s="2660"/>
      <c r="E26" s="499"/>
    </row>
    <row r="27" spans="1:5" s="508" customFormat="1">
      <c r="A27" s="2845"/>
      <c r="B27" s="2846"/>
      <c r="C27" s="2846"/>
      <c r="D27" s="2846"/>
      <c r="E27" s="499"/>
    </row>
    <row r="28" spans="1:5" s="508" customFormat="1" ht="14">
      <c r="A28" s="2847"/>
      <c r="B28" s="2848"/>
      <c r="C28" s="2848"/>
      <c r="D28" s="2848"/>
      <c r="E28" s="499"/>
    </row>
    <row r="29" spans="1:5" s="508" customFormat="1">
      <c r="A29" s="2841"/>
      <c r="B29" s="2842"/>
      <c r="C29" s="2842"/>
      <c r="D29" s="2842"/>
      <c r="E29" s="499"/>
    </row>
    <row r="30" spans="1:5" s="508" customFormat="1">
      <c r="A30" s="2660"/>
      <c r="B30" s="2660"/>
      <c r="C30" s="2660"/>
      <c r="D30" s="2660"/>
      <c r="E30" s="499"/>
    </row>
    <row r="31" spans="1:5" s="508" customFormat="1">
      <c r="A31" s="2664"/>
      <c r="B31" s="2665"/>
      <c r="C31" s="2665"/>
      <c r="D31" s="2666"/>
      <c r="E31" s="499"/>
    </row>
    <row r="32" spans="1:5" s="508" customFormat="1">
      <c r="A32" s="2664"/>
      <c r="B32" s="2665"/>
      <c r="C32" s="2665"/>
      <c r="D32" s="2666"/>
      <c r="E32" s="499"/>
    </row>
    <row r="33" spans="1:5" s="508" customFormat="1">
      <c r="A33" s="2664"/>
      <c r="B33" s="2665"/>
      <c r="C33" s="2665"/>
      <c r="D33" s="2666"/>
      <c r="E33" s="499"/>
    </row>
    <row r="34" spans="1:5" s="508" customFormat="1">
      <c r="A34" s="2664"/>
      <c r="B34" s="2665"/>
      <c r="C34" s="2665"/>
      <c r="D34" s="2666"/>
      <c r="E34" s="499"/>
    </row>
    <row r="35" spans="1:5" s="508" customFormat="1">
      <c r="A35" s="2664"/>
      <c r="B35" s="2665"/>
      <c r="C35" s="2665"/>
      <c r="D35" s="2666"/>
      <c r="E35" s="499"/>
    </row>
    <row r="36" spans="1:5" s="508" customFormat="1">
      <c r="A36" s="505"/>
      <c r="B36" s="499"/>
      <c r="C36" s="499"/>
      <c r="D36" s="499"/>
      <c r="E36" s="499"/>
    </row>
    <row r="37" spans="1:5" s="508" customFormat="1">
      <c r="A37" s="505"/>
      <c r="B37" s="499"/>
      <c r="C37" s="499"/>
      <c r="D37" s="499"/>
      <c r="E37" s="499"/>
    </row>
    <row r="38" spans="1:5" s="508" customFormat="1">
      <c r="A38" s="505"/>
      <c r="B38" s="499"/>
      <c r="C38" s="499"/>
      <c r="D38" s="499"/>
      <c r="E38" s="499"/>
    </row>
    <row r="39" spans="1:5" s="508" customFormat="1">
      <c r="A39" s="505"/>
      <c r="B39" s="2839"/>
      <c r="C39" s="2839"/>
      <c r="D39" s="499"/>
      <c r="E39" s="499"/>
    </row>
    <row r="40" spans="1:5" s="508" customFormat="1">
      <c r="A40" s="505"/>
      <c r="B40" s="2839"/>
      <c r="C40" s="2839"/>
      <c r="D40" s="499"/>
      <c r="E40" s="499"/>
    </row>
    <row r="41" spans="1:5" s="508" customFormat="1">
      <c r="A41" s="2691" t="s">
        <v>1891</v>
      </c>
      <c r="B41" s="2840"/>
      <c r="C41" s="2840"/>
      <c r="D41" s="499"/>
      <c r="E41" s="499"/>
    </row>
    <row r="42" spans="1:5" s="508" customFormat="1">
      <c r="A42" s="505"/>
      <c r="B42" s="499"/>
      <c r="C42" s="499"/>
      <c r="D42" s="499"/>
      <c r="E42" s="499"/>
    </row>
    <row r="43" spans="1:5" s="508" customFormat="1">
      <c r="A43" s="505"/>
      <c r="B43" s="499"/>
      <c r="C43" s="499"/>
      <c r="D43" s="499"/>
      <c r="E43" s="499"/>
    </row>
    <row r="44" spans="1:5" s="508" customFormat="1">
      <c r="A44" s="505"/>
      <c r="B44" s="499"/>
      <c r="C44" s="499"/>
      <c r="D44" s="499"/>
      <c r="E44" s="499"/>
    </row>
    <row r="45" spans="1:5" s="508" customFormat="1">
      <c r="A45" s="505"/>
      <c r="B45" s="499"/>
      <c r="C45" s="499"/>
      <c r="D45" s="499"/>
      <c r="E45" s="499"/>
    </row>
    <row r="46" spans="1:5" s="508" customFormat="1">
      <c r="A46" s="505"/>
      <c r="B46" s="499"/>
      <c r="C46" s="499"/>
      <c r="D46" s="499"/>
      <c r="E46" s="499"/>
    </row>
    <row r="47" spans="1:5" s="508" customFormat="1">
      <c r="A47" s="505"/>
      <c r="B47" s="499"/>
      <c r="C47" s="499"/>
      <c r="D47" s="499"/>
      <c r="E47" s="499"/>
    </row>
    <row r="48" spans="1:5" s="508" customFormat="1">
      <c r="A48" s="505"/>
      <c r="B48" s="499"/>
      <c r="C48" s="499"/>
      <c r="D48" s="499"/>
      <c r="E48" s="499"/>
    </row>
    <row r="49" spans="1:5" s="508" customFormat="1">
      <c r="A49" s="505"/>
      <c r="B49" s="499"/>
      <c r="C49" s="499"/>
      <c r="D49" s="499"/>
      <c r="E49" s="499"/>
    </row>
    <row r="50" spans="1:5" s="369" customFormat="1" ht="54.75" customHeight="1">
      <c r="A50" s="506"/>
      <c r="B50" s="507"/>
      <c r="C50" s="507"/>
      <c r="D50" s="507"/>
      <c r="E50" s="507"/>
    </row>
  </sheetData>
  <customSheetViews>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1"/>
      <headerFooter alignWithMargins="0"/>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3"/>
    </customSheetView>
  </customSheetViews>
  <mergeCells count="15">
    <mergeCell ref="A11:B11"/>
    <mergeCell ref="A12:C12"/>
    <mergeCell ref="A14:D14"/>
    <mergeCell ref="A18:E18"/>
    <mergeCell ref="A1:D1"/>
    <mergeCell ref="A7:D7"/>
    <mergeCell ref="A10:C10"/>
    <mergeCell ref="B39:C41"/>
    <mergeCell ref="A29:D29"/>
    <mergeCell ref="A19:D19"/>
    <mergeCell ref="A27:D27"/>
    <mergeCell ref="A28:D28"/>
    <mergeCell ref="A22:B22"/>
    <mergeCell ref="A23:C23"/>
    <mergeCell ref="A25:D25"/>
  </mergeCells>
  <phoneticPr fontId="96" type="noConversion"/>
  <hyperlinks>
    <hyperlink ref="B9" r:id="rId4" xr:uid="{00000000-0004-0000-0000-000000000000}"/>
  </hyperlinks>
  <pageMargins left="0.70866141732283472" right="0.48" top="0.74803149606299213" bottom="0.74803149606299213" header="0.31496062992125984" footer="0.31496062992125984"/>
  <pageSetup paperSize="9" scale="84" orientation="portrait"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FFFF00"/>
  </sheetPr>
  <dimension ref="A1:W62"/>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0" customHeight="1" zeroHeight="1"/>
  <cols>
    <col min="1" max="1" width="5.453125" style="300" customWidth="1"/>
    <col min="2" max="2" width="32.54296875" style="304" customWidth="1"/>
    <col min="3" max="3" width="11.453125" style="307" customWidth="1"/>
    <col min="4" max="4" width="9.453125" style="307" customWidth="1"/>
    <col min="5" max="7" width="8.54296875" style="307" customWidth="1"/>
    <col min="8" max="8" width="10" style="307" customWidth="1"/>
    <col min="9" max="9" width="9.54296875" style="307" customWidth="1"/>
    <col min="10" max="10" width="10" style="307" customWidth="1"/>
    <col min="11" max="11" width="9.54296875" style="307" customWidth="1"/>
    <col min="12" max="13" width="10.453125" style="307" customWidth="1"/>
    <col min="14" max="14" width="13.453125" style="307" customWidth="1"/>
    <col min="15" max="15" width="8" style="305" customWidth="1"/>
    <col min="16" max="16" width="20.54296875" style="300" customWidth="1"/>
    <col min="17" max="17" width="6" style="306" customWidth="1"/>
    <col min="18" max="18" width="18.54296875" style="300" customWidth="1"/>
    <col min="19" max="19" width="4.453125" style="300" customWidth="1"/>
    <col min="20" max="20" width="14.54296875" style="300" customWidth="1"/>
    <col min="21" max="21" width="9.453125" style="300" customWidth="1"/>
    <col min="22" max="22" width="9.453125" style="295" customWidth="1"/>
    <col min="23" max="16384" width="0" style="295" hidden="1"/>
  </cols>
  <sheetData>
    <row r="1" spans="1:23" ht="21">
      <c r="A1" s="138" t="str">
        <f>"Specificering vård och omsorg om äldre och personer med funktionsnedsättning "&amp;År&amp;", 1000 tal kronor"</f>
        <v>Specificering vård och omsorg om äldre och personer med funktionsnedsättning 2025, 1000 tal kronor</v>
      </c>
      <c r="B1" s="139"/>
      <c r="C1" s="139"/>
      <c r="D1" s="293"/>
      <c r="E1" s="293"/>
      <c r="F1" s="293"/>
      <c r="G1" s="293"/>
      <c r="H1" s="293"/>
      <c r="I1" s="293"/>
      <c r="J1" s="293"/>
      <c r="K1" s="293"/>
      <c r="L1" s="293"/>
      <c r="M1" s="293"/>
      <c r="N1" s="293"/>
      <c r="O1" s="624">
        <f>Information!B3</f>
        <v>0</v>
      </c>
      <c r="P1" s="625">
        <f>Information!B2</f>
        <v>0</v>
      </c>
      <c r="Q1" s="294"/>
      <c r="R1" s="293"/>
      <c r="S1" s="293"/>
      <c r="T1" s="293"/>
      <c r="U1" s="293"/>
    </row>
    <row r="2" spans="1:23" ht="12.5">
      <c r="A2" s="1931"/>
      <c r="B2" s="140"/>
      <c r="C2" s="298"/>
      <c r="D2" s="298"/>
      <c r="E2" s="298"/>
      <c r="F2" s="298"/>
      <c r="G2" s="298"/>
      <c r="H2" s="298"/>
      <c r="I2" s="298"/>
      <c r="J2" s="296"/>
      <c r="K2" s="1590"/>
      <c r="L2" s="1590"/>
      <c r="N2" s="1586"/>
      <c r="O2" s="1588"/>
      <c r="P2" s="1585"/>
      <c r="Q2" s="296"/>
      <c r="R2" s="306"/>
      <c r="T2" s="296"/>
      <c r="U2" s="296"/>
      <c r="V2" s="296"/>
    </row>
    <row r="3" spans="1:23" ht="12.65" customHeight="1" thickBot="1">
      <c r="A3" s="297"/>
      <c r="B3" s="297"/>
      <c r="C3" s="298" t="s">
        <v>833</v>
      </c>
      <c r="D3" s="298" t="s">
        <v>838</v>
      </c>
      <c r="E3" s="298" t="s">
        <v>834</v>
      </c>
      <c r="F3" s="298" t="s">
        <v>592</v>
      </c>
      <c r="G3" s="298" t="s">
        <v>835</v>
      </c>
      <c r="H3" s="298" t="s">
        <v>593</v>
      </c>
      <c r="I3" s="298" t="s">
        <v>594</v>
      </c>
      <c r="J3" s="298" t="s">
        <v>837</v>
      </c>
      <c r="K3" s="298" t="s">
        <v>836</v>
      </c>
      <c r="L3" s="298"/>
      <c r="M3" s="298"/>
      <c r="N3" s="298"/>
      <c r="O3" s="1589"/>
      <c r="P3" s="1587"/>
      <c r="Q3" s="297"/>
      <c r="R3" s="306"/>
      <c r="U3" s="297"/>
      <c r="V3" s="297"/>
    </row>
    <row r="4" spans="1:23" ht="12.5">
      <c r="A4" s="1298" t="s">
        <v>864</v>
      </c>
      <c r="B4" s="1299" t="s">
        <v>13</v>
      </c>
      <c r="C4" s="1853" t="s">
        <v>1291</v>
      </c>
      <c r="D4" s="1853"/>
      <c r="E4" s="2120"/>
      <c r="F4" s="1651" t="s">
        <v>37</v>
      </c>
      <c r="G4" s="1302"/>
      <c r="H4" s="1302"/>
      <c r="I4" s="1300"/>
      <c r="J4" s="1653" t="s">
        <v>38</v>
      </c>
      <c r="K4" s="1652" t="s">
        <v>1288</v>
      </c>
      <c r="L4" s="2336" t="s">
        <v>1383</v>
      </c>
      <c r="M4" s="1935" t="s">
        <v>1298</v>
      </c>
      <c r="N4" s="1932"/>
      <c r="O4" s="3078" t="str">
        <f>"Förändring kostnader för eget åtagande "&amp;År-1&amp;"-"&amp;År&amp;" procent"</f>
        <v>Förändring kostnader för eget åtagande 2024-2025 procent</v>
      </c>
      <c r="P4" s="1592" t="s">
        <v>40</v>
      </c>
      <c r="Q4" s="1301"/>
      <c r="R4" s="1304"/>
      <c r="S4" s="306"/>
      <c r="V4" s="300"/>
      <c r="W4" s="300"/>
    </row>
    <row r="5" spans="1:23" ht="17.149999999999999" customHeight="1">
      <c r="A5" s="1305" t="s">
        <v>866</v>
      </c>
      <c r="B5" s="1306"/>
      <c r="C5" s="1606" t="s">
        <v>43</v>
      </c>
      <c r="D5" s="1606"/>
      <c r="E5" s="2114"/>
      <c r="F5" s="1307"/>
      <c r="G5" s="1308"/>
      <c r="H5" s="1308"/>
      <c r="I5" s="1309"/>
      <c r="J5" s="1654" t="s">
        <v>42</v>
      </c>
      <c r="K5" s="1952" t="s">
        <v>1304</v>
      </c>
      <c r="L5" s="2337" t="s">
        <v>44</v>
      </c>
      <c r="M5" s="1934" t="s">
        <v>1297</v>
      </c>
      <c r="N5" s="1933"/>
      <c r="O5" s="3079"/>
      <c r="P5" s="1591" t="s">
        <v>1037</v>
      </c>
      <c r="Q5" s="1312"/>
      <c r="R5" s="1313"/>
      <c r="S5" s="419"/>
      <c r="T5" s="46" t="s">
        <v>983</v>
      </c>
      <c r="V5" s="300"/>
      <c r="W5" s="300"/>
    </row>
    <row r="6" spans="1:23" ht="31" customHeight="1">
      <c r="A6" s="1314"/>
      <c r="B6" s="1315"/>
      <c r="C6" s="1887"/>
      <c r="D6" s="3071" t="s">
        <v>1382</v>
      </c>
      <c r="E6" s="3071" t="s">
        <v>1425</v>
      </c>
      <c r="F6" s="3064" t="s">
        <v>926</v>
      </c>
      <c r="G6" s="3066" t="s">
        <v>1069</v>
      </c>
      <c r="H6" s="3066" t="s">
        <v>516</v>
      </c>
      <c r="I6" s="3073" t="s">
        <v>1508</v>
      </c>
      <c r="J6" s="2114"/>
      <c r="K6" s="1951" t="s">
        <v>1303</v>
      </c>
      <c r="L6" s="2121"/>
      <c r="M6" s="2272"/>
      <c r="N6" s="1948"/>
      <c r="O6" s="3079"/>
      <c r="P6" s="3076" t="s">
        <v>1767</v>
      </c>
      <c r="Q6" s="3090" t="str">
        <f>"Nämnare nyckeltal"</f>
        <v>Nämnare nyckeltal</v>
      </c>
      <c r="R6" s="3091"/>
      <c r="S6" s="105"/>
      <c r="T6" s="46" t="s">
        <v>622</v>
      </c>
      <c r="V6" s="300"/>
      <c r="W6" s="300"/>
    </row>
    <row r="7" spans="1:23" ht="21" customHeight="1">
      <c r="A7" s="1317"/>
      <c r="B7" s="1315"/>
      <c r="C7" s="1606"/>
      <c r="D7" s="3075"/>
      <c r="E7" s="3072"/>
      <c r="F7" s="3065"/>
      <c r="G7" s="3067"/>
      <c r="H7" s="3068"/>
      <c r="I7" s="3074"/>
      <c r="J7" s="2114"/>
      <c r="K7" s="1939" t="s">
        <v>1299</v>
      </c>
      <c r="L7" s="2126" t="s">
        <v>1295</v>
      </c>
      <c r="M7" s="2127" t="s">
        <v>1302</v>
      </c>
      <c r="N7" s="1947" t="s">
        <v>1302</v>
      </c>
      <c r="O7" s="1946"/>
      <c r="P7" s="3076"/>
      <c r="Q7" s="3092"/>
      <c r="R7" s="3091"/>
      <c r="S7" s="424"/>
      <c r="T7" s="46" t="s">
        <v>623</v>
      </c>
      <c r="V7" s="300"/>
      <c r="W7" s="300"/>
    </row>
    <row r="8" spans="1:23" ht="5.5" customHeight="1">
      <c r="A8" s="1317"/>
      <c r="B8" s="1318"/>
      <c r="C8" s="1310"/>
      <c r="D8" s="2114"/>
      <c r="E8" s="1886"/>
      <c r="F8" s="1316"/>
      <c r="G8" s="2320"/>
      <c r="H8" s="2320"/>
      <c r="I8" s="1657"/>
      <c r="J8" s="2114"/>
      <c r="K8" s="1605" t="s">
        <v>1509</v>
      </c>
      <c r="L8" s="2128"/>
      <c r="M8" s="2129">
        <f>År</f>
        <v>2025</v>
      </c>
      <c r="N8" s="1937">
        <f>År-1</f>
        <v>2024</v>
      </c>
      <c r="O8" s="1311"/>
      <c r="P8" s="3076"/>
      <c r="Q8" s="1320"/>
      <c r="R8" s="1593"/>
      <c r="S8" s="1670"/>
      <c r="T8" s="46" t="s">
        <v>1038</v>
      </c>
      <c r="U8" s="1583"/>
      <c r="V8" s="1583"/>
      <c r="W8" s="300"/>
    </row>
    <row r="9" spans="1:23" ht="20.25" customHeight="1">
      <c r="A9" s="1317"/>
      <c r="B9" s="1315"/>
      <c r="C9" s="1310"/>
      <c r="D9" s="3076" t="s">
        <v>1564</v>
      </c>
      <c r="E9" s="1899" t="s">
        <v>1044</v>
      </c>
      <c r="F9" s="1898" t="s">
        <v>1078</v>
      </c>
      <c r="G9" s="1897" t="s">
        <v>47</v>
      </c>
      <c r="H9" s="3069" t="s">
        <v>1068</v>
      </c>
      <c r="I9" s="2614" t="s">
        <v>1511</v>
      </c>
      <c r="J9" s="1311"/>
      <c r="K9" s="2484" t="s">
        <v>1510</v>
      </c>
      <c r="L9" s="2321"/>
      <c r="M9" s="2130"/>
      <c r="N9" s="1936"/>
      <c r="O9" s="1311"/>
      <c r="P9" s="3101" t="s">
        <v>1766</v>
      </c>
      <c r="Q9" s="1321"/>
      <c r="R9" s="1322"/>
      <c r="S9" s="299"/>
      <c r="T9" s="46" t="s">
        <v>1039</v>
      </c>
      <c r="V9" s="300"/>
      <c r="W9" s="300"/>
    </row>
    <row r="10" spans="1:23" ht="12.75" customHeight="1">
      <c r="A10" s="1317"/>
      <c r="B10" s="1323"/>
      <c r="C10" s="1310"/>
      <c r="D10" s="3077"/>
      <c r="E10" s="1886"/>
      <c r="F10" s="1674"/>
      <c r="G10" s="1900"/>
      <c r="H10" s="3067"/>
      <c r="I10" s="1889"/>
      <c r="J10" s="1311"/>
      <c r="K10" s="1605" t="s">
        <v>1506</v>
      </c>
      <c r="L10" s="2122"/>
      <c r="M10" s="1949"/>
      <c r="N10" s="1950"/>
      <c r="O10" s="1324"/>
      <c r="P10" s="3101"/>
      <c r="Q10" s="1325"/>
      <c r="R10" s="1326"/>
      <c r="S10" s="301"/>
      <c r="V10" s="300"/>
      <c r="W10" s="300"/>
    </row>
    <row r="11" spans="1:23" ht="13">
      <c r="A11" s="1327"/>
      <c r="B11" s="1675"/>
      <c r="C11" s="1328"/>
      <c r="D11" s="2115"/>
      <c r="E11" s="1888"/>
      <c r="F11" s="1674"/>
      <c r="G11" s="1901"/>
      <c r="H11" s="3070"/>
      <c r="I11" s="1890"/>
      <c r="J11" s="1329"/>
      <c r="K11" s="2509" t="s">
        <v>1507</v>
      </c>
      <c r="L11" s="2123"/>
      <c r="M11" s="2118"/>
      <c r="N11" s="2119"/>
      <c r="O11" s="1330"/>
      <c r="P11" s="3102"/>
      <c r="Q11" s="1331"/>
      <c r="R11" s="1332"/>
      <c r="S11" s="301"/>
      <c r="T11" s="309" t="s">
        <v>706</v>
      </c>
      <c r="V11" s="300"/>
      <c r="W11" s="300"/>
    </row>
    <row r="12" spans="1:23" ht="13">
      <c r="A12" s="1333">
        <v>510</v>
      </c>
      <c r="B12" s="1334" t="s">
        <v>537</v>
      </c>
      <c r="C12" s="408">
        <f>Drift!P73</f>
        <v>0</v>
      </c>
      <c r="D12" s="408">
        <f>SUM(Drift!C73:D73)</f>
        <v>0</v>
      </c>
      <c r="E12" s="408">
        <f>Drift!F73</f>
        <v>0</v>
      </c>
      <c r="F12" s="408">
        <f>Drift!R73</f>
        <v>0</v>
      </c>
      <c r="G12" s="408">
        <f>Drift!S73</f>
        <v>0</v>
      </c>
      <c r="H12" s="408">
        <f>Drift!T73</f>
        <v>0</v>
      </c>
      <c r="I12" s="408">
        <f>Motpart!Y29+Motpart!Z29</f>
        <v>0</v>
      </c>
      <c r="J12" s="408">
        <f>Drift!V73</f>
        <v>0</v>
      </c>
      <c r="K12" s="2113">
        <f t="shared" ref="K12:K19" si="0">C12-I12-J12</f>
        <v>0</v>
      </c>
      <c r="L12" s="2116">
        <f t="shared" ref="L12:L19" si="1">C12-SUM(F12:H12,J12)</f>
        <v>0</v>
      </c>
      <c r="M12" s="1354" t="str">
        <f>IF(C12&gt;0,K12*1000/Q12,"")</f>
        <v/>
      </c>
      <c r="N12" s="2125"/>
      <c r="O12" s="1350"/>
      <c r="P12" s="1509"/>
      <c r="Q12" s="1351"/>
      <c r="R12" s="1352" t="s">
        <v>1418</v>
      </c>
      <c r="S12" s="301"/>
      <c r="T12" s="3089"/>
      <c r="U12" s="3010"/>
      <c r="V12" s="2968"/>
      <c r="W12" s="302"/>
    </row>
    <row r="13" spans="1:23" ht="13.5" customHeight="1">
      <c r="A13" s="1335">
        <v>5101</v>
      </c>
      <c r="B13" s="1336" t="s">
        <v>492</v>
      </c>
      <c r="C13" s="141"/>
      <c r="D13" s="141"/>
      <c r="E13" s="141"/>
      <c r="F13" s="141"/>
      <c r="G13" s="2700"/>
      <c r="H13" s="141"/>
      <c r="I13" s="141"/>
      <c r="J13" s="141"/>
      <c r="K13" s="2116">
        <f t="shared" si="0"/>
        <v>0</v>
      </c>
      <c r="L13" s="2116">
        <f t="shared" si="1"/>
        <v>0</v>
      </c>
      <c r="M13" s="1354" t="str">
        <f>IF(C13&gt;0,K13*1000/Q12,"")</f>
        <v/>
      </c>
      <c r="N13" s="1354"/>
      <c r="O13" s="1355" t="str">
        <f t="shared" ref="O13:O18" si="2">IF(ISERROR((M13-N13)/N13),"",((M13-N13)/N13))</f>
        <v/>
      </c>
      <c r="P13" s="2432" t="str">
        <f>IF(C12=0,"",IF(C13="","Belopp saknas",IF(SUM(D13+E13)&gt;C13,"Därav-kol. D+E &gt; kol. C",IF(I13&gt;H13,"Därav-kol. I &gt; kol. H",IF(AND(K13=0,N13&lt;&gt;0),"se frågan till höger",IF(AND(M13="",N13=""),"",IF(OR(O13&gt;30%,O13&lt;-25%),"Kommentera förändringen","")))))))</f>
        <v/>
      </c>
      <c r="Q13" s="1356"/>
      <c r="R13" s="2395"/>
      <c r="S13" s="301"/>
      <c r="T13" s="2969"/>
      <c r="U13" s="3011"/>
      <c r="V13" s="2970"/>
      <c r="W13" s="302"/>
    </row>
    <row r="14" spans="1:23" ht="13.5" customHeight="1">
      <c r="A14" s="1335">
        <v>5103</v>
      </c>
      <c r="B14" s="1336" t="s">
        <v>992</v>
      </c>
      <c r="C14" s="308"/>
      <c r="D14" s="141"/>
      <c r="E14" s="308"/>
      <c r="F14" s="141"/>
      <c r="G14" s="308"/>
      <c r="H14" s="141"/>
      <c r="I14" s="308"/>
      <c r="J14" s="141"/>
      <c r="K14" s="2116">
        <f>C14-I14-J14</f>
        <v>0</v>
      </c>
      <c r="L14" s="2116">
        <f t="shared" si="1"/>
        <v>0</v>
      </c>
      <c r="M14" s="1357" t="str">
        <f>IF(C14&gt;0,K14*1000/Q12,"")</f>
        <v/>
      </c>
      <c r="N14" s="1357"/>
      <c r="O14" s="1355" t="str">
        <f t="shared" si="2"/>
        <v/>
      </c>
      <c r="P14" s="2432" t="str">
        <f>IF(C12=0,"",IF(C14="","Skriv belopp eller 0 i kol. C",IF(SUM(D14+E14)&gt;C14,"Därav-kol. D+E &gt; kol. C",IF(I14&gt;H14,"Därav-kol. I &gt; kol. H",IF(AND(K14=0,N14&lt;&gt;0),"se frågan till höger",IF(AND(M14="",N14=""),"",IF(AND(M14="",N14=""),"",IF(OR(O14&gt;70%,O14&lt;-40%),"Kommentera förändringen",""))))))))</f>
        <v/>
      </c>
      <c r="Q14" s="2401"/>
      <c r="R14" s="3108" t="str">
        <f>"För minst en delv-ht inom v-het 510 redovisades kostnader föregående år men inte i år. Har kommunen inte verksamheten(-erna)? Lämna förklarande kommentar"</f>
        <v>För minst en delv-ht inom v-het 510 redovisades kostnader föregående år men inte i år. Har kommunen inte verksamheten(-erna)? Lämna förklarande kommentar</v>
      </c>
      <c r="S14" s="301"/>
      <c r="T14" s="2969"/>
      <c r="U14" s="3011"/>
      <c r="V14" s="2970"/>
      <c r="W14" s="302"/>
    </row>
    <row r="15" spans="1:23" ht="13.5" customHeight="1">
      <c r="A15" s="1335">
        <v>5104</v>
      </c>
      <c r="B15" s="1336" t="s">
        <v>493</v>
      </c>
      <c r="C15" s="308"/>
      <c r="D15" s="308"/>
      <c r="E15" s="308"/>
      <c r="F15" s="308"/>
      <c r="G15" s="2700"/>
      <c r="H15" s="308"/>
      <c r="I15" s="308"/>
      <c r="J15" s="308"/>
      <c r="K15" s="2116">
        <f>C15-I15-J15</f>
        <v>0</v>
      </c>
      <c r="L15" s="2116">
        <f t="shared" si="1"/>
        <v>0</v>
      </c>
      <c r="M15" s="1357" t="str">
        <f>IF(C15&gt;0,K15*1000/Q12,"")</f>
        <v/>
      </c>
      <c r="N15" s="1357"/>
      <c r="O15" s="1355" t="str">
        <f>IF(ISERROR((M15-N15)/N15),"",((M15-N15)/N15))</f>
        <v/>
      </c>
      <c r="P15" s="2432" t="str">
        <f>IF(C12=0,"",IF(C15="","Skriv belopp eller 0 i kol. C",IF(SUM(D15+E15)&gt;C15,"Därav-kol. D+E &gt; kol. C",IF(I15&gt;H15,"Därav-kol. I &gt; kol H.",IF(AND(O15&gt;-3%,O15&lt;3%),"",IF(AND(K15=0,N15&lt;&gt;0),"se frågan till höger",IF(AND(M15="",N15=""),"",IF(OR(_xlfn.NUMBERVALUE(O15)&gt;100%,O15&lt;-60%,AND(_xlfn.NUMBERVALUE(N15)=0,M15&gt;600)),"Kommentera förändringen",""))))))))</f>
        <v/>
      </c>
      <c r="Q15" s="2411"/>
      <c r="R15" s="3108"/>
      <c r="S15" s="301"/>
      <c r="T15" s="2971"/>
      <c r="U15" s="3012"/>
      <c r="V15" s="2972"/>
      <c r="W15" s="302"/>
    </row>
    <row r="16" spans="1:23" ht="13.5" customHeight="1">
      <c r="A16" s="2834">
        <v>5102</v>
      </c>
      <c r="B16" s="2833" t="s">
        <v>1771</v>
      </c>
      <c r="C16" s="141"/>
      <c r="D16" s="141"/>
      <c r="E16" s="141"/>
      <c r="F16" s="141"/>
      <c r="G16" s="141"/>
      <c r="H16" s="141"/>
      <c r="I16" s="141"/>
      <c r="J16" s="141"/>
      <c r="K16" s="2116">
        <f>C16-I16-J16</f>
        <v>0</v>
      </c>
      <c r="L16" s="2116">
        <f t="shared" si="1"/>
        <v>0</v>
      </c>
      <c r="M16" s="1357" t="str">
        <f>IF(C16="","",K16*1000/Q12)</f>
        <v/>
      </c>
      <c r="N16" s="1357"/>
      <c r="O16" s="1355" t="str">
        <f>IF(ISERROR((M16-N16)/N16),"",((M16-N16)/N16))</f>
        <v/>
      </c>
      <c r="P16" s="2432" t="str">
        <f>IF(C12=0,"",IF(C16="","Skriv belopp eller 0 i kol. C",IF(SUM(D16+E16)&gt;C16,"Därav-kol. D+E  &gt; kol. C",IF(I16&gt;H16,"Därav-kol. I &gt; kol. H",IF(AND(K16=0,N16&lt;&gt;0),"se frågan till höger",IF(AND(M16="",N16=""),"",IF(OR(O16&gt;15%,O16&lt;-20%),"Kommentera förändringen",IF(OR(O16&gt;10%,O16&lt;-15%),"Kontrollera förändringen",""))))))))</f>
        <v/>
      </c>
      <c r="Q16" s="2762"/>
      <c r="R16" s="3108"/>
      <c r="S16" s="301"/>
      <c r="T16" s="302"/>
      <c r="U16" s="302"/>
      <c r="V16" s="302"/>
      <c r="W16" s="302"/>
    </row>
    <row r="17" spans="1:23" ht="13.5" customHeight="1">
      <c r="A17" s="2834">
        <v>5107</v>
      </c>
      <c r="B17" s="2833" t="s">
        <v>1772</v>
      </c>
      <c r="C17" s="308"/>
      <c r="D17" s="141"/>
      <c r="E17" s="141"/>
      <c r="F17" s="141"/>
      <c r="G17" s="141"/>
      <c r="H17" s="141"/>
      <c r="I17" s="141"/>
      <c r="J17" s="141"/>
      <c r="K17" s="2116">
        <f>C17-I17-J17</f>
        <v>0</v>
      </c>
      <c r="L17" s="2116">
        <f t="shared" si="1"/>
        <v>0</v>
      </c>
      <c r="M17" s="1357" t="str">
        <f>IF(C17="","",K17*1000/Q12)</f>
        <v/>
      </c>
      <c r="N17" s="1357"/>
      <c r="O17" s="1355" t="str">
        <f>IF(ISERROR((M17-N17)/N17),"",((M17-N17)/N17))</f>
        <v/>
      </c>
      <c r="P17" s="2432" t="str">
        <f>IF(C12=0,"",IF(C17="","Skriv belopp eller 0 i kol. C",IF(SUM(D17+E17)&gt;C17,"Därav-kol. D+E  &gt; kol. C",IF(I17&gt;H17,"Därav-kol. I &gt; kol. H",IF(AND(K17=0,N17&lt;&gt;0),"se frågan till höger",IF(AND(M17="",N17=""),"",IF(OR(O17&gt;15%,O17&lt;-20%),"Kommentera förändringen",IF(OR(O17&gt;10%,O17&lt;-15%),"Kontrollera förändringen",""))))))))</f>
        <v/>
      </c>
      <c r="Q17" s="2762"/>
      <c r="R17" s="3108"/>
      <c r="S17" s="301"/>
      <c r="T17" s="302"/>
      <c r="U17" s="302"/>
      <c r="V17" s="302"/>
      <c r="W17" s="302"/>
    </row>
    <row r="18" spans="1:23" ht="13.5" customHeight="1">
      <c r="A18" s="1335">
        <v>5106</v>
      </c>
      <c r="B18" s="1337" t="s">
        <v>110</v>
      </c>
      <c r="C18" s="308"/>
      <c r="D18" s="141"/>
      <c r="E18" s="141"/>
      <c r="F18" s="141"/>
      <c r="G18" s="141"/>
      <c r="H18" s="141"/>
      <c r="I18" s="141"/>
      <c r="J18" s="141"/>
      <c r="K18" s="2116">
        <f t="shared" si="0"/>
        <v>0</v>
      </c>
      <c r="L18" s="2116">
        <f t="shared" si="1"/>
        <v>0</v>
      </c>
      <c r="M18" s="1354" t="str">
        <f>IF(C18&gt;0,K18*1000/Q12,"")</f>
        <v/>
      </c>
      <c r="N18" s="1354"/>
      <c r="O18" s="1355" t="str">
        <f t="shared" si="2"/>
        <v/>
      </c>
      <c r="P18" s="2432" t="str">
        <f>IF(C12=0,"",IF(C18="","Skriv belopp eller 0 i kol. C",IF(SUM(D18+E18)&gt;C18,"Därav-kol. D+E &gt; kol. C",IF(I18&gt;H18,"Därav-kol. I &gt; kol. H",IF(AND(K18=0,N18&lt;&gt;0),"se frågan till höger",IF(AND(M18="",N18=""),"",IF(OR(_xlfn.NUMBERVALUE(O18)&gt;200%,O18&lt;-80%,AND(OR(_xlfn.NUMBERVALUE(N18)=0),M18&gt;500)),"Kommentera förändringen","")))))))</f>
        <v/>
      </c>
      <c r="Q18" s="2762"/>
      <c r="R18" s="3108"/>
      <c r="S18" s="301"/>
      <c r="T18" s="302"/>
      <c r="U18" s="302"/>
      <c r="V18" s="302"/>
      <c r="W18" s="302"/>
    </row>
    <row r="19" spans="1:23" ht="13.5" customHeight="1">
      <c r="A19" s="1335">
        <v>5109</v>
      </c>
      <c r="B19" s="1336" t="s">
        <v>377</v>
      </c>
      <c r="C19" s="308"/>
      <c r="D19" s="141"/>
      <c r="E19" s="141"/>
      <c r="F19" s="141"/>
      <c r="G19" s="141"/>
      <c r="H19" s="141"/>
      <c r="I19" s="141"/>
      <c r="J19" s="308"/>
      <c r="K19" s="1353">
        <f t="shared" si="0"/>
        <v>0</v>
      </c>
      <c r="L19" s="2116">
        <f t="shared" si="1"/>
        <v>0</v>
      </c>
      <c r="M19" s="1358"/>
      <c r="N19" s="1358"/>
      <c r="O19" s="1358"/>
      <c r="P19" s="2312" t="str">
        <f>IF(C12=0,"",IF(C19="","Skriv belopp eller 0 i kol. C",IF(SUM(D19+E19)&gt;C19,"Därav-kol. D+E &gt; kol. C",IF(I19&gt;H19,"Därav-kol I. &gt; kol. H",IF(K19&lt;0,"Negativt nyckeltal! Kontrollera","")))))</f>
        <v/>
      </c>
      <c r="Q19" s="2762"/>
      <c r="R19" s="3108"/>
      <c r="S19" s="301"/>
      <c r="T19" s="302"/>
      <c r="U19" s="302"/>
      <c r="V19" s="302"/>
      <c r="W19" s="302"/>
    </row>
    <row r="20" spans="1:23" ht="13">
      <c r="A20" s="1338">
        <v>51099</v>
      </c>
      <c r="B20" s="1339" t="s">
        <v>168</v>
      </c>
      <c r="C20" s="388">
        <f t="shared" ref="C20:J20" si="3">SUM(C13:C19)</f>
        <v>0</v>
      </c>
      <c r="D20" s="388">
        <f t="shared" si="3"/>
        <v>0</v>
      </c>
      <c r="E20" s="388">
        <f t="shared" si="3"/>
        <v>0</v>
      </c>
      <c r="F20" s="388">
        <f t="shared" si="3"/>
        <v>0</v>
      </c>
      <c r="G20" s="388">
        <f t="shared" si="3"/>
        <v>0</v>
      </c>
      <c r="H20" s="388">
        <f t="shared" si="3"/>
        <v>0</v>
      </c>
      <c r="I20" s="388">
        <f t="shared" si="3"/>
        <v>0</v>
      </c>
      <c r="J20" s="388">
        <f t="shared" si="3"/>
        <v>0</v>
      </c>
      <c r="K20" s="1360"/>
      <c r="L20" s="2124"/>
      <c r="M20" s="1361"/>
      <c r="N20" s="1361"/>
      <c r="O20" s="1361"/>
      <c r="P20" s="2313"/>
      <c r="Q20" s="2411"/>
      <c r="R20" s="2760"/>
      <c r="S20" s="303"/>
      <c r="T20" s="302"/>
      <c r="U20" s="302"/>
      <c r="V20" s="302"/>
      <c r="W20" s="302"/>
    </row>
    <row r="21" spans="1:23" ht="13.5" thickBot="1">
      <c r="A21" s="1340"/>
      <c r="B21" s="2044" t="s">
        <v>174</v>
      </c>
      <c r="C21" s="389">
        <f t="shared" ref="C21:J21" si="4">C12-C20</f>
        <v>0</v>
      </c>
      <c r="D21" s="389">
        <f t="shared" si="4"/>
        <v>0</v>
      </c>
      <c r="E21" s="389">
        <f t="shared" si="4"/>
        <v>0</v>
      </c>
      <c r="F21" s="389">
        <f t="shared" si="4"/>
        <v>0</v>
      </c>
      <c r="G21" s="389">
        <f t="shared" si="4"/>
        <v>0</v>
      </c>
      <c r="H21" s="389">
        <f t="shared" si="4"/>
        <v>0</v>
      </c>
      <c r="I21" s="389">
        <f t="shared" si="4"/>
        <v>0</v>
      </c>
      <c r="J21" s="389">
        <f t="shared" si="4"/>
        <v>0</v>
      </c>
      <c r="K21" s="1362"/>
      <c r="L21" s="2132"/>
      <c r="M21" s="1363"/>
      <c r="N21" s="1363"/>
      <c r="O21" s="1363"/>
      <c r="P21" s="1364" t="str">
        <f>IF(OR(C21&gt;5,C21&lt;-5),"Diff Bruttokostnad",IF(OR(D21&gt;5,E21&gt;5,D21&lt;-5,E21&lt;-5),"Diff Därav personalkostn.eller Därav köp av huvudv-het",IF(OR(F21&gt;5,F21&lt;-5),"Diff Taxor och avgifter",IF(OR(G21&gt;5,G21&lt;-5),"Diff Externa hyror",IF(OR(H21&gt;5,H21&lt;-5),"Diff Övriga externa intäkter",IF(OR(I21&gt;5,I21&lt;-5),"Diff Därav försäljning",IF(OR(J21&gt;5,J21&lt;-5),"Diff Interna intäkter","")))))))</f>
        <v/>
      </c>
      <c r="Q21" s="1365"/>
      <c r="R21" s="1366"/>
      <c r="S21" s="303"/>
      <c r="T21" s="302"/>
      <c r="U21" s="302"/>
      <c r="V21" s="302"/>
      <c r="W21" s="302"/>
    </row>
    <row r="22" spans="1:23" ht="22.5" customHeight="1">
      <c r="A22" s="1341">
        <v>520</v>
      </c>
      <c r="B22" s="1342" t="s">
        <v>119</v>
      </c>
      <c r="C22" s="409">
        <f>Drift!P74</f>
        <v>0</v>
      </c>
      <c r="D22" s="408">
        <f>SUM(Drift!C74:D74)</f>
        <v>0</v>
      </c>
      <c r="E22" s="409">
        <f>Drift!F74</f>
        <v>0</v>
      </c>
      <c r="F22" s="409">
        <f>Drift!R74</f>
        <v>0</v>
      </c>
      <c r="G22" s="409">
        <f>Drift!S74</f>
        <v>0</v>
      </c>
      <c r="H22" s="409">
        <f>Drift!T74</f>
        <v>0</v>
      </c>
      <c r="I22" s="409">
        <f>Motpart!Y30+Motpart!Z30</f>
        <v>0</v>
      </c>
      <c r="J22" s="409">
        <f>Drift!V74</f>
        <v>0</v>
      </c>
      <c r="K22" s="1367">
        <f t="shared" ref="K22:K29" si="5">C22-I22-J22</f>
        <v>0</v>
      </c>
      <c r="L22" s="1367">
        <f t="shared" ref="L22:L29" si="6">C22-SUM(F22:H22,J22)</f>
        <v>0</v>
      </c>
      <c r="M22" s="1368" t="str">
        <f>IF(C22&gt;0,K22*1000/Q22,"")</f>
        <v/>
      </c>
      <c r="N22" s="1368"/>
      <c r="O22" s="1369"/>
      <c r="P22" s="1510"/>
      <c r="Q22" s="1370"/>
      <c r="R22" s="1371" t="s">
        <v>1419</v>
      </c>
      <c r="S22" s="301"/>
      <c r="T22" s="310" t="s">
        <v>596</v>
      </c>
      <c r="U22" s="302"/>
      <c r="V22" s="302"/>
      <c r="W22" s="302"/>
    </row>
    <row r="23" spans="1:23" ht="13">
      <c r="A23" s="1335">
        <v>5201</v>
      </c>
      <c r="B23" s="1336" t="s">
        <v>494</v>
      </c>
      <c r="C23" s="141"/>
      <c r="D23" s="141"/>
      <c r="E23" s="141"/>
      <c r="F23" s="141"/>
      <c r="G23" s="2700"/>
      <c r="H23" s="141"/>
      <c r="I23" s="141"/>
      <c r="J23" s="141"/>
      <c r="K23" s="1372">
        <f t="shared" si="5"/>
        <v>0</v>
      </c>
      <c r="L23" s="2116">
        <f t="shared" si="6"/>
        <v>0</v>
      </c>
      <c r="M23" s="1357" t="str">
        <f>IF(C23&gt;0,K23*1000/Q22,"")</f>
        <v/>
      </c>
      <c r="N23" s="1357"/>
      <c r="O23" s="1355" t="str">
        <f t="shared" ref="O23:O28" si="7">IF(ISERROR((M23-N23)/N23),"",((M23-N23)/N23))</f>
        <v/>
      </c>
      <c r="P23" s="2433" t="str">
        <f>IF(C22=0,"",IF(C23="","Skriv belopp eller 0 i kol. C",IF(SUM(D23+E23)&gt;C23,"Därav-kol. D+E &gt; kol. C",IF(I23&gt;H23,"Därav-kol. I &gt; kol. H",IF(AND(K23=0,N23&lt;&gt;0),"se frågan till höger",IF(AND(M23="",N23=""),"",IF(OR(_xlfn.NUMBERVALUE(O23)&gt;200%,O23&lt;-60%,AND(OR(_xlfn.NUMBERVALUE(N23)=0),M23&gt;500)),"Kommentera förändringen","")))))))</f>
        <v/>
      </c>
      <c r="Q23" s="1356"/>
      <c r="R23" s="1373"/>
      <c r="S23" s="301"/>
      <c r="T23" s="3080"/>
      <c r="U23" s="3081"/>
      <c r="V23" s="3082"/>
      <c r="W23" s="302"/>
    </row>
    <row r="24" spans="1:23" ht="13">
      <c r="A24" s="1335">
        <v>5202</v>
      </c>
      <c r="B24" s="1336" t="s">
        <v>495</v>
      </c>
      <c r="C24" s="308"/>
      <c r="D24" s="141"/>
      <c r="E24" s="141"/>
      <c r="F24" s="141"/>
      <c r="G24" s="2700"/>
      <c r="H24" s="141"/>
      <c r="I24" s="141"/>
      <c r="J24" s="141"/>
      <c r="K24" s="1372">
        <f t="shared" si="5"/>
        <v>0</v>
      </c>
      <c r="L24" s="2116">
        <f t="shared" si="6"/>
        <v>0</v>
      </c>
      <c r="M24" s="1357" t="str">
        <f>IF(C24&gt;0,K24*1000/Q22,"")</f>
        <v/>
      </c>
      <c r="N24" s="1357"/>
      <c r="O24" s="1355" t="str">
        <f t="shared" si="7"/>
        <v/>
      </c>
      <c r="P24" s="2433" t="str">
        <f>IF($C$22=0,"",IF(C24="","Skriv belopp eller 0 i kol. C",IF(SUM(D24+E24)&gt;C24,"Därav-kol. D+E &gt; kol. C",IF(I24&gt;H24,"Därav-kol. I &gt; kol. H",IF(AND(K24=0,N24&lt;&gt;0),"se frågan till höger",IF(AND(M24="",N24=""),"",IF(OR(_xlfn.NUMBERVALUE(O24)&gt;200%,O24&lt;-60%,AND(OR(_xlfn.NUMBERVALUE(N24)=0),M24&gt;400)),"Kommentera förändringen","")))))))</f>
        <v/>
      </c>
      <c r="Q24" s="2410"/>
      <c r="R24" s="3103" t="str">
        <f>"För minst en delv-ht inom v-het 520 redovisades kostnader föregående år men inte i år. Har kommunen inte verksamheten(-erna)? Lämna förklarande kommentar"</f>
        <v>För minst en delv-ht inom v-het 520 redovisades kostnader föregående år men inte i år. Har kommunen inte verksamheten(-erna)? Lämna förklarande kommentar</v>
      </c>
      <c r="S24" s="301"/>
      <c r="T24" s="3083"/>
      <c r="U24" s="3084"/>
      <c r="V24" s="3085"/>
      <c r="W24" s="302"/>
    </row>
    <row r="25" spans="1:23" ht="13">
      <c r="A25" s="1335">
        <v>5203</v>
      </c>
      <c r="B25" s="1336" t="s">
        <v>992</v>
      </c>
      <c r="C25" s="308"/>
      <c r="D25" s="141"/>
      <c r="E25" s="141"/>
      <c r="F25" s="141"/>
      <c r="G25" s="141"/>
      <c r="H25" s="141"/>
      <c r="I25" s="141"/>
      <c r="J25" s="308"/>
      <c r="K25" s="1372">
        <f>C25-I25-J25</f>
        <v>0</v>
      </c>
      <c r="L25" s="2116">
        <f t="shared" si="6"/>
        <v>0</v>
      </c>
      <c r="M25" s="1357" t="str">
        <f>IF(C25&gt;0,K25*1000/Q22,"")</f>
        <v/>
      </c>
      <c r="N25" s="1357"/>
      <c r="O25" s="1355" t="str">
        <f t="shared" si="7"/>
        <v/>
      </c>
      <c r="P25" s="2433" t="str">
        <f>IF($C$22=0,"",IF(C25="","Skriv belopp eller 0 i kol. C",IF(SUM(D25+E25)&gt;C25,"Därav-kol. D+E &gt; kol. C",IF(I25&gt;H25,"Därav-kol. I &gt; kol. H",IF(AND(K25=0,N25&lt;&gt;0),"se frågan till höger",IF(AND(M25="",N25=""),"",IF(OR(_xlfn.NUMBERVALUE(O25)&gt;400%,O25&lt;-95%,AND(OR(_xlfn.NUMBERVALUE(N25)=0),M25&gt;100)),"Kommentera förändringen","")))))))</f>
        <v/>
      </c>
      <c r="Q25" s="2400"/>
      <c r="R25" s="3104"/>
      <c r="S25" s="301"/>
      <c r="T25" s="3083"/>
      <c r="U25" s="3084"/>
      <c r="V25" s="3085"/>
      <c r="W25" s="302"/>
    </row>
    <row r="26" spans="1:23" ht="13">
      <c r="A26" s="2370">
        <v>5204</v>
      </c>
      <c r="B26" s="1336" t="s">
        <v>1384</v>
      </c>
      <c r="C26" s="308"/>
      <c r="D26" s="141"/>
      <c r="E26" s="141"/>
      <c r="F26" s="141"/>
      <c r="G26" s="2700"/>
      <c r="H26" s="141"/>
      <c r="I26" s="141"/>
      <c r="J26" s="141"/>
      <c r="K26" s="1372">
        <f t="shared" si="5"/>
        <v>0</v>
      </c>
      <c r="L26" s="2116">
        <f t="shared" si="6"/>
        <v>0</v>
      </c>
      <c r="M26" s="1357" t="str">
        <f>IF(C26&gt;0,K26*1000/Q22,"")</f>
        <v/>
      </c>
      <c r="N26" s="1357"/>
      <c r="O26" s="1355" t="str">
        <f t="shared" si="7"/>
        <v/>
      </c>
      <c r="P26" s="2433" t="str">
        <f>IF($C$22=0,"",IF(C26="","Skriv belopp eller 0 i kol. C",IF(SUM(D26+E26)&gt;C26,"Därav-kol. D+E &gt; kol. C",IF(I26&gt;H26,"Därav-kol. I &gt; kol. H",IF(AND(K26=0,N26&lt;&gt;0),"se frågan till höger",IF(AND(M26="",N26=""),"",IF(OR(_xlfn.NUMBERVALUE(O26)&gt;200%,O26&lt;-60%,AND(OR(_xlfn.NUMBERVALUE(N26)=0),M26&gt;150)),"Kommentera förändringen","")))))))</f>
        <v/>
      </c>
      <c r="Q26" s="2400"/>
      <c r="R26" s="3104"/>
      <c r="S26" s="301"/>
      <c r="T26" s="3086"/>
      <c r="U26" s="3087"/>
      <c r="V26" s="3088"/>
      <c r="W26" s="302"/>
    </row>
    <row r="27" spans="1:23" ht="13">
      <c r="A27" s="1335">
        <v>5205</v>
      </c>
      <c r="B27" s="1336" t="s">
        <v>528</v>
      </c>
      <c r="C27" s="308"/>
      <c r="D27" s="141"/>
      <c r="E27" s="141"/>
      <c r="F27" s="141"/>
      <c r="G27" s="141"/>
      <c r="H27" s="141"/>
      <c r="I27" s="141"/>
      <c r="J27" s="141"/>
      <c r="K27" s="1372">
        <f t="shared" si="5"/>
        <v>0</v>
      </c>
      <c r="L27" s="2116">
        <f t="shared" si="6"/>
        <v>0</v>
      </c>
      <c r="M27" s="1357" t="str">
        <f>IF(C27&gt;0,K27*1000/Q22,"")</f>
        <v/>
      </c>
      <c r="N27" s="1357"/>
      <c r="O27" s="1355" t="str">
        <f t="shared" si="7"/>
        <v/>
      </c>
      <c r="P27" s="2433" t="str">
        <f>IF($C$22=0,"",IF(C27="","Skriv belopp eller 0 i kol. C",IF(SUM(D27+E27)&gt;C27,"Därav-kol. D+E &gt; kol. C",IF(I27&gt;H27,"Därav-kol. I &gt; kol. H",IF(AND(K27=0,N27&lt;&gt;0),"se frågan till höger",IF(AND(M27="",N27=""),"",IF(OR(_xlfn.NUMBERVALUE(O27)&gt;150%,O27&lt;-90%,AND(OR(_xlfn.NUMBERVALUE(N27)=0),M27&gt;700)),"Kommentera förändringen","")))))))</f>
        <v/>
      </c>
      <c r="Q27" s="2400"/>
      <c r="R27" s="3104"/>
      <c r="S27" s="301"/>
      <c r="T27" s="2175"/>
      <c r="U27" s="2175"/>
      <c r="V27" s="2175"/>
      <c r="W27" s="302"/>
    </row>
    <row r="28" spans="1:23" ht="13">
      <c r="A28" s="1335">
        <v>5206</v>
      </c>
      <c r="B28" s="1336" t="s">
        <v>110</v>
      </c>
      <c r="C28" s="308"/>
      <c r="D28" s="141"/>
      <c r="E28" s="141"/>
      <c r="F28" s="141"/>
      <c r="G28" s="141"/>
      <c r="H28" s="141"/>
      <c r="I28" s="141"/>
      <c r="J28" s="141"/>
      <c r="K28" s="1374">
        <f t="shared" si="5"/>
        <v>0</v>
      </c>
      <c r="L28" s="2116">
        <f t="shared" si="6"/>
        <v>0</v>
      </c>
      <c r="M28" s="1354" t="str">
        <f>IF(C28&gt;0,K28*1000/Q22,"")</f>
        <v/>
      </c>
      <c r="N28" s="1354"/>
      <c r="O28" s="1355" t="str">
        <f t="shared" si="7"/>
        <v/>
      </c>
      <c r="P28" s="2433" t="str">
        <f>IF($C$22=0,"",IF(C28="","Skriv belopp eller 0 i kol. C",IF(SUM(D28+E28)&gt;C28,"Därav-kol. D+E &gt; kol. C",IF(I28&gt;H28,"Därav-kol. I &gt; kol. H",IF(AND(K28=0,N28&lt;&gt;0),"se frågan till höger",IF(AND(M28="",N28=""),"",IF(OR(_xlfn.NUMBERVALUE(O28)&gt;300%,O28&lt;-95%,AND(OR(_xlfn.NUMBERVALUE(N28)=0),M28&gt;100)),"Kommentera förändringen","")))))))</f>
        <v/>
      </c>
      <c r="Q28" s="2400"/>
      <c r="R28" s="3104"/>
      <c r="S28" s="301"/>
      <c r="T28" s="302"/>
      <c r="U28" s="302"/>
      <c r="V28" s="302"/>
      <c r="W28" s="302"/>
    </row>
    <row r="29" spans="1:23" ht="13">
      <c r="A29" s="1335">
        <v>5209</v>
      </c>
      <c r="B29" s="1336" t="s">
        <v>377</v>
      </c>
      <c r="C29" s="308"/>
      <c r="D29" s="141"/>
      <c r="E29" s="141"/>
      <c r="F29" s="141"/>
      <c r="G29" s="141"/>
      <c r="H29" s="141"/>
      <c r="I29" s="141"/>
      <c r="J29" s="141"/>
      <c r="K29" s="1372">
        <f t="shared" si="5"/>
        <v>0</v>
      </c>
      <c r="L29" s="2116">
        <f t="shared" si="6"/>
        <v>0</v>
      </c>
      <c r="M29" s="1360"/>
      <c r="N29" s="1358"/>
      <c r="O29" s="1358"/>
      <c r="P29" s="2312" t="str">
        <f>IF(C22=0,"",IF(C29="","Skriv belopp eller 0 i kol. C",IF(SUM(D29+E29)&gt;C29,"Därav-kol. D+E &gt; kol. C",IF(I29&gt;H29,"Därav-kol. I &gt; kol. H",IF(K29&lt;0,"Negativt nyckeltal! Kontrollera","")))))</f>
        <v/>
      </c>
      <c r="Q29" s="2400"/>
      <c r="R29" s="3104"/>
      <c r="S29" s="301"/>
      <c r="T29" s="302"/>
      <c r="U29" s="302"/>
      <c r="V29" s="302"/>
      <c r="W29" s="302"/>
    </row>
    <row r="30" spans="1:23" ht="21.75" customHeight="1">
      <c r="A30" s="1338">
        <v>52099</v>
      </c>
      <c r="B30" s="1343" t="s">
        <v>707</v>
      </c>
      <c r="C30" s="2699">
        <f>SUM(C23:C29)</f>
        <v>0</v>
      </c>
      <c r="D30" s="2699">
        <f t="shared" ref="D30:J30" si="8">SUM(D23:D29)</f>
        <v>0</v>
      </c>
      <c r="E30" s="2699">
        <f t="shared" si="8"/>
        <v>0</v>
      </c>
      <c r="F30" s="2699">
        <f t="shared" si="8"/>
        <v>0</v>
      </c>
      <c r="G30" s="2699">
        <f t="shared" si="8"/>
        <v>0</v>
      </c>
      <c r="H30" s="2699">
        <f t="shared" si="8"/>
        <v>0</v>
      </c>
      <c r="I30" s="2699">
        <f t="shared" si="8"/>
        <v>0</v>
      </c>
      <c r="J30" s="2699">
        <f t="shared" si="8"/>
        <v>0</v>
      </c>
      <c r="K30" s="1360"/>
      <c r="L30" s="2124"/>
      <c r="M30" s="1361"/>
      <c r="N30" s="1361"/>
      <c r="O30" s="1361"/>
      <c r="P30" s="2313"/>
      <c r="Q30" s="1359"/>
      <c r="R30" s="3104"/>
      <c r="S30" s="301"/>
      <c r="T30" s="302"/>
      <c r="U30" s="302"/>
      <c r="V30" s="302"/>
      <c r="W30" s="302"/>
    </row>
    <row r="31" spans="1:23" ht="13.5" thickBot="1">
      <c r="A31" s="1344"/>
      <c r="B31" s="2044" t="s">
        <v>175</v>
      </c>
      <c r="C31" s="387">
        <f>C22-C30</f>
        <v>0</v>
      </c>
      <c r="D31" s="387">
        <f>D22-D30</f>
        <v>0</v>
      </c>
      <c r="E31" s="387">
        <f t="shared" ref="E31:J31" si="9">E22-E30</f>
        <v>0</v>
      </c>
      <c r="F31" s="387">
        <f t="shared" si="9"/>
        <v>0</v>
      </c>
      <c r="G31" s="387">
        <f t="shared" si="9"/>
        <v>0</v>
      </c>
      <c r="H31" s="387">
        <f t="shared" si="9"/>
        <v>0</v>
      </c>
      <c r="I31" s="387">
        <f>I22-I30</f>
        <v>0</v>
      </c>
      <c r="J31" s="387">
        <f t="shared" si="9"/>
        <v>0</v>
      </c>
      <c r="K31" s="1362"/>
      <c r="L31" s="2132"/>
      <c r="M31" s="1363"/>
      <c r="N31" s="1363"/>
      <c r="O31" s="1363"/>
      <c r="P31" s="1364" t="str">
        <f>IF(OR(C31&gt;5,C31&lt;-5),"Diff Bruttokostnad",IF(OR(D31&gt;5,E31&gt;5,D31&lt;-5,E31&lt;-5),"Diff Därav personalkostn. eller Därav köp av huvudv-het",IF(OR(F31&gt;5,F31&lt;-5),"Diff Taxor och avgifter",IF(OR(G31&gt;5,G31&lt;-5),"Diff Externa hyror",IF(OR(H31&gt;5,H31&lt;-5),"Diff Övriga externa intäkter",IF(OR(I31&gt;5,I31&lt;-5),"Diff Förs av verks",IF(OR(J31&gt;5,J31&lt;-5),"Diff Interna intäkter","")))))))</f>
        <v/>
      </c>
      <c r="Q31" s="1365"/>
      <c r="R31" s="1366"/>
      <c r="S31" s="301"/>
      <c r="T31" s="302"/>
      <c r="U31" s="302"/>
      <c r="V31" s="302"/>
      <c r="W31" s="302"/>
    </row>
    <row r="32" spans="1:23" ht="13">
      <c r="A32" s="1345">
        <v>513</v>
      </c>
      <c r="B32" s="1346" t="s">
        <v>708</v>
      </c>
      <c r="C32" s="408">
        <f>Drift!P75</f>
        <v>0</v>
      </c>
      <c r="D32" s="408">
        <f>SUM(Drift!C75:D75)</f>
        <v>0</v>
      </c>
      <c r="E32" s="408">
        <f>Drift!F75</f>
        <v>0</v>
      </c>
      <c r="F32" s="408">
        <f>Drift!R75</f>
        <v>0</v>
      </c>
      <c r="G32" s="408">
        <f>Drift!S75</f>
        <v>0</v>
      </c>
      <c r="H32" s="409">
        <f>Drift!T75</f>
        <v>0</v>
      </c>
      <c r="I32" s="1794">
        <f>Motpart!Y31+Motpart!Z31</f>
        <v>0</v>
      </c>
      <c r="J32" s="408">
        <f>Drift!V75</f>
        <v>0</v>
      </c>
      <c r="K32" s="1375">
        <f>C32-I32-J32-G42-G44</f>
        <v>0</v>
      </c>
      <c r="L32" s="2131">
        <f t="shared" ref="L32:L37" si="10">C32-SUM(F32:H32,J32)</f>
        <v>0</v>
      </c>
      <c r="M32" s="2273" t="str">
        <f>IF(C32&gt;0,K32*1000/Q32,"")</f>
        <v/>
      </c>
      <c r="N32" s="2273"/>
      <c r="O32" s="1355" t="str">
        <f>IF(ISERROR((M32-N32)/N32),"",((M32-N32)/N32))</f>
        <v/>
      </c>
      <c r="P32" s="1510"/>
      <c r="Q32" s="2413"/>
      <c r="R32" s="1371" t="s">
        <v>579</v>
      </c>
      <c r="S32" s="301"/>
      <c r="T32" s="310" t="s">
        <v>640</v>
      </c>
      <c r="U32" s="302"/>
      <c r="V32" s="302"/>
      <c r="W32" s="302"/>
    </row>
    <row r="33" spans="1:23" ht="13">
      <c r="A33" s="1347">
        <v>5131</v>
      </c>
      <c r="B33" s="1348" t="s">
        <v>208</v>
      </c>
      <c r="C33" s="308"/>
      <c r="D33" s="141"/>
      <c r="E33" s="141"/>
      <c r="F33" s="141"/>
      <c r="G33" s="141"/>
      <c r="H33" s="141"/>
      <c r="I33" s="141"/>
      <c r="J33" s="141"/>
      <c r="K33" s="1372">
        <f>C33-I33-J33</f>
        <v>0</v>
      </c>
      <c r="L33" s="2124">
        <f t="shared" si="10"/>
        <v>0</v>
      </c>
      <c r="M33" s="1357" t="str">
        <f>IF(C33&gt;0,K33*1000/Q33,"")</f>
        <v/>
      </c>
      <c r="N33" s="1357"/>
      <c r="O33" s="1355" t="str">
        <f>IF(ISERROR((M33-N33)/N33),"",((M33-N33)/N33))</f>
        <v/>
      </c>
      <c r="P33" s="2433" t="str">
        <f>IF(C32=0,"",IF(C33="","Skriv belopp eller 0 i kol. C",IF(SUM(D33+E33)&gt;C33,"Därav-kol. D+E &gt;kol. C",IF(I33&gt;H33,"Därav-kol. I &gt; kol. H",IF(AND(K33=0,N33&lt;&gt;0),"se frågan till höger",IF(AND(M33="",N33=""),"",IF(OR(O33&gt;35%,O33&lt;-10%),"Kommentera förändringen","")))))))</f>
        <v/>
      </c>
      <c r="Q33" s="2414"/>
      <c r="R33" s="1376" t="s">
        <v>1420</v>
      </c>
      <c r="S33" s="301"/>
      <c r="T33" s="3089"/>
      <c r="U33" s="3093"/>
      <c r="V33" s="3094"/>
      <c r="W33" s="302"/>
    </row>
    <row r="34" spans="1:23" ht="13">
      <c r="A34" s="1347">
        <v>5132</v>
      </c>
      <c r="B34" s="1349" t="s">
        <v>629</v>
      </c>
      <c r="C34" s="308"/>
      <c r="D34" s="141"/>
      <c r="E34" s="141"/>
      <c r="F34" s="141"/>
      <c r="G34" s="141"/>
      <c r="H34" s="141"/>
      <c r="I34" s="141"/>
      <c r="J34" s="308"/>
      <c r="K34" s="1372">
        <f>C34-I34-J34</f>
        <v>0</v>
      </c>
      <c r="L34" s="2124">
        <f t="shared" si="10"/>
        <v>0</v>
      </c>
      <c r="M34" s="1357" t="str">
        <f>IF(C34&gt;0,K34*1000/Q34,"")</f>
        <v/>
      </c>
      <c r="N34" s="1357"/>
      <c r="O34" s="1355" t="str">
        <f>IF(ISERROR((M34-N34)/N34),"",((M34-N34)/N34))</f>
        <v/>
      </c>
      <c r="P34" s="2433" t="str">
        <f>IF(C32=0,"",IF(C34="","Skriv belopp eller 0 i kol. C",IF(SUM(D34+E34)&gt;C34,"Därav-kol. D+E &gt; kol. C",IF(I34&gt;H34,"Därav-kol. I &gt; kol. H",IF(AND(K34=0,N34&lt;&gt;0),"se frågan till höger",IF(AND(M34="",N34=""),"",IF(OR(_xlfn.NUMBERVALUE(O34)&gt;250%,O34&lt;-95%,AND(OR(_xlfn.NUMBERVALUE(N34)=0),M34&gt;1200)),"Kommentera förändringen","")))))))</f>
        <v/>
      </c>
      <c r="Q34" s="2274"/>
      <c r="R34" s="1377" t="s">
        <v>1421</v>
      </c>
      <c r="S34" s="301"/>
      <c r="T34" s="3095"/>
      <c r="U34" s="3096"/>
      <c r="V34" s="3097"/>
      <c r="W34" s="302"/>
    </row>
    <row r="35" spans="1:23" ht="13">
      <c r="A35" s="1347">
        <v>5133</v>
      </c>
      <c r="B35" s="1348" t="s">
        <v>709</v>
      </c>
      <c r="C35" s="308"/>
      <c r="D35" s="141"/>
      <c r="E35" s="141"/>
      <c r="F35" s="141"/>
      <c r="G35" s="141"/>
      <c r="H35" s="141"/>
      <c r="I35" s="141"/>
      <c r="J35" s="141"/>
      <c r="K35" s="1372">
        <f>C35-I35-J35</f>
        <v>0</v>
      </c>
      <c r="L35" s="2124">
        <f t="shared" si="10"/>
        <v>0</v>
      </c>
      <c r="M35" s="1357" t="str">
        <f>IF(C35&gt;0,K35*1000/Q35,"")</f>
        <v/>
      </c>
      <c r="N35" s="1357"/>
      <c r="O35" s="1355" t="str">
        <f>IF(ISERROR((M35-N35)/N35),"",((M35-N35)/N35))</f>
        <v/>
      </c>
      <c r="P35" s="2433" t="str">
        <f>IF(C32=0,"",IF(C35="","Skriv belopp eller 0 i kol. C",IF(SUM(D35+E35)&gt;C35,"Därav-kol. D+E &gt; kol. C",IF(I35&gt;H35,"Därav-kol. I &gt; kol. H",IF(AND(K35=0,N35&lt;&gt;0),"se frågan till höger",IF(AND(M35="",N35=""),"",IF(OR(O35&gt;40%,O35&lt;-25%),"Kommentera förändringen",IF(OR(O35&gt;30%,O35&lt;-15%),"Kontrollera förändringen",""))))))))</f>
        <v/>
      </c>
      <c r="Q35" s="2274"/>
      <c r="R35" s="1377" t="s">
        <v>579</v>
      </c>
      <c r="S35" s="301"/>
      <c r="T35" s="3095"/>
      <c r="U35" s="3096"/>
      <c r="V35" s="3097"/>
      <c r="W35" s="302"/>
    </row>
    <row r="36" spans="1:23" ht="13">
      <c r="A36" s="1347">
        <v>5135</v>
      </c>
      <c r="B36" s="1336" t="s">
        <v>169</v>
      </c>
      <c r="C36" s="308"/>
      <c r="D36" s="141"/>
      <c r="E36" s="141"/>
      <c r="F36" s="141"/>
      <c r="G36" s="141"/>
      <c r="H36" s="141"/>
      <c r="I36" s="141"/>
      <c r="J36" s="141"/>
      <c r="K36" s="1372">
        <f>C36-I36-J36</f>
        <v>0</v>
      </c>
      <c r="L36" s="2124">
        <f t="shared" si="10"/>
        <v>0</v>
      </c>
      <c r="M36" s="1357" t="str">
        <f>IF(C36&gt;0,K36*1000/Q36,"")</f>
        <v/>
      </c>
      <c r="N36" s="1357"/>
      <c r="O36" s="1355" t="str">
        <f>IF(ISERROR((M36-N36)/N36),"",((M36-N36)/N36))</f>
        <v/>
      </c>
      <c r="P36" s="2433" t="str">
        <f>IF(C32=0,"",IF(C36="","Skriv belopp eller 0 i kol. C",IF(SUM(D36+E36)&gt;C36,"Därav-kol. D+E &gt; kol. C",IF(I36&gt;H36,"Därav-kol. I &gt; kol. H",IF(AND(K36=0,N36&lt;&gt;0),"se frågan till höger",IF(AND(M36="",N36=""),"",IF(OR(_xlfn.NUMBERVALUE(O36)&gt;50%,O36&lt;-20%,AND(OR(_xlfn.NUMBERVALUE(N36)=0),M36&gt;1000)),"Kommentera förändringen","")))))))</f>
        <v/>
      </c>
      <c r="Q36" s="2274"/>
      <c r="R36" s="1377" t="s">
        <v>1422</v>
      </c>
      <c r="S36" s="301"/>
      <c r="T36" s="3098"/>
      <c r="U36" s="3099"/>
      <c r="V36" s="3100"/>
      <c r="W36" s="302"/>
    </row>
    <row r="37" spans="1:23" ht="13">
      <c r="A37" s="1347">
        <v>5139</v>
      </c>
      <c r="B37" s="1336" t="s">
        <v>170</v>
      </c>
      <c r="C37" s="308"/>
      <c r="D37" s="141"/>
      <c r="E37" s="141"/>
      <c r="F37" s="141"/>
      <c r="G37" s="141"/>
      <c r="H37" s="141"/>
      <c r="I37" s="141"/>
      <c r="J37" s="141"/>
      <c r="K37" s="1372">
        <f>C37-I37-J37</f>
        <v>0</v>
      </c>
      <c r="L37" s="2124">
        <f t="shared" si="10"/>
        <v>0</v>
      </c>
      <c r="M37" s="1360"/>
      <c r="N37" s="1358"/>
      <c r="O37" s="1358"/>
      <c r="P37" s="2312" t="str">
        <f>IF(C32=0,"",IF(C37="","Skriv belopp eller 0 i kol. C",IF(K37&lt;0,"Negativt nyckeltal! Kontrollera",IF(SUM(D37+E37)&gt;C37,"Därav-kol. D+E &gt; kol. C",IF(I37&gt;H37,"Därav-kol. I &gt; kol. H","")))))</f>
        <v/>
      </c>
      <c r="Q37" s="2415"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7" s="3105" t="str">
        <f>"För minst en delv-ht inom v-het 513 redovisades kostnader föregående år men inte i år. Har kommunen inte verksamheten(-erna)? Lämna förklarande kommentar"</f>
        <v>För minst en delv-ht inom v-het 513 redovisades kostnader föregående år men inte i år. Har kommunen inte verksamheten(-erna)? Lämna förklarande kommentar</v>
      </c>
      <c r="S37" s="301"/>
      <c r="T37" s="302"/>
      <c r="U37" s="302"/>
      <c r="V37" s="302"/>
      <c r="W37" s="302"/>
    </row>
    <row r="38" spans="1:23" ht="17.25" customHeight="1">
      <c r="A38" s="1338">
        <v>51399</v>
      </c>
      <c r="B38" s="1339" t="s">
        <v>710</v>
      </c>
      <c r="C38" s="2699">
        <f>SUM(C33:C37)</f>
        <v>0</v>
      </c>
      <c r="D38" s="2699">
        <f t="shared" ref="D38:J38" si="11">SUM(D33:D37)</f>
        <v>0</v>
      </c>
      <c r="E38" s="2699">
        <f t="shared" si="11"/>
        <v>0</v>
      </c>
      <c r="F38" s="2699">
        <f t="shared" si="11"/>
        <v>0</v>
      </c>
      <c r="G38" s="2699">
        <f t="shared" si="11"/>
        <v>0</v>
      </c>
      <c r="H38" s="2699">
        <f t="shared" si="11"/>
        <v>0</v>
      </c>
      <c r="I38" s="2699">
        <f t="shared" si="11"/>
        <v>0</v>
      </c>
      <c r="J38" s="2699">
        <f t="shared" si="11"/>
        <v>0</v>
      </c>
      <c r="K38" s="1360"/>
      <c r="L38" s="1361"/>
      <c r="M38" s="1361"/>
      <c r="N38" s="1361"/>
      <c r="O38" s="1361"/>
      <c r="P38" s="2313"/>
      <c r="Q38" s="2416"/>
      <c r="R38" s="3106"/>
      <c r="S38" s="303"/>
      <c r="T38" s="302"/>
      <c r="U38" s="302"/>
      <c r="V38" s="302"/>
      <c r="W38" s="302"/>
    </row>
    <row r="39" spans="1:23" ht="13.5" thickBot="1">
      <c r="A39" s="1340"/>
      <c r="B39" s="2044" t="s">
        <v>176</v>
      </c>
      <c r="C39" s="387">
        <f>C32-C38</f>
        <v>0</v>
      </c>
      <c r="D39" s="387">
        <f>D32-D38</f>
        <v>0</v>
      </c>
      <c r="E39" s="387">
        <f t="shared" ref="E39:J39" si="12">E32-E38</f>
        <v>0</v>
      </c>
      <c r="F39" s="387">
        <f t="shared" si="12"/>
        <v>0</v>
      </c>
      <c r="G39" s="387">
        <f t="shared" si="12"/>
        <v>0</v>
      </c>
      <c r="H39" s="387">
        <f t="shared" si="12"/>
        <v>0</v>
      </c>
      <c r="I39" s="390">
        <f>I32-I38</f>
        <v>0</v>
      </c>
      <c r="J39" s="387">
        <f t="shared" si="12"/>
        <v>0</v>
      </c>
      <c r="K39" s="1362"/>
      <c r="L39" s="2117"/>
      <c r="M39" s="1363"/>
      <c r="N39" s="1363"/>
      <c r="O39" s="1363"/>
      <c r="P39" s="1364" t="str">
        <f>IF(OR(C39&gt;5,C39&lt;-5),"Diff Bruttokostnad",IF(OR(D39&gt;5,E39&gt;5,D39&lt;-5,E39&lt;-5),"Diff Därav personalkostn. eller Därav köp av huvudv-het",IF(OR(F39&gt;5,F39&lt;-5),"Diff Taxor och avgifter",IF(OR(G39&gt;5,G39&lt;-5),"Diff Externa hyror",IF(OR(H39&gt;5,H39&lt;-5),"Diff Övriga externa intäkter",IF(OR(I39&gt;5,I39&lt;-5),"Diff Därav försäljning",IF(OR(J39&gt;5,J39&lt;-5),"Diff Interna intäkter","")))))))</f>
        <v/>
      </c>
      <c r="Q39" s="2412"/>
      <c r="R39" s="3107"/>
      <c r="S39" s="303"/>
      <c r="T39" s="302"/>
      <c r="U39" s="302"/>
      <c r="V39" s="302"/>
      <c r="W39" s="302"/>
    </row>
    <row r="40" spans="1:23" ht="13">
      <c r="A40" s="304"/>
      <c r="B40" s="363" t="s">
        <v>712</v>
      </c>
      <c r="C40" s="363"/>
      <c r="D40" s="363"/>
      <c r="E40" s="363"/>
      <c r="F40" s="363"/>
      <c r="G40" s="363"/>
      <c r="H40" s="363"/>
      <c r="I40" s="363"/>
      <c r="J40" s="2187"/>
      <c r="K40" s="2187"/>
      <c r="L40" s="2187"/>
      <c r="M40" s="2187"/>
      <c r="N40" s="2187"/>
      <c r="O40" s="2188"/>
      <c r="P40" s="2233"/>
      <c r="Q40" s="2187"/>
      <c r="R40" s="303"/>
      <c r="S40" s="302"/>
      <c r="T40" s="302"/>
      <c r="U40" s="302"/>
      <c r="V40" s="302"/>
    </row>
    <row r="41" spans="1:23" ht="13">
      <c r="B41" s="363" t="s">
        <v>711</v>
      </c>
      <c r="C41" s="364"/>
      <c r="D41" s="364"/>
      <c r="E41" s="364"/>
      <c r="F41" s="364"/>
      <c r="G41" s="365"/>
      <c r="H41" s="365"/>
      <c r="I41" s="365"/>
      <c r="J41" s="365"/>
      <c r="K41" s="304"/>
      <c r="L41" s="304"/>
      <c r="M41" s="304"/>
      <c r="N41" s="304"/>
    </row>
    <row r="42" spans="1:23" ht="13">
      <c r="B42" s="1378" t="s">
        <v>177</v>
      </c>
      <c r="C42" s="1379"/>
      <c r="D42" s="1379"/>
      <c r="E42" s="1380"/>
      <c r="F42" s="1381"/>
      <c r="G42" s="142">
        <f>'Verks int o kostn'!D21</f>
        <v>0</v>
      </c>
      <c r="H42" s="2434" t="str">
        <f>IF(C32=0,"",IF(AND(G42&lt;&gt;0,G42&lt;100),"Lågt belopp",IF(G42&gt;H35,"Ersättningen till FK ska ovan ingå på rad 5133 kol. H","")))</f>
        <v/>
      </c>
      <c r="I42" s="304"/>
      <c r="J42" s="304"/>
      <c r="K42" s="304"/>
      <c r="L42" s="304"/>
      <c r="M42" s="304"/>
      <c r="N42" s="304"/>
    </row>
    <row r="43" spans="1:23" ht="13">
      <c r="B43" s="1378" t="s">
        <v>178</v>
      </c>
      <c r="C43" s="1379"/>
      <c r="D43" s="1379"/>
      <c r="E43" s="1380"/>
      <c r="F43" s="1381"/>
      <c r="G43" s="142">
        <f>'Verks int o kostn'!I41</f>
        <v>0</v>
      </c>
      <c r="H43" s="2434" t="str">
        <f>IF(C32=0,"",IF(AND(G43&lt;&gt;0,G43&lt;100),"Lågt belopp",IF(G43&gt;C35,"Ersättningen till FK ska ovan ingå på rad 5133, kol C","")))</f>
        <v/>
      </c>
      <c r="I43" s="304"/>
      <c r="J43" s="304"/>
      <c r="K43" s="304"/>
      <c r="L43" s="304"/>
      <c r="M43" s="304"/>
      <c r="N43" s="304"/>
    </row>
    <row r="44" spans="1:23" ht="13">
      <c r="A44" s="537">
        <v>51398</v>
      </c>
      <c r="B44" s="1382" t="s">
        <v>205</v>
      </c>
      <c r="C44" s="1379"/>
      <c r="D44" s="1379"/>
      <c r="E44" s="1380"/>
      <c r="F44" s="1381"/>
      <c r="G44" s="141"/>
      <c r="H44" s="384" t="str">
        <f>IF(AND($G$44&gt;0,OR(MID(Information!$B$3,1,2)="23")),"",IF(AND($G$44=0,OR(MID(Information!$B$3,1,2)="23")),"Belopp saknas",IF(G44&gt;0,"Kontrollera belopp","")))</f>
        <v/>
      </c>
      <c r="I44" s="304"/>
      <c r="J44" s="304"/>
      <c r="K44" s="304"/>
      <c r="L44" s="304"/>
      <c r="M44" s="304"/>
      <c r="N44" s="304"/>
    </row>
    <row r="45" spans="1:23" ht="13.5" thickBot="1">
      <c r="E45" s="520" t="s">
        <v>959</v>
      </c>
      <c r="F45" s="520" t="s">
        <v>960</v>
      </c>
      <c r="G45" s="520" t="s">
        <v>961</v>
      </c>
      <c r="H45" s="520" t="s">
        <v>962</v>
      </c>
      <c r="I45" s="520" t="s">
        <v>963</v>
      </c>
      <c r="J45" s="520" t="s">
        <v>964</v>
      </c>
      <c r="K45" s="520" t="s">
        <v>965</v>
      </c>
      <c r="L45" s="520" t="s">
        <v>966</v>
      </c>
      <c r="M45" s="520" t="s">
        <v>967</v>
      </c>
    </row>
    <row r="46" spans="1:23" ht="14.25" customHeight="1">
      <c r="A46" s="3058" t="s">
        <v>1053</v>
      </c>
      <c r="B46" s="3059"/>
      <c r="C46" s="1578" t="s">
        <v>1028</v>
      </c>
      <c r="D46" s="1383" t="s">
        <v>137</v>
      </c>
      <c r="E46" s="1300" t="s">
        <v>210</v>
      </c>
      <c r="F46" s="1300" t="s">
        <v>541</v>
      </c>
      <c r="G46" s="1300" t="s">
        <v>211</v>
      </c>
      <c r="H46" s="1300" t="s">
        <v>134</v>
      </c>
      <c r="I46" s="1383" t="s">
        <v>1494</v>
      </c>
      <c r="J46" s="1300" t="s">
        <v>136</v>
      </c>
      <c r="K46" s="3062" t="s">
        <v>1065</v>
      </c>
      <c r="L46" s="1300" t="s">
        <v>135</v>
      </c>
      <c r="M46" s="1300" t="s">
        <v>162</v>
      </c>
      <c r="N46" s="1303"/>
      <c r="O46" s="1302"/>
      <c r="P46" s="1384"/>
      <c r="R46" s="310" t="s">
        <v>597</v>
      </c>
      <c r="S46" s="302"/>
      <c r="T46" s="302"/>
      <c r="U46" s="302"/>
    </row>
    <row r="47" spans="1:23" ht="12.5">
      <c r="A47" s="3060"/>
      <c r="B47" s="3061"/>
      <c r="C47" s="1655" t="s">
        <v>1046</v>
      </c>
      <c r="D47" s="1306"/>
      <c r="E47" s="1385" t="s">
        <v>138</v>
      </c>
      <c r="F47" s="1385" t="s">
        <v>209</v>
      </c>
      <c r="G47" s="1385" t="s">
        <v>139</v>
      </c>
      <c r="H47" s="1385"/>
      <c r="I47" s="2100"/>
      <c r="J47" s="1385" t="s">
        <v>141</v>
      </c>
      <c r="K47" s="3063"/>
      <c r="L47" s="1385" t="s">
        <v>140</v>
      </c>
      <c r="M47" s="1385"/>
      <c r="N47" s="1315"/>
      <c r="O47" s="1320"/>
      <c r="P47" s="1386"/>
      <c r="R47" s="3089"/>
      <c r="S47" s="3081"/>
      <c r="T47" s="3082"/>
      <c r="U47" s="302"/>
    </row>
    <row r="48" spans="1:23" ht="30" customHeight="1">
      <c r="A48" s="3060"/>
      <c r="B48" s="3061"/>
      <c r="C48" s="1891"/>
      <c r="D48" s="1582"/>
      <c r="E48" s="1892" t="s">
        <v>1017</v>
      </c>
      <c r="F48" s="1877" t="s">
        <v>1018</v>
      </c>
      <c r="G48" s="1877" t="s">
        <v>1019</v>
      </c>
      <c r="H48" s="1877" t="s">
        <v>1020</v>
      </c>
      <c r="I48" s="1877" t="s">
        <v>1021</v>
      </c>
      <c r="J48" s="1877" t="s">
        <v>1022</v>
      </c>
      <c r="K48" s="1877" t="s">
        <v>1023</v>
      </c>
      <c r="L48" s="1877" t="s">
        <v>1024</v>
      </c>
      <c r="M48" s="1877" t="s">
        <v>1025</v>
      </c>
      <c r="N48" s="1315"/>
      <c r="O48" s="1320"/>
      <c r="P48" s="1386"/>
      <c r="R48" s="3083"/>
      <c r="S48" s="3084"/>
      <c r="T48" s="3085"/>
      <c r="U48" s="302"/>
    </row>
    <row r="49" spans="1:21" ht="6.75" customHeight="1">
      <c r="A49" s="1820"/>
      <c r="B49" s="1821"/>
      <c r="C49" s="1893"/>
      <c r="D49" s="1894"/>
      <c r="E49" s="1895"/>
      <c r="F49" s="1895"/>
      <c r="G49" s="1895"/>
      <c r="H49" s="1895"/>
      <c r="I49" s="1896"/>
      <c r="J49" s="1895"/>
      <c r="K49" s="1896"/>
      <c r="L49" s="1895"/>
      <c r="M49" s="1385"/>
      <c r="N49" s="1315"/>
      <c r="O49" s="1320"/>
      <c r="P49" s="1386"/>
      <c r="R49" s="3086"/>
      <c r="S49" s="3087"/>
      <c r="T49" s="3088"/>
      <c r="U49" s="302"/>
    </row>
    <row r="50" spans="1:21" ht="12" customHeight="1">
      <c r="A50" s="1387">
        <v>510</v>
      </c>
      <c r="B50" s="1388" t="s">
        <v>573</v>
      </c>
      <c r="C50" s="521">
        <f>E12</f>
        <v>0</v>
      </c>
      <c r="D50" s="351">
        <f t="shared" ref="D50:D59" si="13">C50-SUM(E50:M50)</f>
        <v>0</v>
      </c>
      <c r="E50" s="521">
        <f>Motpart!D29</f>
        <v>0</v>
      </c>
      <c r="F50" s="521">
        <f>Motpart!E29</f>
        <v>0</v>
      </c>
      <c r="G50" s="521">
        <f>Motpart!F29</f>
        <v>0</v>
      </c>
      <c r="H50" s="521">
        <f>Motpart!G29</f>
        <v>0</v>
      </c>
      <c r="I50" s="521">
        <f>Motpart!H29</f>
        <v>0</v>
      </c>
      <c r="J50" s="521">
        <f>Motpart!I29</f>
        <v>0</v>
      </c>
      <c r="K50" s="2296"/>
      <c r="L50" s="521">
        <f>Motpart!K29</f>
        <v>0</v>
      </c>
      <c r="M50" s="525">
        <f>Motpart!L29</f>
        <v>0</v>
      </c>
      <c r="N50" s="2435" t="str">
        <f>IF(SUM(E51:E54)&gt;E50+2,ROUND(SUM(E51:E54)-E50,0)&amp; " tkr för mycket fördelat i kolumn Föreningar, stiftelser",IF(SUM(F51:F54)&gt;F50+2,ROUND(SUM(F51:F54)-F50,0)&amp; " tkr för mycket fördelat i kolumn Kommunägda företag",IF(SUM(G51:G54)&gt;G50+2,ROUND(SUM(G51:G54)-G50,0)&amp; " tkr för mycket fördelat i kolumn Privata företag",IF(SUM(H51:H54)&gt;H50+2,ROUND(SUM(H51:H54)-H50,0)&amp; " tkr för mycket fördelat i kolumn Kommuner",IF(SUM(I51:I54)&gt;I50+2,ROUND(SUM(I51:I54)-I50,0)&amp; " tkr för mycket fördelat i kolumn Regioner"," ")))))</f>
        <v xml:space="preserve"> </v>
      </c>
      <c r="O50" s="399"/>
      <c r="P50" s="403"/>
      <c r="R50" s="302"/>
      <c r="S50" s="302"/>
      <c r="T50" s="302"/>
      <c r="U50" s="302"/>
    </row>
    <row r="51" spans="1:21" ht="12.5">
      <c r="A51" s="1347">
        <v>5101</v>
      </c>
      <c r="B51" s="1389" t="s">
        <v>492</v>
      </c>
      <c r="C51" s="522">
        <f>E13</f>
        <v>0</v>
      </c>
      <c r="D51" s="144">
        <f t="shared" si="13"/>
        <v>0</v>
      </c>
      <c r="E51" s="141"/>
      <c r="F51" s="141"/>
      <c r="G51" s="141"/>
      <c r="H51" s="141"/>
      <c r="I51" s="141"/>
      <c r="J51" s="141"/>
      <c r="K51" s="2297"/>
      <c r="L51" s="141"/>
      <c r="M51" s="398"/>
      <c r="N51" s="2436" t="str">
        <f>IF(SUM(J51:J54)&gt;J50+2,ROUND(SUM(J51:J54)-J50,0)&amp;" tkr för mycket fördelat i kolumn Staten och staliga myndigheter",IF(SUM(L51:L54)&gt;L50+2,ROUND(SUM(L51:L54)-L50,0)&amp; " tkr för mycket fördelat i kolumn Kommunalförbund",IF(SUM(M51:M54)&gt;M50+2,ROUND(SUM(M51:M54)-M50,0)&amp; " tkr för mycket fördelat i kolumn Utlandet"," ")))</f>
        <v xml:space="preserve"> </v>
      </c>
      <c r="O51" s="400"/>
      <c r="P51" s="404"/>
      <c r="R51" s="302"/>
      <c r="S51" s="302"/>
      <c r="T51" s="302"/>
      <c r="U51" s="302"/>
    </row>
    <row r="52" spans="1:21" ht="12.5">
      <c r="A52" s="1347">
        <v>5103</v>
      </c>
      <c r="B52" s="1390" t="s">
        <v>491</v>
      </c>
      <c r="C52" s="522">
        <f>E14</f>
        <v>0</v>
      </c>
      <c r="D52" s="144">
        <f t="shared" si="13"/>
        <v>0</v>
      </c>
      <c r="E52" s="141"/>
      <c r="F52" s="141"/>
      <c r="G52" s="141"/>
      <c r="H52" s="141"/>
      <c r="I52" s="141"/>
      <c r="J52" s="141"/>
      <c r="K52" s="2297"/>
      <c r="L52" s="141"/>
      <c r="M52" s="378"/>
      <c r="N52" s="2437"/>
      <c r="O52" s="401"/>
      <c r="P52" s="404"/>
      <c r="R52" s="302"/>
      <c r="S52" s="302"/>
      <c r="T52" s="302"/>
      <c r="U52" s="302"/>
    </row>
    <row r="53" spans="1:21" ht="12.5">
      <c r="A53" s="1347">
        <v>5102</v>
      </c>
      <c r="B53" s="1390" t="s">
        <v>1783</v>
      </c>
      <c r="C53" s="2748">
        <f>E16</f>
        <v>0</v>
      </c>
      <c r="D53" s="144">
        <f t="shared" si="13"/>
        <v>0</v>
      </c>
      <c r="E53" s="2749"/>
      <c r="F53" s="2749"/>
      <c r="G53" s="2749"/>
      <c r="H53" s="2749"/>
      <c r="I53" s="2749"/>
      <c r="J53" s="2749"/>
      <c r="K53" s="2750"/>
      <c r="L53" s="2749"/>
      <c r="M53" s="2751"/>
      <c r="N53" s="2438"/>
      <c r="O53" s="612"/>
      <c r="P53" s="613"/>
      <c r="R53" s="302"/>
      <c r="S53" s="302"/>
      <c r="T53" s="302"/>
      <c r="U53" s="302"/>
    </row>
    <row r="54" spans="1:21" ht="12.5">
      <c r="A54" s="2831">
        <v>5107</v>
      </c>
      <c r="B54" s="2832" t="s">
        <v>1772</v>
      </c>
      <c r="C54" s="523">
        <f>E17</f>
        <v>0</v>
      </c>
      <c r="D54" s="145">
        <f t="shared" si="13"/>
        <v>0</v>
      </c>
      <c r="E54" s="377"/>
      <c r="F54" s="377"/>
      <c r="G54" s="377"/>
      <c r="H54" s="377"/>
      <c r="I54" s="377"/>
      <c r="J54" s="377"/>
      <c r="K54" s="2298"/>
      <c r="L54" s="377"/>
      <c r="M54" s="379"/>
      <c r="N54" s="2438"/>
      <c r="O54" s="612"/>
      <c r="P54" s="613"/>
    </row>
    <row r="55" spans="1:21" ht="12.5">
      <c r="A55" s="1391">
        <v>520</v>
      </c>
      <c r="B55" s="1323" t="s">
        <v>500</v>
      </c>
      <c r="C55" s="521">
        <f>E22</f>
        <v>0</v>
      </c>
      <c r="D55" s="144">
        <f t="shared" si="13"/>
        <v>0</v>
      </c>
      <c r="E55" s="521">
        <f>Motpart!D30</f>
        <v>0</v>
      </c>
      <c r="F55" s="521">
        <f>Motpart!E30</f>
        <v>0</v>
      </c>
      <c r="G55" s="521">
        <f>Motpart!F30</f>
        <v>0</v>
      </c>
      <c r="H55" s="521">
        <f>Motpart!G30</f>
        <v>0</v>
      </c>
      <c r="I55" s="521">
        <f>Motpart!H30</f>
        <v>0</v>
      </c>
      <c r="J55" s="521">
        <f>Motpart!I30</f>
        <v>0</v>
      </c>
      <c r="K55" s="2296"/>
      <c r="L55" s="521">
        <f>Motpart!K30</f>
        <v>0</v>
      </c>
      <c r="M55" s="521">
        <f>Motpart!L30</f>
        <v>0</v>
      </c>
      <c r="N55" s="2439" t="str">
        <f>IF(SUM(E56:E58)&gt;E55+2,ROUND(SUM(E56:E58)-E55,0)&amp; " tkr för mycket fördelat i kolumn Föreningar, stiftelser",IF(SUM(F56:F58)&gt;F55+2,ROUND(SUM(F56:F58)-F55,0)&amp; " tkr för mycket fördelat i kolumn Kommunägda företag",IF(SUM(G56:G58)&gt;G55+2,ROUND(SUM(G56:G58)-G55,0)&amp; " tkr för mycket fördelat i kolumn Privata företag",IF(SUM(H56:H58)&gt;H55+2,ROUND(SUM(H56:H58)-H55,0)&amp; " tkr för mycket fördelat i kolumn Kommuner",IF(SUM(I56:I58)&gt;I55+2,ROUND(SUM(I56:I58)-I55,0)&amp; " tkr för mycket fördelat i kolumn Landsting"," ")))))</f>
        <v xml:space="preserve"> </v>
      </c>
      <c r="O55" s="399"/>
      <c r="P55" s="403"/>
    </row>
    <row r="56" spans="1:21" ht="12.5">
      <c r="A56" s="1347">
        <v>5201</v>
      </c>
      <c r="B56" s="1389" t="s">
        <v>494</v>
      </c>
      <c r="C56" s="522">
        <f>E23</f>
        <v>0</v>
      </c>
      <c r="D56" s="143">
        <f t="shared" si="13"/>
        <v>0</v>
      </c>
      <c r="E56" s="141"/>
      <c r="F56" s="141"/>
      <c r="G56" s="141"/>
      <c r="H56" s="141"/>
      <c r="I56" s="141"/>
      <c r="J56" s="141"/>
      <c r="K56" s="2297"/>
      <c r="L56" s="141"/>
      <c r="M56" s="378"/>
      <c r="N56" s="2440" t="str">
        <f>IF(SUM(J56:J58)&gt;J55+2,ROUND(SUM(J56:J58)-J55,0)&amp;" tkr för mycket fördelat i kolumn Staten och staliga myndigheter",IF(SUM(L56:L58)&gt;L55+2,ROUND(SUM(L56:L58)-L55,0)&amp;" tkr för mycket fördelat i kolumn Kommunalförbund",IF(SUM(M56:M58)&gt;M55+2,ROUND(SUM(M56:M58)-M55,0)&amp;" tkr för mycket fördelat i kolumn Utlandet"," ")))</f>
        <v xml:space="preserve"> </v>
      </c>
      <c r="O56" s="401"/>
      <c r="P56" s="404"/>
    </row>
    <row r="57" spans="1:21" ht="12.5">
      <c r="A57" s="1347">
        <v>5203</v>
      </c>
      <c r="B57" s="1389" t="s">
        <v>491</v>
      </c>
      <c r="C57" s="522">
        <f>E25</f>
        <v>0</v>
      </c>
      <c r="D57" s="143">
        <f t="shared" si="13"/>
        <v>0</v>
      </c>
      <c r="E57" s="141"/>
      <c r="F57" s="141"/>
      <c r="G57" s="141"/>
      <c r="H57" s="141"/>
      <c r="I57" s="141"/>
      <c r="J57" s="141"/>
      <c r="K57" s="2297"/>
      <c r="L57" s="141"/>
      <c r="M57" s="378"/>
      <c r="N57" s="2437"/>
      <c r="O57" s="401"/>
      <c r="P57" s="404"/>
    </row>
    <row r="58" spans="1:21" ht="12.5">
      <c r="A58" s="1392">
        <v>5205</v>
      </c>
      <c r="B58" s="1318" t="s">
        <v>528</v>
      </c>
      <c r="C58" s="523">
        <f>E27</f>
        <v>0</v>
      </c>
      <c r="D58" s="350">
        <f t="shared" si="13"/>
        <v>0</v>
      </c>
      <c r="E58" s="141"/>
      <c r="F58" s="141"/>
      <c r="G58" s="141"/>
      <c r="H58" s="141"/>
      <c r="I58" s="141"/>
      <c r="J58" s="141"/>
      <c r="K58" s="2297"/>
      <c r="L58" s="141"/>
      <c r="M58" s="379"/>
      <c r="N58" s="2438"/>
      <c r="O58" s="612"/>
      <c r="P58" s="613"/>
    </row>
    <row r="59" spans="1:21" ht="12.5">
      <c r="A59" s="1393">
        <v>513</v>
      </c>
      <c r="B59" s="1394" t="s">
        <v>499</v>
      </c>
      <c r="C59" s="521">
        <f>E32</f>
        <v>0</v>
      </c>
      <c r="D59" s="351">
        <f t="shared" si="13"/>
        <v>0</v>
      </c>
      <c r="E59" s="521">
        <f>Motpart!D31</f>
        <v>0</v>
      </c>
      <c r="F59" s="521">
        <f>Motpart!E31</f>
        <v>0</v>
      </c>
      <c r="G59" s="521">
        <f>Motpart!F31</f>
        <v>0</v>
      </c>
      <c r="H59" s="521">
        <f>Motpart!G31</f>
        <v>0</v>
      </c>
      <c r="I59" s="521">
        <f>Motpart!H31</f>
        <v>0</v>
      </c>
      <c r="J59" s="521">
        <f>Motpart!I31</f>
        <v>0</v>
      </c>
      <c r="K59" s="2296"/>
      <c r="L59" s="521">
        <f>Motpart!K31</f>
        <v>0</v>
      </c>
      <c r="M59" s="521">
        <f>Motpart!L31</f>
        <v>0</v>
      </c>
      <c r="N59" s="2441" t="str">
        <f>IF(E60&gt;E59+1,ROUND(E60-E59,0)&amp; " tkr för mycket fördelat i kolumn Föreningar, stiftelser",IF(F60&gt;F59+1,ROUND(F60-F59,0)&amp; " tkr för mycket fördelat i kolumn Kommunägda företag",IF(G60&gt;G59+1,ROUND(G60-G59,0)&amp; " tkr för mycket fördelat i kolumn Privata företag",IF(H60&gt;H59+1,ROUND(H60-H59,0)&amp; " tkr för mycket fördelat i kolumn Kommuner",IF(I60&gt;I59+1,ROUND(I60-I59,0)&amp; " tkr för mycket fördelat i kolumn Landsting"," ")))))</f>
        <v xml:space="preserve"> </v>
      </c>
      <c r="O59" s="614"/>
      <c r="P59" s="403"/>
    </row>
    <row r="60" spans="1:21" ht="13" thickBot="1">
      <c r="A60" s="1340">
        <v>5131</v>
      </c>
      <c r="B60" s="1395" t="s">
        <v>208</v>
      </c>
      <c r="C60" s="524">
        <f>E33</f>
        <v>0</v>
      </c>
      <c r="D60" s="352">
        <f>C60-SUM(E60:M60)</f>
        <v>0</v>
      </c>
      <c r="E60" s="380"/>
      <c r="F60" s="380"/>
      <c r="G60" s="380"/>
      <c r="H60" s="380"/>
      <c r="I60" s="380"/>
      <c r="J60" s="380"/>
      <c r="K60" s="2299"/>
      <c r="L60" s="380"/>
      <c r="M60" s="381"/>
      <c r="N60" s="2442" t="str">
        <f>IF(J60&gt;J59+1,ROUND(J60-J59,0)&amp;" tkr för mycket fördelat i kolumn Staten och staliga myndigheter",IF(L60&gt;L59+1,ROUND(L60-L59,0)&amp;" tkr för mycket fördelat i kolumn Kommunalförbund",IF(M60&gt;M59+1,ROUND(M60-M59,0)&amp;" tkr för mycket fördelat i kolumn Utlandet"," ")))</f>
        <v xml:space="preserve"> </v>
      </c>
      <c r="O60" s="402"/>
      <c r="P60" s="405"/>
    </row>
    <row r="61" spans="1:21" ht="12.5">
      <c r="D61" s="406" t="str">
        <f>IF(OR(COUNTIF(D50:D60,"&lt;-5")&gt;0,(COUNTIF(D50:D60,"&gt;5")&gt;0)),"Rätta differenserna i kolumn D","")</f>
        <v/>
      </c>
      <c r="N61" s="382"/>
      <c r="O61" s="383"/>
    </row>
    <row r="62" spans="1:21" ht="13"/>
  </sheetData>
  <customSheetViews>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1"/>
      <headerFooter alignWithMargins="0">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3"/>
      <headerFooter>
        <oddHeader>&amp;L&amp;8Statistiska Centralbyrån
Offentlig ekonomi&amp;R&amp;P</oddHeader>
      </headerFooter>
    </customSheetView>
  </customSheetViews>
  <mergeCells count="21">
    <mergeCell ref="O4:O6"/>
    <mergeCell ref="T23:V26"/>
    <mergeCell ref="R47:T49"/>
    <mergeCell ref="Q6:R7"/>
    <mergeCell ref="T12:V15"/>
    <mergeCell ref="T33:V36"/>
    <mergeCell ref="P6:P8"/>
    <mergeCell ref="P9:P11"/>
    <mergeCell ref="R24:R30"/>
    <mergeCell ref="R37:R39"/>
    <mergeCell ref="R14:R19"/>
    <mergeCell ref="A46:B48"/>
    <mergeCell ref="K46:K47"/>
    <mergeCell ref="F6:F7"/>
    <mergeCell ref="G6:G7"/>
    <mergeCell ref="H6:H7"/>
    <mergeCell ref="H9:H11"/>
    <mergeCell ref="E6:E7"/>
    <mergeCell ref="I6:I7"/>
    <mergeCell ref="D6:D7"/>
    <mergeCell ref="D9:D10"/>
  </mergeCells>
  <phoneticPr fontId="96" type="noConversion"/>
  <conditionalFormatting sqref="B21 B31 B39">
    <cfRule type="expression" dxfId="41" priority="99" stopIfTrue="1">
      <formula>OR(C21&gt;5,C21&lt;-5,E21&gt;5,E21&lt;-5,F21&gt;5,F21&lt;-5,G21&gt;5,G21&lt;-5,H21&gt;5,H21&lt;-5,I21&gt;5,I21&lt;-5,J21&gt;5,J21&lt;-5)</formula>
    </cfRule>
  </conditionalFormatting>
  <conditionalFormatting sqref="C13:J19">
    <cfRule type="cellIs" dxfId="40" priority="7" stopIfTrue="1" operator="lessThan">
      <formula>0</formula>
    </cfRule>
  </conditionalFormatting>
  <conditionalFormatting sqref="C23:J29">
    <cfRule type="cellIs" dxfId="39" priority="8" stopIfTrue="1" operator="lessThan">
      <formula>0</formula>
    </cfRule>
  </conditionalFormatting>
  <conditionalFormatting sqref="C33:J37">
    <cfRule type="cellIs" dxfId="38" priority="12" stopIfTrue="1" operator="lessThan">
      <formula>0</formula>
    </cfRule>
  </conditionalFormatting>
  <conditionalFormatting sqref="G44 E51:M54 E56:M58 E60:M60">
    <cfRule type="cellIs" dxfId="37" priority="36" stopIfTrue="1" operator="lessThan">
      <formula>0</formula>
    </cfRule>
  </conditionalFormatting>
  <conditionalFormatting sqref="R14">
    <cfRule type="expression" dxfId="36" priority="189">
      <formula>IF(C12=0,"",IF(C18&gt;1,"",IF(K18=0,N18&lt;&gt;0)))</formula>
    </cfRule>
    <cfRule type="expression" dxfId="35" priority="190">
      <formula>IF(C12=0,"",IF(C16&gt;1,"",IF(K16=0,N16&lt;&gt;0)))</formula>
    </cfRule>
    <cfRule type="expression" dxfId="34" priority="191">
      <formula>IF(C12=0,"",IF(C15&gt;1,"",IF(K15=0,N15&lt;&gt;0)))</formula>
    </cfRule>
    <cfRule type="expression" dxfId="33" priority="192">
      <formula>IF(C12=0,"",IF(C14&gt;1,"",IF(K14=0,N14&lt;&gt;0)))</formula>
    </cfRule>
    <cfRule type="expression" dxfId="32" priority="193">
      <formula>IF(C12=0,"",IF(C13&gt;1,"",IF(K13=0,N13&lt;&gt;0)))</formula>
    </cfRule>
  </conditionalFormatting>
  <conditionalFormatting sqref="R20">
    <cfRule type="expression" dxfId="31" priority="194">
      <formula>IF(C17=0,"",IF(C23&gt;1,"",IF(K23=0,N23&lt;&gt;0)))</formula>
    </cfRule>
    <cfRule type="expression" dxfId="30" priority="195">
      <formula>IF(C17=0,"",IF(C22&gt;1,"",IF(K22=0,N22&lt;&gt;0)))</formula>
    </cfRule>
    <cfRule type="expression" dxfId="29" priority="196">
      <formula>IF(C17=0,"",IF(C21&gt;1,"",IF(K21=0,N21&lt;&gt;0)))</formula>
    </cfRule>
    <cfRule type="expression" dxfId="28" priority="197">
      <formula>IF(C17=0,"",IF(C20&gt;1,"",IF(K20=0,N20&lt;&gt;0)))</formula>
    </cfRule>
    <cfRule type="expression" dxfId="27" priority="198">
      <formula>IF(C17=0,"",IF(C18&gt;1,"",IF(K18=0,N18&lt;&gt;0)))</formula>
    </cfRule>
  </conditionalFormatting>
  <conditionalFormatting sqref="R24:R29">
    <cfRule type="expression" dxfId="26" priority="23">
      <formula>IF(C22=0,"",IF(C28&gt;1,"",IF(K28=0,N28&lt;&gt;0)))</formula>
    </cfRule>
    <cfRule type="expression" dxfId="25" priority="24">
      <formula>IF(C22=0,"",IF(C27&gt;1,"",IF(K27=0,N27&lt;&gt;0)))</formula>
    </cfRule>
    <cfRule type="expression" dxfId="24" priority="25">
      <formula>IF(C22=0,"",IF(C26&gt;1,"",IF(K26=0,N26&lt;&gt;0)))</formula>
    </cfRule>
    <cfRule type="expression" dxfId="23" priority="26">
      <formula>IF(C22=0,"",IF(C24&gt;1,"",IF(K24=0,N24&lt;&gt;0)))</formula>
    </cfRule>
    <cfRule type="expression" dxfId="22" priority="27">
      <formula>IF(C22=0,"",IF(C23&gt;1,"",IF(K23=0,N23&lt;&gt;0)))</formula>
    </cfRule>
  </conditionalFormatting>
  <conditionalFormatting sqref="R24:R30">
    <cfRule type="expression" dxfId="21" priority="14">
      <formula>IF(C22=0,"",IF(C25&gt;1,"",IF(K25=0,N25&lt;&gt;0)))</formula>
    </cfRule>
  </conditionalFormatting>
  <conditionalFormatting sqref="R37:R39">
    <cfRule type="expression" dxfId="20" priority="15">
      <formula>IF(C32=0,"",IF(C36&gt;1,"",IF(K36=0,N36&lt;&gt;0)))</formula>
    </cfRule>
    <cfRule type="expression" dxfId="19" priority="16">
      <formula>IF(C32=0,"",IF(C35&gt;1,"",IF(K35=0,N35&lt;&gt;0)))</formula>
    </cfRule>
    <cfRule type="expression" dxfId="18" priority="17">
      <formula>IF(C32=0,"",IF(C34&gt;1,"",IF(K34=0,N34&lt;&gt;0)))</formula>
    </cfRule>
    <cfRule type="expression" dxfId="17" priority="18">
      <formula>IF(C32=0,"",IF(C33&gt;1,"",IF(K33=0,N33&lt;&gt;0)))</formula>
    </cfRule>
  </conditionalFormatting>
  <dataValidations count="2">
    <dataValidation type="decimal" operator="lessThan" allowBlank="1" showInputMessage="1" showErrorMessage="1" error="Beloppen ska vara i 1000 tal kronor" sqref="E60:M60 J30:J32 C31:H32 I22 G44 E51:M58 D30:H30 C33:J38 I30:I31 C23:C30 D23:J29 C13:J21" xr:uid="{00000000-0002-0000-0900-000000000000}">
      <formula1>99999999</formula1>
    </dataValidation>
    <dataValidation type="decimal" operator="lessThan" allowBlank="1" showInputMessage="1" showErrorMessage="1" error="Beloppet ska vara i 1000 tal kr" sqref="I32" xr:uid="{00000000-0002-0000-0900-000001000000}">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FFFF00"/>
  </sheetPr>
  <dimension ref="A1:S38"/>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12.5" zeroHeight="1"/>
  <cols>
    <col min="1" max="1" width="5.54296875" style="312" customWidth="1"/>
    <col min="2" max="2" width="34.453125" style="2172" customWidth="1"/>
    <col min="3" max="3" width="9.453125" style="2172" customWidth="1"/>
    <col min="4" max="4" width="8.54296875" style="2172" customWidth="1"/>
    <col min="5" max="5" width="10.453125" style="2172" customWidth="1"/>
    <col min="6" max="6" width="10.54296875" style="2172" customWidth="1"/>
    <col min="7" max="7" width="9.453125" style="2172" customWidth="1"/>
    <col min="8" max="8" width="11.54296875" style="2172" customWidth="1"/>
    <col min="9" max="9" width="8.54296875" style="2172" customWidth="1"/>
    <col min="10" max="10" width="14.453125" style="2172" customWidth="1"/>
    <col min="11" max="11" width="9.54296875" style="315" customWidth="1"/>
    <col min="12" max="12" width="23" style="315" customWidth="1"/>
    <col min="13" max="14" width="10.453125" style="315" customWidth="1"/>
    <col min="15" max="19" width="9.453125" style="315" customWidth="1"/>
    <col min="20" max="16384" width="0" style="315" hidden="1"/>
  </cols>
  <sheetData>
    <row r="1" spans="1:19" s="2136" customFormat="1" ht="21">
      <c r="A1" s="84" t="str">
        <f>"Specificering individ- och familjeomsorg "&amp;År&amp;", 1000 tal kronor"</f>
        <v>Specificering individ- och familjeomsorg 2025, 1000 tal kronor</v>
      </c>
      <c r="B1" s="85"/>
      <c r="C1" s="85"/>
      <c r="D1" s="85"/>
      <c r="E1" s="313"/>
      <c r="F1" s="313"/>
      <c r="G1" s="313"/>
      <c r="H1" s="313"/>
      <c r="I1" s="626">
        <f>Information!B3</f>
        <v>0</v>
      </c>
      <c r="J1" s="627">
        <f>Information!B2</f>
        <v>0</v>
      </c>
      <c r="K1" s="313"/>
      <c r="L1" s="313"/>
      <c r="M1" s="313"/>
      <c r="N1" s="313"/>
      <c r="O1" s="313"/>
      <c r="P1" s="313"/>
      <c r="Q1" s="313"/>
      <c r="R1" s="313"/>
      <c r="S1" s="313"/>
    </row>
    <row r="2" spans="1:19" s="314" customFormat="1" ht="12.75" customHeight="1">
      <c r="A2" s="1457"/>
      <c r="B2" s="2137"/>
      <c r="C2" s="78"/>
      <c r="D2" s="78"/>
      <c r="O2" s="77"/>
    </row>
    <row r="3" spans="1:19" s="2136" customFormat="1" ht="12.75" customHeight="1" thickBot="1">
      <c r="A3" s="280"/>
      <c r="B3" s="217"/>
      <c r="C3" s="217" t="s">
        <v>833</v>
      </c>
      <c r="D3" s="217"/>
      <c r="E3" s="217" t="s">
        <v>838</v>
      </c>
      <c r="F3" s="217" t="s">
        <v>834</v>
      </c>
      <c r="G3" s="217" t="s">
        <v>837</v>
      </c>
      <c r="H3" s="217" t="s">
        <v>836</v>
      </c>
      <c r="I3" s="217"/>
      <c r="J3" s="217"/>
      <c r="K3" s="217"/>
      <c r="L3" s="314"/>
      <c r="M3" s="314"/>
      <c r="N3" s="314"/>
      <c r="O3" s="314"/>
    </row>
    <row r="4" spans="1:19" s="316" customFormat="1" ht="18" customHeight="1">
      <c r="A4" s="777" t="s">
        <v>864</v>
      </c>
      <c r="B4" s="2138" t="s">
        <v>13</v>
      </c>
      <c r="C4" s="2134"/>
      <c r="D4" s="2338"/>
      <c r="E4" s="2338"/>
      <c r="F4" s="2133"/>
      <c r="G4" s="2134"/>
      <c r="H4" s="2139" t="s">
        <v>1289</v>
      </c>
      <c r="I4" s="1941" t="s">
        <v>1300</v>
      </c>
      <c r="J4" s="1942"/>
      <c r="K4" s="3116" t="str">
        <f>"Förändring kostnader för eget åtagande "&amp;År-1&amp;"-"&amp;År&amp;" procent"</f>
        <v>Förändring kostnader för eget åtagande 2024-2025 procent</v>
      </c>
      <c r="L4" s="2140" t="s">
        <v>40</v>
      </c>
      <c r="M4" s="1406"/>
      <c r="N4" s="1407"/>
      <c r="O4" s="2141"/>
      <c r="P4" s="195" t="s">
        <v>983</v>
      </c>
      <c r="Q4" s="314"/>
      <c r="R4" s="314"/>
    </row>
    <row r="5" spans="1:19" s="316" customFormat="1" ht="15" customHeight="1">
      <c r="A5" s="779" t="s">
        <v>866</v>
      </c>
      <c r="B5" s="1880"/>
      <c r="C5" s="1656" t="s">
        <v>41</v>
      </c>
      <c r="D5" s="1656"/>
      <c r="E5" s="1656"/>
      <c r="F5" s="2135"/>
      <c r="G5" s="2135"/>
      <c r="H5" s="1953" t="s">
        <v>1304</v>
      </c>
      <c r="I5" s="1943" t="s">
        <v>1297</v>
      </c>
      <c r="J5" s="1944"/>
      <c r="K5" s="3113"/>
      <c r="L5" s="1591" t="s">
        <v>1085</v>
      </c>
      <c r="M5" s="2142"/>
      <c r="N5" s="2143"/>
      <c r="O5" s="2144"/>
      <c r="P5" s="195" t="s">
        <v>622</v>
      </c>
      <c r="Q5" s="314"/>
      <c r="R5" s="314"/>
    </row>
    <row r="6" spans="1:19" s="316" customFormat="1" ht="24" customHeight="1">
      <c r="A6" s="1397"/>
      <c r="B6" s="2145"/>
      <c r="C6" s="1656" t="s">
        <v>43</v>
      </c>
      <c r="D6" s="3110" t="s">
        <v>1382</v>
      </c>
      <c r="E6" s="3110" t="s">
        <v>1390</v>
      </c>
      <c r="F6" s="3112" t="s">
        <v>157</v>
      </c>
      <c r="G6" s="3114" t="s">
        <v>1513</v>
      </c>
      <c r="H6" s="1954" t="s">
        <v>1303</v>
      </c>
      <c r="I6" s="2146"/>
      <c r="J6" s="2147"/>
      <c r="K6" s="3113"/>
      <c r="L6" s="3076" t="s">
        <v>1768</v>
      </c>
      <c r="M6" s="2111" t="str">
        <f>"Nämnare nyckeltal"</f>
        <v>Nämnare nyckeltal</v>
      </c>
      <c r="N6" s="2112"/>
      <c r="O6" s="2148"/>
      <c r="P6" s="195" t="s">
        <v>1038</v>
      </c>
      <c r="Q6" s="314"/>
      <c r="R6" s="314"/>
    </row>
    <row r="7" spans="1:19" s="316" customFormat="1" ht="27.65" customHeight="1">
      <c r="A7" s="1200"/>
      <c r="B7" s="2149"/>
      <c r="C7" s="1656"/>
      <c r="D7" s="3111"/>
      <c r="E7" s="3111"/>
      <c r="F7" s="3113"/>
      <c r="G7" s="3114"/>
      <c r="H7" s="1939" t="s">
        <v>1514</v>
      </c>
      <c r="I7" s="1956" t="s">
        <v>1302</v>
      </c>
      <c r="J7" s="1955" t="s">
        <v>1302</v>
      </c>
      <c r="K7" s="1938"/>
      <c r="L7" s="3076"/>
      <c r="M7" s="2111"/>
      <c r="N7" s="2112"/>
      <c r="O7" s="314"/>
      <c r="P7" s="195" t="s">
        <v>1039</v>
      </c>
      <c r="Q7" s="314"/>
      <c r="R7" s="314"/>
    </row>
    <row r="8" spans="1:19" s="316" customFormat="1" ht="12" customHeight="1">
      <c r="A8" s="1397"/>
      <c r="B8" s="2150"/>
      <c r="C8" s="2135"/>
      <c r="D8" s="3111"/>
      <c r="E8" s="3111"/>
      <c r="F8" s="3113"/>
      <c r="G8" s="3115"/>
      <c r="H8" s="2483" t="s">
        <v>1515</v>
      </c>
      <c r="I8" s="1319">
        <f>År</f>
        <v>2025</v>
      </c>
      <c r="J8" s="1319">
        <f>År-1</f>
        <v>2024</v>
      </c>
      <c r="K8" s="2151"/>
      <c r="L8" s="3076"/>
      <c r="M8" s="1410"/>
      <c r="N8" s="1411"/>
      <c r="O8" s="314"/>
      <c r="P8" s="314"/>
      <c r="Q8" s="314"/>
      <c r="R8" s="314"/>
    </row>
    <row r="9" spans="1:19" s="316" customFormat="1" ht="21" customHeight="1">
      <c r="A9" s="1397"/>
      <c r="B9" s="2150"/>
      <c r="C9" s="2135"/>
      <c r="D9" s="3114" t="s">
        <v>1565</v>
      </c>
      <c r="E9" s="2174" t="s">
        <v>1044</v>
      </c>
      <c r="F9" s="2135"/>
      <c r="G9" s="2615" t="s">
        <v>1512</v>
      </c>
      <c r="H9" s="1940" t="s">
        <v>1510</v>
      </c>
      <c r="I9" s="2152"/>
      <c r="J9" s="2152"/>
      <c r="K9" s="2152"/>
      <c r="L9" s="3101" t="s">
        <v>1766</v>
      </c>
      <c r="M9" s="1410"/>
      <c r="N9" s="1411"/>
      <c r="O9" s="314"/>
      <c r="P9" s="314"/>
      <c r="Q9" s="314"/>
      <c r="R9" s="314"/>
    </row>
    <row r="10" spans="1:19" s="316" customFormat="1" ht="14.25" customHeight="1">
      <c r="A10" s="1397"/>
      <c r="B10" s="2150"/>
      <c r="C10" s="2135"/>
      <c r="D10" s="3077"/>
      <c r="E10" s="2135"/>
      <c r="F10" s="2135"/>
      <c r="G10" s="2135"/>
      <c r="H10" s="1605" t="s">
        <v>1517</v>
      </c>
      <c r="I10" s="1945"/>
      <c r="J10" s="1945"/>
      <c r="K10" s="2152"/>
      <c r="L10" s="3101"/>
      <c r="M10" s="1410"/>
      <c r="N10" s="1411"/>
      <c r="O10" s="314"/>
      <c r="P10" s="314"/>
      <c r="Q10" s="314"/>
      <c r="R10" s="314"/>
    </row>
    <row r="11" spans="1:19" s="316" customFormat="1" ht="19.5" customHeight="1">
      <c r="A11" s="1398"/>
      <c r="B11" s="2153"/>
      <c r="C11" s="1412"/>
      <c r="D11" s="3117"/>
      <c r="E11" s="1412"/>
      <c r="F11" s="1412"/>
      <c r="G11" s="1902"/>
      <c r="H11" s="2510" t="s">
        <v>1516</v>
      </c>
      <c r="I11" s="1413"/>
      <c r="J11" s="1413"/>
      <c r="K11" s="1413"/>
      <c r="L11" s="3102"/>
      <c r="M11" s="1414"/>
      <c r="N11" s="1415"/>
      <c r="O11" s="314"/>
      <c r="P11" s="314"/>
      <c r="Q11" s="314"/>
      <c r="R11" s="314"/>
    </row>
    <row r="12" spans="1:19" s="316" customFormat="1">
      <c r="A12" s="1399">
        <v>559</v>
      </c>
      <c r="B12" s="2154" t="s">
        <v>538</v>
      </c>
      <c r="C12" s="2155">
        <f>Drift!P79</f>
        <v>0</v>
      </c>
      <c r="D12" s="2485">
        <f>SUM(Drift!C79:D79)</f>
        <v>0</v>
      </c>
      <c r="E12" s="2155">
        <f>Drift!F79</f>
        <v>0</v>
      </c>
      <c r="F12" s="2155">
        <f>Drift!V79</f>
        <v>0</v>
      </c>
      <c r="G12" s="2156">
        <f>Motpart!Y33+Motpart!Z33</f>
        <v>0</v>
      </c>
      <c r="H12" s="1416">
        <f t="shared" ref="H12:H18" si="0">C12-F12-G12</f>
        <v>0</v>
      </c>
      <c r="I12" s="1417">
        <f>IF(C12&gt;0,H12*1000/M12,0)</f>
        <v>0</v>
      </c>
      <c r="J12" s="1417"/>
      <c r="K12" s="1579" t="str">
        <f>IF(C12=0,"",IF(J12=0,IF(I12=0,0,1),((I12-J12)/J12)))</f>
        <v/>
      </c>
      <c r="L12" s="2314" t="str">
        <f>IF(SUM(D13+E13)&gt;C13,"Rad 552: därav-kol. D+E &gt; totalkol. C",IF(SUM(D14+E14)&gt;C14,"Rad 556: därav-kol. D+E &gt; totalkol.C",IF(SUM(D15+E15)&gt;C15,"Rad 5581: därav-kol. D+E &gt; totalkol.C",IF(SUM(D16+E16)&gt;C16,"Rad 5582: därav-kol. D+E &gt; totalkol.C",IF(SUM(D17+E17)&gt;C17,"Rad 5583: därav-kol. D+E &gt; totalkol.C","")))))</f>
        <v/>
      </c>
      <c r="M12" s="1418"/>
      <c r="N12" s="1419" t="s">
        <v>574</v>
      </c>
      <c r="O12" s="314"/>
      <c r="P12" s="2157" t="s">
        <v>598</v>
      </c>
      <c r="Q12" s="2158"/>
      <c r="R12" s="2158"/>
      <c r="S12" s="2158"/>
    </row>
    <row r="13" spans="1:19" s="316" customFormat="1">
      <c r="A13" s="1400">
        <v>552</v>
      </c>
      <c r="B13" s="1880" t="s">
        <v>486</v>
      </c>
      <c r="C13" s="56"/>
      <c r="D13" s="56"/>
      <c r="E13" s="2144">
        <f>Motpart!C34</f>
        <v>0</v>
      </c>
      <c r="F13" s="56"/>
      <c r="G13" s="2144">
        <f>Motpart!Y34+Motpart!Z34</f>
        <v>0</v>
      </c>
      <c r="H13" s="1420">
        <f t="shared" si="0"/>
        <v>0</v>
      </c>
      <c r="I13" s="1421">
        <f>IF(C13&gt;0,H13*1000/M12,0)</f>
        <v>0</v>
      </c>
      <c r="J13" s="1421"/>
      <c r="K13" s="1579" t="str">
        <f>IF(C13="","",IF(J13=0,IF(I13=0,0,1),((I13-J13)/J13)))</f>
        <v/>
      </c>
      <c r="L13" s="2444" t="str">
        <f>IF($C$12=0,"",
IF(C13="","Skriv belopp eller 0 i kol. C",IF(AND(C13=0,J13&lt;&gt;0),"se frågan till höger",
IF(AND(ABS(I13-J13)&gt;100,OR(K13&gt;50%,K13&lt;-50%)),"Kommentera förändringen",
IF(OR(K13&gt;30%,K13&lt;-30%),"Kontrollera förändringen","")))))</f>
        <v/>
      </c>
      <c r="M13" s="3127" t="str">
        <f>"För minst en delv-ht inom v-het 559 redovisades kostnader föregående år men inte i år. Har kommunen inte verksamheten(-erna)? Lämna förklarande kommentar"</f>
        <v>För minst en delv-ht inom v-het 559 redovisades kostnader föregående år men inte i år. Har kommunen inte verksamheten(-erna)? Lämna förklarande kommentar</v>
      </c>
      <c r="N13" s="3128"/>
      <c r="O13" s="314"/>
      <c r="P13" s="3118"/>
      <c r="Q13" s="3119"/>
      <c r="R13" s="3120"/>
      <c r="S13" s="2158"/>
    </row>
    <row r="14" spans="1:19" s="316" customFormat="1">
      <c r="A14" s="1400">
        <v>556</v>
      </c>
      <c r="B14" s="2159" t="s">
        <v>544</v>
      </c>
      <c r="C14" s="56"/>
      <c r="D14" s="56"/>
      <c r="E14" s="56"/>
      <c r="F14" s="56"/>
      <c r="G14" s="56"/>
      <c r="H14" s="1420">
        <f t="shared" si="0"/>
        <v>0</v>
      </c>
      <c r="I14" s="1421">
        <f>IF(C14&gt;0,H14*1000/M12,0)</f>
        <v>0</v>
      </c>
      <c r="J14" s="1421"/>
      <c r="K14" s="1579" t="str">
        <f t="shared" ref="K14:K18" si="1">IF(C14="","",IF(J14=0,IF(I14=0,0,1),((I14-J14)/J14)))</f>
        <v/>
      </c>
      <c r="L14" s="2444" t="str">
        <f t="shared" ref="L14:L16" si="2">IF($C$12=0,"",
IF(C14="","Skriv belopp eller 0 i kol. C",IF(AND(C14=0,J14&lt;&gt;0),"se frågan till höger",
IF(AND(ABS(I14-J14)&gt;100,OR(K14&gt;50%,K14&lt;-50%)),"Kommentera förändringen",
IF(OR(K14&gt;30%,K14&lt;-30%),"Kontrollera förändringen","")))))</f>
        <v/>
      </c>
      <c r="M14" s="3129"/>
      <c r="N14" s="3128"/>
      <c r="O14" s="314"/>
      <c r="P14" s="3121"/>
      <c r="Q14" s="3122"/>
      <c r="R14" s="3123"/>
      <c r="S14" s="2158"/>
    </row>
    <row r="15" spans="1:19" s="316" customFormat="1">
      <c r="A15" s="1400">
        <v>5581</v>
      </c>
      <c r="B15" s="2159" t="s">
        <v>172</v>
      </c>
      <c r="C15" s="56"/>
      <c r="D15" s="56"/>
      <c r="E15" s="56"/>
      <c r="F15" s="56"/>
      <c r="G15" s="56"/>
      <c r="H15" s="1420">
        <f t="shared" si="0"/>
        <v>0</v>
      </c>
      <c r="I15" s="1424">
        <f>IF(C15&gt;0,H15*1000/M12,0)</f>
        <v>0</v>
      </c>
      <c r="J15" s="1424"/>
      <c r="K15" s="1579" t="str">
        <f t="shared" si="1"/>
        <v/>
      </c>
      <c r="L15" s="2444" t="str">
        <f t="shared" si="2"/>
        <v/>
      </c>
      <c r="M15" s="3129"/>
      <c r="N15" s="3128"/>
      <c r="O15" s="314"/>
      <c r="P15" s="3121"/>
      <c r="Q15" s="3122"/>
      <c r="R15" s="3123"/>
      <c r="S15" s="2158"/>
    </row>
    <row r="16" spans="1:19" s="316" customFormat="1">
      <c r="A16" s="1400">
        <v>5582</v>
      </c>
      <c r="B16" s="2159" t="s">
        <v>171</v>
      </c>
      <c r="C16" s="56"/>
      <c r="D16" s="56"/>
      <c r="E16" s="56"/>
      <c r="F16" s="56"/>
      <c r="G16" s="56"/>
      <c r="H16" s="1420">
        <f t="shared" si="0"/>
        <v>0</v>
      </c>
      <c r="I16" s="1421">
        <f>IF(C16&gt;0,H16*1000/M12,0)</f>
        <v>0</v>
      </c>
      <c r="J16" s="1421"/>
      <c r="K16" s="1579" t="str">
        <f t="shared" si="1"/>
        <v/>
      </c>
      <c r="L16" s="2444" t="str">
        <f t="shared" si="2"/>
        <v/>
      </c>
      <c r="M16" s="3129"/>
      <c r="N16" s="3128"/>
      <c r="O16" s="314"/>
      <c r="P16" s="3124"/>
      <c r="Q16" s="3125"/>
      <c r="R16" s="3126"/>
      <c r="S16" s="2158"/>
    </row>
    <row r="17" spans="1:19" s="316" customFormat="1">
      <c r="A17" s="1400">
        <v>5583</v>
      </c>
      <c r="B17" s="2159" t="s">
        <v>173</v>
      </c>
      <c r="C17" s="56"/>
      <c r="D17" s="56"/>
      <c r="E17" s="56"/>
      <c r="F17" s="56"/>
      <c r="G17" s="56"/>
      <c r="H17" s="1420">
        <f t="shared" si="0"/>
        <v>0</v>
      </c>
      <c r="I17" s="1421">
        <f>IF(C17&gt;0,H17*1000/M12,0)</f>
        <v>0</v>
      </c>
      <c r="J17" s="1424"/>
      <c r="K17" s="1579" t="str">
        <f t="shared" si="1"/>
        <v/>
      </c>
      <c r="L17" s="2444" t="str">
        <f>IF($C$12=0,"",
IF(C17="","Skriv belopp eller 0 i kol. C",IF(AND(C17=0,J17&lt;&gt;0),"se frågan till höger",
IF(AND(ABS(I17-J17)&gt;100,OR(K17&gt;50%,K17&lt;-50%)),"Kommentera förändringen",
IF(OR(K17&gt;30%,K17&lt;-30%),"Kontrollera förändringen","")))))</f>
        <v/>
      </c>
      <c r="M17" s="3129"/>
      <c r="N17" s="3128"/>
      <c r="O17" s="314"/>
      <c r="P17" s="2158"/>
      <c r="Q17" s="2158"/>
      <c r="R17" s="2158"/>
      <c r="S17" s="2158"/>
    </row>
    <row r="18" spans="1:19" s="316" customFormat="1">
      <c r="A18" s="1401">
        <v>558</v>
      </c>
      <c r="B18" s="2160" t="s">
        <v>212</v>
      </c>
      <c r="C18" s="391">
        <f>SUM(C15:C17)</f>
        <v>0</v>
      </c>
      <c r="D18" s="391">
        <f>SUM(D15:D17)</f>
        <v>0</v>
      </c>
      <c r="E18" s="391">
        <f>SUM(E15:E17)</f>
        <v>0</v>
      </c>
      <c r="F18" s="391">
        <f>SUM(F15:F17)</f>
        <v>0</v>
      </c>
      <c r="G18" s="391">
        <f>SUM(G15:G17)</f>
        <v>0</v>
      </c>
      <c r="H18" s="1420">
        <f t="shared" si="0"/>
        <v>0</v>
      </c>
      <c r="I18" s="1421">
        <f>IF(C18&gt;0,H18*1000/M12,0)</f>
        <v>0</v>
      </c>
      <c r="J18" s="1421"/>
      <c r="K18" s="1579">
        <f t="shared" si="1"/>
        <v>0</v>
      </c>
      <c r="L18" s="1422" t="str">
        <f>IF(C12=0,"",
IF(AND(ABS(I17-J17)&gt;100,OR(K17&gt;50%,K17&lt;-50%)),"Kommentera förändringen",
IF(OR(K17&gt;30%,K17&lt;-30%),"Kontrollera förändringen","")))</f>
        <v/>
      </c>
      <c r="M18" s="3129"/>
      <c r="N18" s="3128"/>
      <c r="O18" s="314"/>
      <c r="P18" s="2158"/>
      <c r="Q18" s="2158"/>
      <c r="R18" s="2158"/>
      <c r="S18" s="2158"/>
    </row>
    <row r="19" spans="1:19" s="187" customFormat="1">
      <c r="A19" s="1401">
        <v>55999</v>
      </c>
      <c r="B19" s="2160" t="s">
        <v>217</v>
      </c>
      <c r="C19" s="391">
        <f>C13+C14+C15+C16+C17</f>
        <v>0</v>
      </c>
      <c r="D19" s="391">
        <f>D13+D14+D15+D16+D17</f>
        <v>0</v>
      </c>
      <c r="E19" s="391">
        <f>E13+E14+E15+E16+E17</f>
        <v>0</v>
      </c>
      <c r="F19" s="391">
        <f>F13+F14+F15+F16+F17</f>
        <v>0</v>
      </c>
      <c r="G19" s="391">
        <f>G13+G14+G15+G16+G17</f>
        <v>0</v>
      </c>
      <c r="H19" s="1425"/>
      <c r="I19" s="1426"/>
      <c r="J19" s="1426"/>
      <c r="K19" s="1426"/>
      <c r="L19" s="1427"/>
      <c r="M19" s="3130"/>
      <c r="N19" s="3128"/>
      <c r="O19" s="315"/>
      <c r="P19" s="2158"/>
      <c r="Q19" s="2158"/>
      <c r="R19" s="2158"/>
      <c r="S19" s="2158"/>
    </row>
    <row r="20" spans="1:19" s="187" customFormat="1" ht="13" thickBot="1">
      <c r="A20" s="1402"/>
      <c r="B20" s="2161" t="s">
        <v>575</v>
      </c>
      <c r="C20" s="392">
        <f>C12-C19</f>
        <v>0</v>
      </c>
      <c r="D20" s="392">
        <f>D12-D19</f>
        <v>0</v>
      </c>
      <c r="E20" s="392">
        <f>E12-E19</f>
        <v>0</v>
      </c>
      <c r="F20" s="392">
        <f>F12-F19</f>
        <v>0</v>
      </c>
      <c r="G20" s="392">
        <f>G12-G19</f>
        <v>0</v>
      </c>
      <c r="H20" s="1428"/>
      <c r="I20" s="1429"/>
      <c r="J20" s="1429"/>
      <c r="K20" s="1429"/>
      <c r="L20" s="1430" t="str">
        <f>IF(OR(C20&gt;10,C20&lt;-10),"Diff Bruttokostnad",IF(OR(D20&gt;10,D20&lt;-10),"Diff Därav personalkostnader",IF(OR(E20&gt;10,E20&lt;-10),"Diff Därav köp av huvudverksamhet",IF(OR(F20&gt;10,F20&lt;-10),"Diff Interna intäkter",IF(OR(G20&gt;10,G20&lt;-10),"Diff Försäljning av verksamhet","")))))</f>
        <v/>
      </c>
      <c r="M20" s="1431"/>
      <c r="N20" s="1423"/>
      <c r="O20" s="315"/>
      <c r="P20" s="2158"/>
      <c r="Q20" s="2158"/>
      <c r="R20" s="2158"/>
      <c r="S20" s="2158"/>
    </row>
    <row r="21" spans="1:19" s="316" customFormat="1">
      <c r="A21" s="1403">
        <v>569</v>
      </c>
      <c r="B21" s="2162" t="s">
        <v>539</v>
      </c>
      <c r="C21" s="2163">
        <f>Drift!P80</f>
        <v>0</v>
      </c>
      <c r="D21" s="2486">
        <f>SUM(Drift!C80:D80)</f>
        <v>0</v>
      </c>
      <c r="E21" s="2163">
        <f>Drift!F80</f>
        <v>0</v>
      </c>
      <c r="F21" s="2163">
        <f>Drift!V80</f>
        <v>0</v>
      </c>
      <c r="G21" s="2164">
        <f>Motpart!Y35+Motpart!Z35</f>
        <v>0</v>
      </c>
      <c r="H21" s="1432">
        <f t="shared" ref="H21:H26" si="3">C21-F21-G21</f>
        <v>0</v>
      </c>
      <c r="I21" s="1421">
        <f>IF(C21&gt;0,H21*1000/M21,0)</f>
        <v>0</v>
      </c>
      <c r="J21" s="1421"/>
      <c r="K21" s="1579" t="str">
        <f>IF(C21=0,"",IF(J21=0,IF(I21=0,0,1),((I21-J21)/J21)))</f>
        <v/>
      </c>
      <c r="L21" s="1433" t="str">
        <f>IF(SUM(D22+E22)&gt;C22,"Rad 554: därav-kol. D+E &gt; totalkol.C",IF(SUM(D23+E23)&gt;C23,"Rad 557: därav-kol.D+E &gt; totalkol.C",IF(SUM(D24+E24)&gt;C24,"Rad 5681: därav-kol.D+E &gt; totalkol.C",IF(SUM(D25+E25)&gt;C25,"Rad 5682: därav-kol.D+E &gt; totalkol.C",""))))</f>
        <v/>
      </c>
      <c r="M21" s="1434"/>
      <c r="N21" s="1435" t="s">
        <v>578</v>
      </c>
      <c r="O21" s="314"/>
      <c r="P21" s="2157" t="s">
        <v>599</v>
      </c>
      <c r="Q21" s="2158"/>
      <c r="R21" s="2158"/>
      <c r="S21" s="2158"/>
    </row>
    <row r="22" spans="1:19" s="316" customFormat="1" ht="12.65" customHeight="1">
      <c r="A22" s="1400">
        <v>554</v>
      </c>
      <c r="B22" s="2165" t="s">
        <v>213</v>
      </c>
      <c r="C22" s="56"/>
      <c r="D22" s="56"/>
      <c r="E22" s="2144">
        <f>Motpart!C36</f>
        <v>0</v>
      </c>
      <c r="F22" s="56"/>
      <c r="G22" s="2144">
        <f>Motpart!Y36+Motpart!Z36</f>
        <v>0</v>
      </c>
      <c r="H22" s="1432">
        <f t="shared" si="3"/>
        <v>0</v>
      </c>
      <c r="I22" s="1421">
        <f>IF(C22&gt;0,H22*1000/M21,0)</f>
        <v>0</v>
      </c>
      <c r="J22" s="1421"/>
      <c r="K22" s="1579" t="str">
        <f>IF(C22="","",IF(J22=0,IF(I22=0,0,1),((I22-J22)/J22)))</f>
        <v/>
      </c>
      <c r="L22" s="1422" t="str">
        <f>IF($C$21=0,"",
IF(C22="","Skriv belopp eller 0 i kol. C",IF(AND(C22=0,J22&lt;&gt;0),"se frågan till höger",
IF(AND(ABS(I22-J22)&gt;100,OR(K22&gt;50%,K22&lt;-50%)),"Kommentera förändringen",
IF(OR(K22&gt;30%,K22&lt;-30%),"Kontrollera förändringen","")))))</f>
        <v/>
      </c>
      <c r="M22" s="3127" t="str">
        <f>"För minst en delv-ht inom v-het 569 redovisades kostnader föregående år men inte i år. Har kommunen inte verksamheten(-erna)? Lämna förklarande kommentar"</f>
        <v>För minst en delv-ht inom v-het 569 redovisades kostnader föregående år men inte i år. Har kommunen inte verksamheten(-erna)? Lämna förklarande kommentar</v>
      </c>
      <c r="N22" s="3128"/>
      <c r="O22" s="314"/>
      <c r="P22" s="3089"/>
      <c r="Q22" s="3081"/>
      <c r="R22" s="3082"/>
      <c r="S22" s="2158"/>
    </row>
    <row r="23" spans="1:19" s="316" customFormat="1">
      <c r="A23" s="1400">
        <v>557</v>
      </c>
      <c r="B23" s="2165" t="s">
        <v>179</v>
      </c>
      <c r="C23" s="56"/>
      <c r="D23" s="56"/>
      <c r="E23" s="56"/>
      <c r="F23" s="56"/>
      <c r="G23" s="56"/>
      <c r="H23" s="1432">
        <f t="shared" si="3"/>
        <v>0</v>
      </c>
      <c r="I23" s="1421">
        <f>IF(C23&gt;0,H23*1000/M21,0)</f>
        <v>0</v>
      </c>
      <c r="J23" s="1421"/>
      <c r="K23" s="1579" t="str">
        <f t="shared" ref="K23:K26" si="4">IF(C23="","",IF(J23=0,IF(I23=0,0,1),((I23-J23)/J23)))</f>
        <v/>
      </c>
      <c r="L23" s="1422" t="str">
        <f t="shared" ref="L23:L24" si="5">IF($C$21=0,"",
IF(C23="","Skriv belopp eller 0 i kol. C",IF(AND(C23=0,J23&lt;&gt;0),"se frågan till höger",
IF(AND(ABS(I23-J23)&gt;100,OR(K23&gt;50%,K23&lt;-50%)),"Kommentera förändringen",
IF(OR(K23&gt;30%,K23&lt;-30%),"Kontrollera förändringen","")))))</f>
        <v/>
      </c>
      <c r="M23" s="3129"/>
      <c r="N23" s="3128"/>
      <c r="O23" s="314"/>
      <c r="P23" s="3083"/>
      <c r="Q23" s="3109"/>
      <c r="R23" s="3085"/>
      <c r="S23" s="2158"/>
    </row>
    <row r="24" spans="1:19" s="316" customFormat="1">
      <c r="A24" s="1400">
        <v>5681</v>
      </c>
      <c r="B24" s="2165" t="s">
        <v>171</v>
      </c>
      <c r="C24" s="56"/>
      <c r="D24" s="56"/>
      <c r="E24" s="56"/>
      <c r="F24" s="56"/>
      <c r="G24" s="56"/>
      <c r="H24" s="1432">
        <f t="shared" si="3"/>
        <v>0</v>
      </c>
      <c r="I24" s="1421">
        <f>IF(C24&gt;0,H24*1000/M21,0)</f>
        <v>0</v>
      </c>
      <c r="J24" s="1421"/>
      <c r="K24" s="1579" t="str">
        <f t="shared" si="4"/>
        <v/>
      </c>
      <c r="L24" s="1422" t="str">
        <f t="shared" si="5"/>
        <v/>
      </c>
      <c r="M24" s="3129"/>
      <c r="N24" s="3128"/>
      <c r="O24" s="314"/>
      <c r="P24" s="3083"/>
      <c r="Q24" s="3109"/>
      <c r="R24" s="3085"/>
      <c r="S24" s="2158"/>
    </row>
    <row r="25" spans="1:19" s="316" customFormat="1">
      <c r="A25" s="1400">
        <v>5682</v>
      </c>
      <c r="B25" s="2165" t="s">
        <v>173</v>
      </c>
      <c r="C25" s="56"/>
      <c r="D25" s="56"/>
      <c r="E25" s="56"/>
      <c r="F25" s="56"/>
      <c r="G25" s="57"/>
      <c r="H25" s="1432">
        <f t="shared" si="3"/>
        <v>0</v>
      </c>
      <c r="I25" s="1421">
        <f>IF(C25&gt;0,H25*1000/M21,0)</f>
        <v>0</v>
      </c>
      <c r="J25" s="1421"/>
      <c r="K25" s="1579" t="str">
        <f>IF(C25="","",IF(J25=0,IF(I25=0,0,1),((I25-J25)/J25)))</f>
        <v/>
      </c>
      <c r="L25" s="1422" t="str">
        <f>IF($C$21=0,"",
IF(C25="","Skriv belopp eller 0 i kol. C",IF(AND(C25=0,J25&lt;&gt;0),"se frågan till höger",
IF(AND(ABS(I25-J25)&gt;100,OR(K25&gt;50%,K25&lt;-50%)),"Kommentera förändringen",
IF(OR(K25&gt;30%,K25&lt;-30%),"Kontrollera förändringen","")))))</f>
        <v/>
      </c>
      <c r="M25" s="3129"/>
      <c r="N25" s="3128"/>
      <c r="O25" s="314"/>
      <c r="P25" s="3086"/>
      <c r="Q25" s="3087"/>
      <c r="R25" s="3088"/>
      <c r="S25" s="2158"/>
    </row>
    <row r="26" spans="1:19" s="316" customFormat="1">
      <c r="A26" s="1401">
        <v>568</v>
      </c>
      <c r="B26" s="2166" t="s">
        <v>219</v>
      </c>
      <c r="C26" s="391">
        <f>SUM(C24:C25)</f>
        <v>0</v>
      </c>
      <c r="D26" s="391">
        <f>SUM(D24:D25)</f>
        <v>0</v>
      </c>
      <c r="E26" s="391">
        <f>SUM(E24:E25)</f>
        <v>0</v>
      </c>
      <c r="F26" s="391">
        <f>SUM(F24:F25)</f>
        <v>0</v>
      </c>
      <c r="G26" s="391">
        <f>SUM(G24:G25)</f>
        <v>0</v>
      </c>
      <c r="H26" s="1432">
        <f t="shared" si="3"/>
        <v>0</v>
      </c>
      <c r="I26" s="1421">
        <f>IF(C26&gt;0,H26*1000/M21,0)</f>
        <v>0</v>
      </c>
      <c r="J26" s="1421"/>
      <c r="K26" s="1579">
        <f t="shared" si="4"/>
        <v>0</v>
      </c>
      <c r="L26" s="1422" t="str">
        <f>IF(C21=0,"",
IF(AND(ABS(I25-J25)&gt;100,OR(K25&gt;50%,K25&lt;-50%)),"Kommentera förändringen",
IF(OR(K25&gt;30%,K25&lt;-30%),"Kontrollera förändringen","")))</f>
        <v/>
      </c>
      <c r="M26" s="3129"/>
      <c r="N26" s="3128"/>
      <c r="O26" s="314"/>
      <c r="P26" s="2158"/>
      <c r="Q26" s="2158"/>
      <c r="R26" s="2158"/>
      <c r="S26" s="2158"/>
    </row>
    <row r="27" spans="1:19" s="316" customFormat="1">
      <c r="A27" s="1401">
        <v>56999</v>
      </c>
      <c r="B27" s="2160" t="s">
        <v>180</v>
      </c>
      <c r="C27" s="391">
        <f>SUM(C22+C23+C24+C25)</f>
        <v>0</v>
      </c>
      <c r="D27" s="391">
        <f>SUM(D22+D23+D24+D25)</f>
        <v>0</v>
      </c>
      <c r="E27" s="391">
        <f>SUM(E22+E23+E24+E25)</f>
        <v>0</v>
      </c>
      <c r="F27" s="391">
        <f>SUM(F22+F23+F24+F25)</f>
        <v>0</v>
      </c>
      <c r="G27" s="391">
        <f>SUM(G22+G23+G24+G25)</f>
        <v>0</v>
      </c>
      <c r="H27" s="1425"/>
      <c r="I27" s="1426"/>
      <c r="J27" s="1426"/>
      <c r="K27" s="1426"/>
      <c r="L27" s="1427"/>
      <c r="M27" s="3129"/>
      <c r="N27" s="3128"/>
      <c r="O27" s="314"/>
      <c r="P27" s="2158"/>
      <c r="Q27" s="2158"/>
      <c r="R27" s="2158"/>
      <c r="S27" s="2158"/>
    </row>
    <row r="28" spans="1:19" s="316" customFormat="1" ht="13" thickBot="1">
      <c r="A28" s="1402"/>
      <c r="B28" s="2167" t="s">
        <v>576</v>
      </c>
      <c r="C28" s="392">
        <f>C21-C27</f>
        <v>0</v>
      </c>
      <c r="D28" s="392">
        <f>D21-D27</f>
        <v>0</v>
      </c>
      <c r="E28" s="392">
        <f>E21-E27</f>
        <v>0</v>
      </c>
      <c r="F28" s="392">
        <f>F21-F27</f>
        <v>0</v>
      </c>
      <c r="G28" s="392">
        <f>G21-G27</f>
        <v>0</v>
      </c>
      <c r="H28" s="1428"/>
      <c r="I28" s="1429"/>
      <c r="J28" s="1429"/>
      <c r="K28" s="1429"/>
      <c r="L28" s="1436" t="str">
        <f>IF(OR(C28&gt;10,C28&lt;-10),"Diff Bruttokostnad",IF(OR(D28&gt;10,D28&lt;-10),"Diff därav personalkostnader",IF(OR(E28&gt;10,E28&lt;-10),"Diff Därav köp av huvudverksamhet",IF(OR(F28&gt;10,F28&lt;-10),"Diff Interna intäkter",IF(OR(G28&gt;10,G28&lt;-10),"Diff Försäljning av verksamhet","")))))</f>
        <v/>
      </c>
      <c r="M28" s="3131"/>
      <c r="N28" s="3132"/>
      <c r="O28" s="314"/>
      <c r="P28" s="2158"/>
      <c r="Q28" s="2158"/>
      <c r="R28" s="2158"/>
      <c r="S28" s="2158"/>
    </row>
    <row r="29" spans="1:19" s="316" customFormat="1">
      <c r="A29" s="1400">
        <v>571</v>
      </c>
      <c r="B29" s="2165" t="s">
        <v>181</v>
      </c>
      <c r="C29" s="2163">
        <f>Drift!P81</f>
        <v>0</v>
      </c>
      <c r="D29" s="2486">
        <f>SUM(Drift!C81:D81)</f>
        <v>0</v>
      </c>
      <c r="E29" s="2163">
        <f>Drift!F81</f>
        <v>0</v>
      </c>
      <c r="F29" s="2163">
        <f>Drift!V81</f>
        <v>0</v>
      </c>
      <c r="G29" s="56"/>
      <c r="H29" s="1432">
        <f t="shared" ref="H29:H34" si="6">C29-F29-G29</f>
        <v>0</v>
      </c>
      <c r="I29" s="1421">
        <f>IF(C29&gt;0,H29*1000/M12,0)</f>
        <v>0</v>
      </c>
      <c r="J29" s="1421"/>
      <c r="K29" s="1580" t="str">
        <f>IF(C29=0,"",IF(J29=0,IF(I29=0,0,1),((I29-J29)/J29)))</f>
        <v/>
      </c>
      <c r="L29" s="1433" t="str">
        <f>IF(C29=0,"Belopp saknas",IF(G29&gt;Drift!T81,"Förs.av vhet kan inte vara större än ext. Int. i Driften för rad 571",""))</f>
        <v>Belopp saknas</v>
      </c>
      <c r="M29" s="1437"/>
      <c r="N29" s="2677"/>
      <c r="O29" s="314"/>
      <c r="P29" s="2157" t="s">
        <v>600</v>
      </c>
      <c r="Q29" s="2158"/>
      <c r="R29" s="2158"/>
      <c r="S29" s="2158"/>
    </row>
    <row r="30" spans="1:19" s="316" customFormat="1">
      <c r="A30" s="1400">
        <v>575</v>
      </c>
      <c r="B30" s="2165" t="s">
        <v>114</v>
      </c>
      <c r="C30" s="2144">
        <f>Drift!P82</f>
        <v>0</v>
      </c>
      <c r="D30" s="2487">
        <f>SUM(Drift!C82:D82)</f>
        <v>0</v>
      </c>
      <c r="E30" s="2144">
        <f>Drift!F82</f>
        <v>0</v>
      </c>
      <c r="F30" s="2144">
        <f>Drift!V82</f>
        <v>0</v>
      </c>
      <c r="G30" s="56"/>
      <c r="H30" s="1432">
        <f t="shared" si="6"/>
        <v>0</v>
      </c>
      <c r="I30" s="1421">
        <f>IF(C30&gt;0,H30*1000/M30,0)</f>
        <v>0</v>
      </c>
      <c r="J30" s="1421"/>
      <c r="K30" s="1579" t="str">
        <f>IF(C30=0,"",IF(J30=0,IF(I30=0,0,1),((I30-J30)/J30)))</f>
        <v/>
      </c>
      <c r="L30" s="1422" t="str">
        <f>IF(C30=0,"Belopp saknas",
IF(G30&gt;Drift!T82,"Förs.av vhet kan inte vara större än ext.int.i Driften för rad 575",
IF(AND(ABS(I30-J30)&gt;100,OR(K30&gt;30%,K30&lt;-30%)),"Kommentera förändringen",
IF(OR(K30&gt;20%,K30&lt;-20%),"Kontrollera förändringen",""))))</f>
        <v>Belopp saknas</v>
      </c>
      <c r="M30" s="1438"/>
      <c r="N30" s="1439" t="s">
        <v>579</v>
      </c>
      <c r="O30" s="314"/>
      <c r="P30" s="2952"/>
      <c r="Q30" s="3081"/>
      <c r="R30" s="3082"/>
      <c r="S30" s="2158"/>
    </row>
    <row r="31" spans="1:19" s="316" customFormat="1" ht="13" thickBot="1">
      <c r="A31" s="1404">
        <v>580</v>
      </c>
      <c r="B31" s="2168" t="s">
        <v>185</v>
      </c>
      <c r="C31" s="87">
        <f>C12+C21+C29+C30</f>
        <v>0</v>
      </c>
      <c r="D31" s="87">
        <f>D12+D21+D29+D30</f>
        <v>0</v>
      </c>
      <c r="E31" s="87">
        <f>E12+E21+E29+E30</f>
        <v>0</v>
      </c>
      <c r="F31" s="87">
        <f>F12+F21+F29+F30</f>
        <v>0</v>
      </c>
      <c r="G31" s="87">
        <f>G12+G21+G29+G30</f>
        <v>0</v>
      </c>
      <c r="H31" s="1440">
        <f t="shared" si="6"/>
        <v>0</v>
      </c>
      <c r="I31" s="1441">
        <f>IF(C31&gt;0,H31*1000/M30,0)</f>
        <v>0</v>
      </c>
      <c r="J31" s="1441"/>
      <c r="K31" s="1581" t="str">
        <f>IF(C31=0,"",IF(J31=0,IF(I31=0,0,1),((I31-J31)/J31)))</f>
        <v/>
      </c>
      <c r="L31" s="1442"/>
      <c r="M31" s="1443"/>
      <c r="N31" s="1444"/>
      <c r="O31" s="314"/>
      <c r="P31" s="3086"/>
      <c r="Q31" s="3087"/>
      <c r="R31" s="3088"/>
      <c r="S31" s="2158"/>
    </row>
    <row r="32" spans="1:19" s="316" customFormat="1">
      <c r="A32" s="1401">
        <v>585</v>
      </c>
      <c r="B32" s="2166" t="s">
        <v>540</v>
      </c>
      <c r="C32" s="2144">
        <f>Drift!P84</f>
        <v>0</v>
      </c>
      <c r="D32" s="2487">
        <f>SUM(Drift!C84:D84)</f>
        <v>0</v>
      </c>
      <c r="E32" s="2144">
        <f>Drift!F84</f>
        <v>0</v>
      </c>
      <c r="F32" s="2144">
        <f>Drift!V84</f>
        <v>0</v>
      </c>
      <c r="G32" s="391">
        <f>SUM(G33:G34)</f>
        <v>0</v>
      </c>
      <c r="H32" s="1432">
        <f t="shared" si="6"/>
        <v>0</v>
      </c>
      <c r="I32" s="1421">
        <f>IF(C32&gt;0,H32*1000/M32,0)</f>
        <v>0</v>
      </c>
      <c r="J32" s="1421"/>
      <c r="K32" s="1579" t="str">
        <f>IF(C32=0,"",IF(J32=0,IF(I32=0,0,1),((I32-J32)/J32)))</f>
        <v/>
      </c>
      <c r="L32" s="1422" t="str">
        <f>IF(C32=0,"Belopp saknas",
IF(G32&gt;Drift!T84,"Förs.av vhet kan inte vara större än ext. Int. i Driften för rad 585",
IF(AND(ABS(I32-J32)&gt;100,OR(K32&gt;50%,K32&lt;-50%)),"Kommentera förändringen",
IF(OR(K32&gt;30%,K32&lt;-30%),"Kontrollera förändringen",""))))</f>
        <v>Belopp saknas</v>
      </c>
      <c r="M32" s="1434"/>
      <c r="N32" s="1445" t="s">
        <v>580</v>
      </c>
      <c r="O32" s="314"/>
      <c r="P32" s="2157" t="s">
        <v>601</v>
      </c>
      <c r="Q32" s="2158"/>
      <c r="R32" s="2158"/>
      <c r="S32" s="2158"/>
    </row>
    <row r="33" spans="1:19" s="316" customFormat="1">
      <c r="A33" s="1400">
        <v>5851</v>
      </c>
      <c r="B33" s="2165" t="s">
        <v>182</v>
      </c>
      <c r="C33" s="56"/>
      <c r="D33" s="56"/>
      <c r="E33" s="56"/>
      <c r="F33" s="56"/>
      <c r="G33" s="56"/>
      <c r="H33" s="1432">
        <f t="shared" si="6"/>
        <v>0</v>
      </c>
      <c r="I33" s="1421">
        <f>IF(C33&gt;0,H33*1000/M33,0)</f>
        <v>0</v>
      </c>
      <c r="J33" s="1421"/>
      <c r="K33" s="1579" t="str">
        <f>IF(C33="","",IF(J33=0,IF(I33=0,0,1),((I33-J33)/J33)))</f>
        <v/>
      </c>
      <c r="L33" s="1422" t="str">
        <f>IF(C32=0,"",
IF(C33="","Skriv belopp eller 0 i kol. C",
IF(AND(ABS(I33-J33)&gt;100,OR(K33&gt;50%,K33&lt;-50%)),"Kommentera förändringen",
IF(OR(K33&gt;30%,K33&lt;-30%),"Kontrollera förändringen",""))))</f>
        <v/>
      </c>
      <c r="M33" s="1434">
        <f>M32</f>
        <v>0</v>
      </c>
      <c r="N33" s="1445" t="s">
        <v>580</v>
      </c>
      <c r="O33" s="314"/>
      <c r="P33" s="3089"/>
      <c r="Q33" s="3081"/>
      <c r="R33" s="3082"/>
      <c r="S33" s="2158"/>
    </row>
    <row r="34" spans="1:19" s="316" customFormat="1">
      <c r="A34" s="1400">
        <v>5855</v>
      </c>
      <c r="B34" s="2165" t="s">
        <v>183</v>
      </c>
      <c r="C34" s="56"/>
      <c r="D34" s="56"/>
      <c r="E34" s="56"/>
      <c r="F34" s="56"/>
      <c r="G34" s="56"/>
      <c r="H34" s="1432">
        <f t="shared" si="6"/>
        <v>0</v>
      </c>
      <c r="I34" s="1421">
        <f>IF(C34&gt;0,H34*1000/M34,0)</f>
        <v>0</v>
      </c>
      <c r="J34" s="1421"/>
      <c r="K34" s="1579" t="str">
        <f>IF(C34="","",IF(J34=0,IF(I34=0,0,1),((I34-J34)/J34)))</f>
        <v/>
      </c>
      <c r="L34" s="1422" t="str">
        <f>IF(C32=0,"",
IF(C34="","Skriv belopp eller 0 i kol. C",
IF(AND(ABS(I34-J34)&gt;100,OR(K34&gt;50%,K34&lt;-50%)),"Kommentera förändringen",
IF(OR(K34&gt;40%,K34&lt;-40%),"Kontrollera förändringen",""))))</f>
        <v/>
      </c>
      <c r="M34" s="1434"/>
      <c r="N34" s="1445" t="s">
        <v>581</v>
      </c>
      <c r="O34" s="314"/>
      <c r="P34" s="3083"/>
      <c r="Q34" s="3109"/>
      <c r="R34" s="3085"/>
      <c r="S34" s="2158"/>
    </row>
    <row r="35" spans="1:19" s="316" customFormat="1" ht="15" customHeight="1">
      <c r="A35" s="1405">
        <v>58599</v>
      </c>
      <c r="B35" s="2169" t="s">
        <v>577</v>
      </c>
      <c r="C35" s="391">
        <f>SUM(C33:C34)</f>
        <v>0</v>
      </c>
      <c r="D35" s="391">
        <f>SUM(D33:D34)</f>
        <v>0</v>
      </c>
      <c r="E35" s="391">
        <f>SUM(E33:E34)</f>
        <v>0</v>
      </c>
      <c r="F35" s="391">
        <f>SUM(F33:F34)</f>
        <v>0</v>
      </c>
      <c r="G35" s="391">
        <f>SUM(G33:G34)</f>
        <v>0</v>
      </c>
      <c r="H35" s="1446"/>
      <c r="I35" s="1447"/>
      <c r="J35" s="1447"/>
      <c r="K35" s="1579"/>
      <c r="L35" s="2315" t="str">
        <f>IF(SUM(D33+E33)&gt;C33,"Kol.D+E därav &gt; total, rad 5851",IF(SUM(D34+E34)&gt;C34,"Kol.D+E därav &gt; total, rad 5855",""))</f>
        <v/>
      </c>
      <c r="M35" s="2380"/>
      <c r="N35" s="2381"/>
      <c r="O35" s="314"/>
      <c r="P35" s="3083"/>
      <c r="Q35" s="3109"/>
      <c r="R35" s="3085"/>
      <c r="S35" s="187"/>
    </row>
    <row r="36" spans="1:19" s="316" customFormat="1" ht="15" customHeight="1" thickBot="1">
      <c r="A36" s="1250"/>
      <c r="B36" s="2167" t="s">
        <v>184</v>
      </c>
      <c r="C36" s="392">
        <f>C32-C35</f>
        <v>0</v>
      </c>
      <c r="D36" s="392">
        <f>D32-D35</f>
        <v>0</v>
      </c>
      <c r="E36" s="392">
        <f>E32-E35</f>
        <v>0</v>
      </c>
      <c r="F36" s="392">
        <f>F32-F35</f>
        <v>0</v>
      </c>
      <c r="G36" s="392">
        <f>G32-G35</f>
        <v>0</v>
      </c>
      <c r="H36" s="1448"/>
      <c r="I36" s="1449"/>
      <c r="J36" s="1449"/>
      <c r="K36" s="1581"/>
      <c r="L36" s="1450" t="str">
        <f>IF(OR(C36&gt;10,C36&lt;-10),"Diff Bruttokostnad",IF(OR(D36&gt;10,D36&lt;-10),"Diff Därav personalkostnader",IF(OR(E36&gt;10,E36&lt;-10),"Diff Därav köp av huvudverksamhet",IF(OR(F36&gt;10,F36&lt;-10),"Diff Interna intäkter",""))))</f>
        <v/>
      </c>
      <c r="M36" s="2382"/>
      <c r="N36" s="2383"/>
      <c r="O36" s="314"/>
      <c r="P36" s="3086"/>
      <c r="Q36" s="3087"/>
      <c r="R36" s="3088"/>
      <c r="S36" s="187"/>
    </row>
    <row r="37" spans="1:19" s="316" customFormat="1" ht="16.5" customHeight="1">
      <c r="A37" s="2170"/>
      <c r="B37" s="2170"/>
      <c r="C37" s="79"/>
      <c r="D37" s="79"/>
      <c r="E37" s="79"/>
      <c r="F37" s="1532"/>
      <c r="G37" s="2443" t="str">
        <f>IF(ABS(SUM(G29:G30,G32)-(SUM(Motpart!Y37:Z37)))&gt;20,ROUND(SUM(G29:G30,G32)-SUM(Motpart!Y37:Z37),0)&amp; " tkr differens försäljning av verksamhet rad 571+575+585 mot belopp i Motpartsfliken rad 580 kol Y+Z","")</f>
        <v/>
      </c>
      <c r="H37" s="314"/>
      <c r="I37" s="2171"/>
      <c r="J37" s="2171"/>
      <c r="K37" s="2171"/>
      <c r="L37" s="314"/>
      <c r="M37" s="314"/>
      <c r="N37" s="314"/>
      <c r="O37" s="314"/>
    </row>
    <row r="38" spans="1:19" ht="20.25" customHeight="1">
      <c r="A38" s="1492"/>
      <c r="D38" s="79"/>
      <c r="E38" s="79"/>
    </row>
  </sheetData>
  <customSheetViews>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1"/>
      <headerFooter alignWithMargins="0">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3"/>
      <headerFooter>
        <oddHeader>&amp;L&amp;8Statistiska Centralbyrån
Offentlig ekonomi&amp;R&amp;P</oddHeader>
      </headerFooter>
    </customSheetView>
  </customSheetViews>
  <mergeCells count="14">
    <mergeCell ref="P33:R36"/>
    <mergeCell ref="D6:D8"/>
    <mergeCell ref="E6:E8"/>
    <mergeCell ref="F6:F8"/>
    <mergeCell ref="G6:G8"/>
    <mergeCell ref="K4:K6"/>
    <mergeCell ref="D9:D11"/>
    <mergeCell ref="P13:R16"/>
    <mergeCell ref="P22:R25"/>
    <mergeCell ref="P30:R31"/>
    <mergeCell ref="M13:N19"/>
    <mergeCell ref="M22:N28"/>
    <mergeCell ref="L6:L8"/>
    <mergeCell ref="L9:L11"/>
  </mergeCells>
  <phoneticPr fontId="96" type="noConversion"/>
  <conditionalFormatting sqref="B20 B28 B36">
    <cfRule type="expression" dxfId="16" priority="125" stopIfTrue="1">
      <formula>OR(G20&gt;10,G20&lt;-10)</formula>
    </cfRule>
    <cfRule type="expression" dxfId="15" priority="126" stopIfTrue="1">
      <formula>OR(F20&gt;10,F20&lt;-10)</formula>
    </cfRule>
    <cfRule type="expression" dxfId="14" priority="127" stopIfTrue="1">
      <formula>OR(C20&gt;10,C20&lt;-10)</formula>
    </cfRule>
  </conditionalFormatting>
  <conditionalFormatting sqref="C13:D13 F13 C14:G17 C22:D22 F22 C23:G25 G29:G30 C33:G34">
    <cfRule type="cellIs" dxfId="13" priority="41" stopIfTrue="1" operator="lessThan">
      <formula>-500</formula>
    </cfRule>
    <cfRule type="cellIs" dxfId="12" priority="42" stopIfTrue="1" operator="lessThan">
      <formula>0</formula>
    </cfRule>
  </conditionalFormatting>
  <conditionalFormatting sqref="K18">
    <cfRule type="expression" dxfId="11" priority="2">
      <formula>AND($I$18=0,$J$18=0)</formula>
    </cfRule>
  </conditionalFormatting>
  <conditionalFormatting sqref="K26">
    <cfRule type="expression" dxfId="10" priority="1">
      <formula>AND($I$26=0,$J$26=0)</formula>
    </cfRule>
  </conditionalFormatting>
  <conditionalFormatting sqref="M13:N19">
    <cfRule type="expression" dxfId="9" priority="14">
      <formula>IF(C12=0,"",IF(C17&gt;1,"",IF(H17=0,J17&lt;&gt;0)))</formula>
    </cfRule>
    <cfRule type="expression" dxfId="8" priority="15">
      <formula>IF(C12=0,"",IF(C16&gt;1,"",IF(H16=0,J16&lt;&gt;0)))</formula>
    </cfRule>
    <cfRule type="expression" dxfId="7" priority="16">
      <formula>IF(C12=0,"",IF(C15&gt;1,"",IF(H15=0,J15&lt;&gt;0)))</formula>
    </cfRule>
    <cfRule type="expression" dxfId="6" priority="17">
      <formula>IF(C12=0,"",IF(C14&gt;1,"",IF(H14=0,J14&lt;&gt;0)))</formula>
    </cfRule>
    <cfRule type="expression" dxfId="5" priority="18">
      <formula>IF(C12=0,"",IF(C13&gt;1,"",IF(H13=0,J13&lt;&gt;0)))</formula>
    </cfRule>
  </conditionalFormatting>
  <conditionalFormatting sqref="M22:N28">
    <cfRule type="expression" dxfId="4" priority="8">
      <formula>IF(C21=0,"",IF(C26&gt;1,"",IF(H26=0,J26&lt;&gt;0)))</formula>
    </cfRule>
    <cfRule type="expression" dxfId="3" priority="9">
      <formula>IF(C21=0,"",IF(C25&gt;1,"",IF(H25=0,J25&lt;&gt;0)))</formula>
    </cfRule>
    <cfRule type="expression" dxfId="2" priority="10">
      <formula>IF(C21=0,"",IF(C24&gt;1,"",IF(H24=0,J24&lt;&gt;0)))</formula>
    </cfRule>
    <cfRule type="expression" dxfId="1" priority="11">
      <formula>IF(C21=0,"",IF(C23&gt;1,"",IF(H23=0,J23&lt;&gt;0)))</formula>
    </cfRule>
    <cfRule type="expression" dxfId="0" priority="12">
      <formula>IF(C21=0,"",IF(C22&gt;1,"",IF(H22=0,J22&lt;&gt;0)))</formula>
    </cfRule>
  </conditionalFormatting>
  <dataValidations count="1">
    <dataValidation type="decimal" operator="lessThan" allowBlank="1" showInputMessage="1" showErrorMessage="1" error="Beloppet ska vara i 1000 tal kronor" sqref="G14:G17 G23:G25 G29:G30 C33:G34 E14:E17 C13:D17 F13:F17 C22:D25 F22:F25 E23:E25" xr:uid="{00000000-0002-0000-0A00-000000000000}">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ignoredErrors>
    <ignoredError sqref="G32 F35:G35 C35" unlockedFormula="1"/>
    <ignoredError sqref="I31" formula="1"/>
  </ignoredErrors>
  <drawing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tabColor rgb="FFFFFF00"/>
  </sheetPr>
  <dimension ref="A1:G461"/>
  <sheetViews>
    <sheetView showGridLines="0" zoomScaleNormal="100" workbookViewId="0">
      <selection sqref="A1:F1"/>
    </sheetView>
  </sheetViews>
  <sheetFormatPr defaultColWidth="0" defaultRowHeight="12.5" zeroHeight="1"/>
  <cols>
    <col min="1" max="1" width="34.54296875" customWidth="1"/>
    <col min="2" max="2" width="11.453125" customWidth="1"/>
    <col min="3" max="3" width="12.453125" customWidth="1"/>
    <col min="4" max="4" width="12.54296875" customWidth="1"/>
    <col min="5" max="5" width="17.54296875" customWidth="1"/>
    <col min="6" max="6" width="27.54296875" style="645" customWidth="1"/>
    <col min="7" max="7" width="20.54296875" hidden="1" customWidth="1"/>
  </cols>
  <sheetData>
    <row r="1" spans="1:7" ht="27.75" customHeight="1">
      <c r="A1" s="3148" t="s">
        <v>1481</v>
      </c>
      <c r="B1" s="3149"/>
      <c r="C1" s="3149"/>
      <c r="D1" s="3149"/>
      <c r="E1" s="3149"/>
      <c r="F1" s="3149"/>
    </row>
    <row r="2" spans="1:7" ht="35.25" customHeight="1">
      <c r="A2" s="2393" t="s">
        <v>989</v>
      </c>
      <c r="B2" s="1487"/>
      <c r="C2" s="1487"/>
      <c r="D2" s="1487"/>
      <c r="E2" s="1487"/>
      <c r="F2" s="1487"/>
      <c r="G2" s="4"/>
    </row>
    <row r="3" spans="1:7">
      <c r="A3" s="327" t="s">
        <v>1583</v>
      </c>
      <c r="B3" s="328"/>
      <c r="C3" s="329"/>
      <c r="D3" s="330"/>
      <c r="E3" s="331"/>
      <c r="F3" s="647"/>
      <c r="G3" s="395"/>
    </row>
    <row r="4" spans="1:7">
      <c r="A4" s="331" t="s">
        <v>561</v>
      </c>
      <c r="B4" s="330"/>
      <c r="C4" s="329"/>
      <c r="D4" s="330"/>
      <c r="E4" s="331" t="s">
        <v>567</v>
      </c>
      <c r="F4" s="647"/>
      <c r="G4" s="395"/>
    </row>
    <row r="5" spans="1:7">
      <c r="A5" s="333" t="s">
        <v>383</v>
      </c>
      <c r="B5" s="335">
        <f>Drift!C113</f>
        <v>0</v>
      </c>
      <c r="C5" s="367" t="s">
        <v>564</v>
      </c>
      <c r="D5" s="2348">
        <f>'Verks int o kostn'!D45</f>
        <v>0</v>
      </c>
      <c r="E5" s="333" t="s">
        <v>562</v>
      </c>
      <c r="F5" s="648"/>
      <c r="G5" s="395"/>
    </row>
    <row r="6" spans="1:7">
      <c r="A6" s="333" t="s">
        <v>1574</v>
      </c>
      <c r="B6" s="335">
        <f>Drift!P118</f>
        <v>0</v>
      </c>
      <c r="C6" s="367"/>
      <c r="D6" s="2348">
        <f>'Verks int o kostn'!D46</f>
        <v>0</v>
      </c>
      <c r="E6" s="333" t="s">
        <v>1575</v>
      </c>
      <c r="F6" s="648"/>
      <c r="G6" s="395"/>
    </row>
    <row r="7" spans="1:7">
      <c r="A7" s="333" t="s">
        <v>1576</v>
      </c>
      <c r="B7" s="335">
        <f>Drift!P119</f>
        <v>0</v>
      </c>
      <c r="C7" s="367"/>
      <c r="D7" s="2348">
        <f>'Verks int o kostn'!D47</f>
        <v>0</v>
      </c>
      <c r="E7" s="333" t="s">
        <v>1572</v>
      </c>
      <c r="F7" s="648"/>
      <c r="G7" s="395"/>
    </row>
    <row r="8" spans="1:7">
      <c r="A8" s="333"/>
      <c r="B8" s="335"/>
      <c r="C8" s="367"/>
      <c r="D8" s="2348">
        <f>'Verks int o kostn'!D48</f>
        <v>0</v>
      </c>
      <c r="E8" s="1676" t="s">
        <v>1837</v>
      </c>
      <c r="F8" s="648"/>
      <c r="G8" s="395"/>
    </row>
    <row r="9" spans="1:7">
      <c r="A9" s="333"/>
      <c r="B9" s="335"/>
      <c r="C9" s="367"/>
      <c r="D9" s="2348">
        <f>'Verks int o kostn'!D49</f>
        <v>0</v>
      </c>
      <c r="E9" s="333" t="s">
        <v>1577</v>
      </c>
      <c r="F9" s="648"/>
      <c r="G9" s="395"/>
    </row>
    <row r="10" spans="1:7">
      <c r="A10" s="333"/>
      <c r="B10" s="335"/>
      <c r="C10" s="367"/>
      <c r="D10" s="2348">
        <f>'Verks int o kostn'!D50</f>
        <v>0</v>
      </c>
      <c r="E10" s="333" t="s">
        <v>1578</v>
      </c>
      <c r="F10" s="648"/>
      <c r="G10" s="395"/>
    </row>
    <row r="11" spans="1:7">
      <c r="A11" s="333"/>
      <c r="B11" s="335"/>
      <c r="C11" s="367"/>
      <c r="D11" s="2348">
        <f>'Verks int o kostn'!D51</f>
        <v>0</v>
      </c>
      <c r="E11" s="333" t="s">
        <v>1579</v>
      </c>
      <c r="F11" s="648"/>
      <c r="G11" s="395"/>
    </row>
    <row r="12" spans="1:7">
      <c r="A12" s="333"/>
      <c r="B12" s="335"/>
      <c r="C12" s="367"/>
      <c r="D12" s="2348">
        <f>'Verks int o kostn'!D52</f>
        <v>0</v>
      </c>
      <c r="E12" s="333" t="s">
        <v>1581</v>
      </c>
      <c r="F12" s="648"/>
      <c r="G12" s="395"/>
    </row>
    <row r="13" spans="1:7">
      <c r="A13" s="654"/>
      <c r="B13" s="335"/>
      <c r="C13" s="336"/>
      <c r="D13" s="2348">
        <f>'Verks int o kostn'!D53</f>
        <v>0</v>
      </c>
      <c r="E13" s="333" t="s">
        <v>1580</v>
      </c>
      <c r="G13" s="395"/>
    </row>
    <row r="14" spans="1:7">
      <c r="A14" s="333"/>
      <c r="B14" s="2547">
        <f>SUM(B5:B7)</f>
        <v>0</v>
      </c>
      <c r="C14" s="367"/>
      <c r="D14" s="2547">
        <f>SUM(D5:D13)</f>
        <v>0</v>
      </c>
      <c r="E14" s="335" t="str">
        <f>IF((F14&lt;&gt;"Kontrollera differensen"),"",(B14-D14))</f>
        <v/>
      </c>
      <c r="F14" s="649" t="str">
        <f>IF(AND(B14=0,D14=0),"",IF(OR(B14=0,D14=0),"Kontrollera differensen",IF(OR(AND(ABS((B14-D14)/D14)&gt;5%),ABS(B14-D14)&gt;100),"Kontrollera differensen","")))</f>
        <v/>
      </c>
      <c r="G14" s="395"/>
    </row>
    <row r="15" spans="1:7">
      <c r="A15" s="333" t="s">
        <v>620</v>
      </c>
      <c r="B15" s="335"/>
      <c r="C15" s="367"/>
      <c r="D15" s="333"/>
      <c r="E15" s="335"/>
      <c r="F15" s="650"/>
      <c r="G15" s="395"/>
    </row>
    <row r="16" spans="1:7">
      <c r="A16" s="3139"/>
      <c r="B16" s="3134"/>
      <c r="C16" s="3134"/>
      <c r="D16" s="3134"/>
      <c r="E16" s="3135"/>
      <c r="F16" s="650"/>
      <c r="G16" s="395"/>
    </row>
    <row r="17" spans="1:7" ht="29.25" customHeight="1">
      <c r="A17" s="3083"/>
      <c r="B17" s="3109"/>
      <c r="C17" s="3109"/>
      <c r="D17" s="3109"/>
      <c r="E17" s="3085"/>
      <c r="F17" s="650"/>
      <c r="G17" s="395"/>
    </row>
    <row r="18" spans="1:7">
      <c r="A18" s="353" t="s">
        <v>1573</v>
      </c>
      <c r="B18" s="354"/>
      <c r="C18" s="355"/>
      <c r="D18" s="356"/>
      <c r="E18" s="357"/>
      <c r="F18" s="650"/>
      <c r="G18" s="395"/>
    </row>
    <row r="19" spans="1:7">
      <c r="A19" s="331" t="s">
        <v>561</v>
      </c>
      <c r="B19" s="330"/>
      <c r="C19" s="329"/>
      <c r="D19" s="330"/>
      <c r="E19" s="331" t="s">
        <v>568</v>
      </c>
      <c r="F19" s="650"/>
      <c r="G19" s="395"/>
    </row>
    <row r="20" spans="1:7">
      <c r="A20" s="333" t="s">
        <v>384</v>
      </c>
      <c r="B20" s="335">
        <f>Drift!E113</f>
        <v>0</v>
      </c>
      <c r="C20" s="340"/>
      <c r="D20" s="335">
        <f>'Verks int o kostn'!D59</f>
        <v>0</v>
      </c>
      <c r="E20" s="333" t="s">
        <v>569</v>
      </c>
      <c r="F20" s="650"/>
      <c r="G20" s="395"/>
    </row>
    <row r="21" spans="1:7" ht="15" customHeight="1">
      <c r="A21" s="333"/>
      <c r="B21" s="339"/>
      <c r="C21" s="340"/>
      <c r="D21" s="341">
        <f>'Verks int o kostn'!D60</f>
        <v>0</v>
      </c>
      <c r="E21" s="1676" t="s">
        <v>1081</v>
      </c>
      <c r="F21" s="648"/>
      <c r="G21" s="332"/>
    </row>
    <row r="22" spans="1:7" ht="15" customHeight="1">
      <c r="A22" s="333"/>
      <c r="B22" s="339"/>
      <c r="C22" s="340"/>
      <c r="D22" s="394"/>
      <c r="E22" s="1676"/>
      <c r="F22" s="648"/>
      <c r="G22" s="332"/>
    </row>
    <row r="23" spans="1:7" ht="15" customHeight="1">
      <c r="A23" s="334"/>
      <c r="B23" s="369"/>
      <c r="C23" s="336" t="s">
        <v>564</v>
      </c>
      <c r="D23" s="2043">
        <f>-'Verks int o kostn'!I59</f>
        <v>0</v>
      </c>
      <c r="E23" s="1676" t="s">
        <v>1314</v>
      </c>
      <c r="G23" s="338">
        <v>11</v>
      </c>
    </row>
    <row r="24" spans="1:7">
      <c r="A24" s="334"/>
      <c r="B24" s="393">
        <f>SUM(B20:B22)</f>
        <v>0</v>
      </c>
      <c r="C24" s="336"/>
      <c r="D24" s="349">
        <f>SUM(D20:D23)</f>
        <v>0</v>
      </c>
      <c r="E24" s="337" t="str">
        <f>IF((F25&lt;&gt;"Kontrollera differensen"),"","Differens:")</f>
        <v/>
      </c>
      <c r="G24" s="338">
        <v>21</v>
      </c>
    </row>
    <row r="25" spans="1:7">
      <c r="A25" s="334" t="s">
        <v>620</v>
      </c>
      <c r="B25" s="335"/>
      <c r="C25" s="336"/>
      <c r="D25" s="335"/>
      <c r="E25" s="337" t="str">
        <f>IF((F25&lt;&gt;"Kontrollera differensen"),"",(B24-D24))</f>
        <v/>
      </c>
      <c r="F25" s="649" t="str">
        <f>IF(AND(B24=0,D24=0),"",IF(OR(B24=0,D24=0),"Kontrollera differensen",IF(OR(AND(ABS((B24-D24)/D24)&gt;5%),ABS(B24-D24)&gt;100),"Kontrollera differensen","")))</f>
        <v/>
      </c>
      <c r="G25" s="338"/>
    </row>
    <row r="26" spans="1:7">
      <c r="A26" s="3139"/>
      <c r="B26" s="3134"/>
      <c r="C26" s="3134"/>
      <c r="D26" s="3134"/>
      <c r="E26" s="3135"/>
      <c r="F26" s="648"/>
      <c r="G26" s="338"/>
    </row>
    <row r="27" spans="1:7">
      <c r="A27" s="3083"/>
      <c r="B27" s="3109"/>
      <c r="C27" s="3109"/>
      <c r="D27" s="3109"/>
      <c r="E27" s="3085"/>
      <c r="F27" s="648"/>
      <c r="G27" s="338"/>
    </row>
    <row r="28" spans="1:7">
      <c r="A28" s="3136"/>
      <c r="B28" s="3137"/>
      <c r="C28" s="3137"/>
      <c r="D28" s="3137"/>
      <c r="E28" s="3138"/>
      <c r="F28" s="648"/>
      <c r="G28" s="338"/>
    </row>
    <row r="29" spans="1:7">
      <c r="A29" s="368" t="s">
        <v>412</v>
      </c>
      <c r="B29" s="354"/>
      <c r="C29" s="355"/>
      <c r="D29" s="356"/>
      <c r="E29" s="357"/>
      <c r="F29" s="646"/>
      <c r="G29" s="358"/>
    </row>
    <row r="30" spans="1:7">
      <c r="A30" s="331" t="s">
        <v>561</v>
      </c>
      <c r="B30" s="330"/>
      <c r="C30" s="329"/>
      <c r="D30" s="330"/>
      <c r="E30" s="331" t="s">
        <v>568</v>
      </c>
      <c r="F30" s="647"/>
      <c r="G30" s="332"/>
    </row>
    <row r="31" spans="1:7">
      <c r="A31" s="333" t="s">
        <v>1029</v>
      </c>
      <c r="B31" s="335">
        <f>Drift!F113</f>
        <v>0</v>
      </c>
      <c r="C31" s="336" t="s">
        <v>564</v>
      </c>
      <c r="D31" s="349">
        <f>'Verks int o kostn'!D61</f>
        <v>0</v>
      </c>
      <c r="E31" s="333" t="s">
        <v>1030</v>
      </c>
      <c r="F31" s="648"/>
      <c r="G31" s="332"/>
    </row>
    <row r="32" spans="1:7">
      <c r="A32" s="334"/>
      <c r="B32" s="4"/>
      <c r="C32" s="4"/>
      <c r="D32" s="4"/>
      <c r="E32" s="337" t="str">
        <f>IF((F33&lt;&gt;"Kontrollera differensen"),"","Differens:")</f>
        <v/>
      </c>
      <c r="G32" s="338">
        <v>11</v>
      </c>
    </row>
    <row r="33" spans="1:7">
      <c r="A33" s="334" t="s">
        <v>620</v>
      </c>
      <c r="B33" s="335"/>
      <c r="C33" s="336"/>
      <c r="D33" s="335"/>
      <c r="E33" s="337" t="str">
        <f>IF((F33&lt;&gt;"Kontrollera differensen"),"",(B31-D31))</f>
        <v/>
      </c>
      <c r="F33" s="649" t="str">
        <f>IF(AND(B31=0,D31=0),"",IF(OR(B31=0,D31=0),"Kontrollera differensen",IF(OR(AND(ABS((B31-D31)/D31)&gt;5%),ABS(B31-D31)&gt;100),"Kontrollera differensen","")))</f>
        <v/>
      </c>
      <c r="G33" s="338">
        <v>21</v>
      </c>
    </row>
    <row r="34" spans="1:7">
      <c r="A34" s="3139"/>
      <c r="B34" s="3134"/>
      <c r="C34" s="3134"/>
      <c r="D34" s="3134"/>
      <c r="E34" s="3135"/>
      <c r="F34" s="648"/>
      <c r="G34" s="338"/>
    </row>
    <row r="35" spans="1:7">
      <c r="A35" s="3083"/>
      <c r="B35" s="3109"/>
      <c r="C35" s="3109"/>
      <c r="D35" s="3109"/>
      <c r="E35" s="3085"/>
      <c r="F35" s="648"/>
      <c r="G35" s="338"/>
    </row>
    <row r="36" spans="1:7">
      <c r="A36" s="3136"/>
      <c r="B36" s="3137"/>
      <c r="C36" s="3137"/>
      <c r="D36" s="3137"/>
      <c r="E36" s="3138"/>
      <c r="G36" s="4"/>
    </row>
    <row r="37" spans="1:7" ht="18.75" customHeight="1">
      <c r="A37" s="353" t="s">
        <v>1430</v>
      </c>
      <c r="B37" s="354"/>
      <c r="C37" s="355"/>
      <c r="D37" s="356"/>
      <c r="E37" s="357"/>
      <c r="F37" s="646"/>
      <c r="G37" s="358"/>
    </row>
    <row r="38" spans="1:7">
      <c r="A38" s="331" t="s">
        <v>561</v>
      </c>
      <c r="B38" s="330"/>
      <c r="C38" s="329"/>
      <c r="D38" s="330"/>
      <c r="E38" s="331" t="s">
        <v>570</v>
      </c>
      <c r="F38" s="647"/>
      <c r="G38" s="332"/>
    </row>
    <row r="39" spans="1:7">
      <c r="A39" s="333" t="s">
        <v>385</v>
      </c>
      <c r="B39" s="335">
        <f>Drift!G113</f>
        <v>0</v>
      </c>
      <c r="C39" s="340"/>
      <c r="D39" s="335">
        <f>'Verks int o kostn'!D72</f>
        <v>0</v>
      </c>
      <c r="E39" s="333" t="s">
        <v>571</v>
      </c>
      <c r="F39" s="647"/>
      <c r="G39" s="332"/>
    </row>
    <row r="40" spans="1:7">
      <c r="A40" s="333"/>
      <c r="B40" s="339"/>
      <c r="C40" s="340"/>
      <c r="D40" s="335">
        <f>-'Verks int o kostn'!D68</f>
        <v>0</v>
      </c>
      <c r="E40" s="333" t="s">
        <v>376</v>
      </c>
      <c r="F40" s="647"/>
      <c r="G40" s="332"/>
    </row>
    <row r="41" spans="1:7">
      <c r="B41" s="335"/>
      <c r="C41" s="342"/>
      <c r="D41" s="1677">
        <f>-'Verks int o kostn'!D60</f>
        <v>0</v>
      </c>
      <c r="E41" s="1676" t="s">
        <v>1082</v>
      </c>
      <c r="F41" s="649"/>
      <c r="G41" s="332"/>
    </row>
    <row r="42" spans="1:7" ht="3" customHeight="1">
      <c r="A42" s="333"/>
      <c r="B42" s="339"/>
      <c r="C42" s="342"/>
      <c r="D42" s="1677"/>
      <c r="E42" s="1676"/>
      <c r="F42" s="649"/>
      <c r="G42" s="332"/>
    </row>
    <row r="43" spans="1:7">
      <c r="A43" s="333"/>
      <c r="B43" s="339"/>
      <c r="C43" s="342"/>
      <c r="D43" s="1677">
        <f>-'Verks int o kostn'!D61</f>
        <v>0</v>
      </c>
      <c r="E43" s="1676" t="s">
        <v>1031</v>
      </c>
      <c r="F43" s="649"/>
      <c r="G43" s="332"/>
    </row>
    <row r="44" spans="1:7" ht="4.5" customHeight="1">
      <c r="A44" s="333"/>
      <c r="B44" s="339"/>
      <c r="C44" s="342"/>
      <c r="D44" s="1677"/>
      <c r="E44" s="1676"/>
      <c r="F44" s="649"/>
      <c r="G44" s="332"/>
    </row>
    <row r="45" spans="1:7">
      <c r="A45" s="2340"/>
      <c r="B45" s="2341"/>
      <c r="C45" s="2342"/>
      <c r="D45" s="1677">
        <f>-'Verks int o kostn'!I71</f>
        <v>0</v>
      </c>
      <c r="E45" s="1676" t="s">
        <v>1841</v>
      </c>
      <c r="F45" s="649"/>
      <c r="G45" s="332"/>
    </row>
    <row r="46" spans="1:7">
      <c r="A46" s="2343"/>
      <c r="B46" s="2341"/>
      <c r="C46" s="2342"/>
      <c r="D46" s="1677">
        <f>-'Verks int o kostn'!I72</f>
        <v>0</v>
      </c>
      <c r="E46" s="1676" t="s">
        <v>378</v>
      </c>
      <c r="F46" s="649"/>
      <c r="G46" s="332"/>
    </row>
    <row r="47" spans="1:7" ht="12" customHeight="1">
      <c r="A47" s="2343"/>
      <c r="B47" s="2344"/>
      <c r="C47" s="2342"/>
      <c r="D47" s="1677"/>
      <c r="E47" s="1676"/>
      <c r="F47" s="649"/>
      <c r="G47" s="332"/>
    </row>
    <row r="48" spans="1:7">
      <c r="A48" s="334"/>
      <c r="B48" s="370"/>
      <c r="C48" s="396"/>
      <c r="D48" s="1678"/>
      <c r="E48" s="651"/>
      <c r="F48" s="651"/>
      <c r="G48" s="338">
        <v>22</v>
      </c>
    </row>
    <row r="49" spans="1:7">
      <c r="A49" s="334"/>
      <c r="B49" s="335">
        <f>SUM(B39:B41)</f>
        <v>0</v>
      </c>
      <c r="C49" s="336" t="s">
        <v>564</v>
      </c>
      <c r="D49" s="335">
        <f>SUM(D39:D46)</f>
        <v>0</v>
      </c>
      <c r="E49" s="337" t="str">
        <f>IF((F50&lt;&gt;"Kontrollera differensen"),"","Differens:")</f>
        <v/>
      </c>
      <c r="G49" s="338"/>
    </row>
    <row r="50" spans="1:7">
      <c r="A50" s="334" t="s">
        <v>620</v>
      </c>
      <c r="B50" s="335"/>
      <c r="C50" s="336"/>
      <c r="D50" s="335"/>
      <c r="E50" s="337" t="str">
        <f>IF((F50&lt;&gt;"Kontrollera differensen"),"",(B49-D49))</f>
        <v/>
      </c>
      <c r="F50" s="649" t="str">
        <f>IF(AND(B49=0,D49=0),"",IF(OR(B49=0,D49=0),"Kontrollera differensen",IF(OR(AND(ABS((B49-D49)/D49)&gt;5%),ABS(B49-D49)&gt;100),"Kontrollera differensen","")))</f>
        <v/>
      </c>
      <c r="G50" s="338"/>
    </row>
    <row r="51" spans="1:7">
      <c r="A51" s="3139"/>
      <c r="B51" s="3134"/>
      <c r="C51" s="3134"/>
      <c r="D51" s="3134"/>
      <c r="E51" s="3135"/>
      <c r="F51" s="2300"/>
      <c r="G51" s="338"/>
    </row>
    <row r="52" spans="1:7">
      <c r="A52" s="3083"/>
      <c r="B52" s="3109"/>
      <c r="C52" s="3109"/>
      <c r="D52" s="3109"/>
      <c r="E52" s="3085"/>
      <c r="F52" s="2300"/>
      <c r="G52" s="338"/>
    </row>
    <row r="53" spans="1:7">
      <c r="A53" s="3136"/>
      <c r="B53" s="3137"/>
      <c r="C53" s="3137"/>
      <c r="D53" s="3137"/>
      <c r="E53" s="3138"/>
      <c r="F53" s="2300"/>
      <c r="G53" s="338"/>
    </row>
    <row r="54" spans="1:7">
      <c r="A54" s="368" t="s">
        <v>413</v>
      </c>
      <c r="B54" s="354"/>
      <c r="C54" s="355"/>
      <c r="D54" s="356"/>
      <c r="E54" s="357"/>
      <c r="F54" s="646"/>
      <c r="G54" s="358"/>
    </row>
    <row r="55" spans="1:7">
      <c r="A55" s="331" t="s">
        <v>561</v>
      </c>
      <c r="B55" s="330"/>
      <c r="C55" s="329"/>
      <c r="D55" s="330"/>
      <c r="E55" s="331" t="s">
        <v>568</v>
      </c>
      <c r="F55" s="649"/>
      <c r="G55" s="332"/>
    </row>
    <row r="56" spans="1:7">
      <c r="A56" s="333" t="s">
        <v>1033</v>
      </c>
      <c r="B56" s="335">
        <f>Drift!H113</f>
        <v>0</v>
      </c>
      <c r="C56" s="336" t="s">
        <v>564</v>
      </c>
      <c r="D56" s="335">
        <f>'Verks int o kostn'!D44</f>
        <v>0</v>
      </c>
      <c r="E56" s="333" t="s">
        <v>1032</v>
      </c>
      <c r="F56" s="648"/>
      <c r="G56" s="332"/>
    </row>
    <row r="57" spans="1:7">
      <c r="A57" s="334"/>
      <c r="B57" s="4"/>
      <c r="C57" s="4"/>
      <c r="D57" s="4"/>
      <c r="E57" s="337" t="str">
        <f>IF((F58&lt;&gt;"Kontrollera differensen"),"","Differens:")</f>
        <v/>
      </c>
      <c r="G57" s="338">
        <v>36</v>
      </c>
    </row>
    <row r="58" spans="1:7">
      <c r="A58" s="334" t="s">
        <v>620</v>
      </c>
      <c r="B58" s="4"/>
      <c r="C58" s="4"/>
      <c r="D58" s="4"/>
      <c r="E58" s="337" t="str">
        <f>IF((F58&lt;&gt;"Kontrollera differensen"),"",(B56-D56))</f>
        <v/>
      </c>
      <c r="F58" s="649" t="str">
        <f>IF(AND(B56=0,D56=0),"",IF(OR(B56=0,D56=0),"Kontrollera differensen",IF(OR(AND(ABS((B56-D56)/D56)&gt;5%),ABS(B56-D56)&gt;100),"Kontrollera differensen","")))</f>
        <v/>
      </c>
      <c r="G58" s="4"/>
    </row>
    <row r="59" spans="1:7">
      <c r="A59" s="3139"/>
      <c r="B59" s="3134"/>
      <c r="C59" s="3134"/>
      <c r="D59" s="3134"/>
      <c r="E59" s="3135"/>
      <c r="G59" s="4"/>
    </row>
    <row r="60" spans="1:7">
      <c r="A60" s="3083"/>
      <c r="B60" s="3109"/>
      <c r="C60" s="3109"/>
      <c r="D60" s="3109"/>
      <c r="E60" s="3085"/>
      <c r="G60" s="4"/>
    </row>
    <row r="61" spans="1:7">
      <c r="A61" s="3136"/>
      <c r="B61" s="3137"/>
      <c r="C61" s="3137"/>
      <c r="D61" s="3137"/>
      <c r="E61" s="3138"/>
      <c r="G61" s="4"/>
    </row>
    <row r="62" spans="1:7">
      <c r="A62" s="353" t="s">
        <v>414</v>
      </c>
      <c r="B62" s="354"/>
      <c r="C62" s="355"/>
      <c r="D62" s="356"/>
      <c r="E62" s="357"/>
      <c r="F62" s="646"/>
      <c r="G62" s="358"/>
    </row>
    <row r="63" spans="1:7">
      <c r="A63" s="331" t="s">
        <v>561</v>
      </c>
      <c r="B63" s="330"/>
      <c r="C63" s="329"/>
      <c r="D63" s="330"/>
      <c r="E63" s="331" t="s">
        <v>568</v>
      </c>
      <c r="F63" s="649"/>
      <c r="G63" s="332"/>
    </row>
    <row r="64" spans="1:7">
      <c r="A64" s="333" t="s">
        <v>386</v>
      </c>
      <c r="B64" s="335">
        <f>Drift!I113</f>
        <v>0</v>
      </c>
      <c r="C64" s="336" t="s">
        <v>564</v>
      </c>
      <c r="D64" s="335">
        <f>'Verks int o kostn'!D68</f>
        <v>0</v>
      </c>
      <c r="E64" s="333" t="s">
        <v>563</v>
      </c>
      <c r="F64" s="648"/>
      <c r="G64" s="332"/>
    </row>
    <row r="65" spans="1:7">
      <c r="A65" s="334"/>
      <c r="B65" s="4"/>
      <c r="C65" s="4"/>
      <c r="D65" s="4"/>
      <c r="E65" s="337" t="str">
        <f>IF((F66&lt;&gt;"Kontrollera differensen"),"","Differens:")</f>
        <v/>
      </c>
      <c r="G65" s="338">
        <v>36</v>
      </c>
    </row>
    <row r="66" spans="1:7">
      <c r="A66" s="334" t="s">
        <v>620</v>
      </c>
      <c r="B66" s="4"/>
      <c r="C66" s="4"/>
      <c r="D66" s="4"/>
      <c r="E66" s="337" t="str">
        <f>IF((F66&lt;&gt;"Kontrollera differensen"),"",(B64-D64))</f>
        <v/>
      </c>
      <c r="F66" s="649" t="str">
        <f>IF(AND(B64=0,D64=0),"",IF(OR(B64=0,D64=0),"Kontrollera differensen",IF(OR(AND(ABS((B64-D64)/D64)&gt;5%),ABS(B64-D64)&gt;100),"Kontrollera differensen","")))</f>
        <v/>
      </c>
      <c r="G66" s="338"/>
    </row>
    <row r="67" spans="1:7">
      <c r="A67" s="3139"/>
      <c r="B67" s="3134"/>
      <c r="C67" s="3134"/>
      <c r="D67" s="3134"/>
      <c r="E67" s="3135"/>
      <c r="F67" s="649"/>
      <c r="G67" s="338"/>
    </row>
    <row r="68" spans="1:7">
      <c r="A68" s="3083"/>
      <c r="B68" s="3109"/>
      <c r="C68" s="3109"/>
      <c r="D68" s="3109"/>
      <c r="E68" s="3085"/>
      <c r="G68" s="4"/>
    </row>
    <row r="69" spans="1:7">
      <c r="A69" s="3136"/>
      <c r="B69" s="3137"/>
      <c r="C69" s="3137"/>
      <c r="D69" s="3137"/>
      <c r="E69" s="3138"/>
      <c r="G69" s="4"/>
    </row>
    <row r="70" spans="1:7">
      <c r="A70" s="353" t="s">
        <v>415</v>
      </c>
      <c r="B70" s="354"/>
      <c r="C70" s="355"/>
      <c r="D70" s="356"/>
      <c r="E70" s="357"/>
      <c r="F70" s="646"/>
      <c r="G70" s="358"/>
    </row>
    <row r="71" spans="1:7">
      <c r="A71" s="331" t="s">
        <v>561</v>
      </c>
      <c r="B71" s="330"/>
      <c r="C71" s="329"/>
      <c r="D71" s="330"/>
      <c r="E71" s="331" t="s">
        <v>572</v>
      </c>
      <c r="F71" s="647"/>
      <c r="G71" s="332"/>
    </row>
    <row r="72" spans="1:7" ht="14.25" customHeight="1">
      <c r="A72" s="333" t="s">
        <v>387</v>
      </c>
      <c r="B72" s="335">
        <f>Drift!R113</f>
        <v>0</v>
      </c>
      <c r="C72" s="340" t="s">
        <v>564</v>
      </c>
      <c r="D72" s="335">
        <f>'Verks int o kostn'!D12</f>
        <v>0</v>
      </c>
      <c r="E72" s="333" t="s">
        <v>565</v>
      </c>
      <c r="F72" s="647"/>
      <c r="G72" s="332"/>
    </row>
    <row r="73" spans="1:7" ht="14.25" customHeight="1">
      <c r="A73" s="333"/>
      <c r="B73" s="335"/>
      <c r="C73" s="340"/>
      <c r="D73" s="335"/>
      <c r="E73" s="337" t="str">
        <f>IF((F74&lt;&gt;"Kontrollera differensen"),"","Differens:")</f>
        <v/>
      </c>
      <c r="G73" s="332"/>
    </row>
    <row r="74" spans="1:7" ht="14.25" customHeight="1">
      <c r="A74" s="334" t="s">
        <v>620</v>
      </c>
      <c r="B74" s="335"/>
      <c r="C74" s="340"/>
      <c r="D74" s="335"/>
      <c r="E74" s="337" t="str">
        <f>IF((F74&lt;&gt;"Kontrollera differensen"),"",(B72-D72))</f>
        <v/>
      </c>
      <c r="F74" s="649" t="str">
        <f>IF(AND(B72=0,D72=0),"",IF(OR(B72=0,D72=0),"Kontrollera differensen",IF(OR(AND(ABS((B72-D72)/D72)&gt;5%),ABS(B72-D72)&gt;100),"Kontrollera differensen","")))</f>
        <v/>
      </c>
      <c r="G74" s="332"/>
    </row>
    <row r="75" spans="1:7" ht="14.25" customHeight="1">
      <c r="A75" s="3147"/>
      <c r="B75" s="3134"/>
      <c r="C75" s="3134"/>
      <c r="D75" s="3134"/>
      <c r="E75" s="3135"/>
      <c r="F75" s="647"/>
      <c r="G75" s="332"/>
    </row>
    <row r="76" spans="1:7" ht="14.25" customHeight="1">
      <c r="A76" s="3083"/>
      <c r="B76" s="3109"/>
      <c r="C76" s="3109"/>
      <c r="D76" s="3109"/>
      <c r="E76" s="3085"/>
      <c r="F76" s="647"/>
      <c r="G76" s="332"/>
    </row>
    <row r="77" spans="1:7">
      <c r="A77" s="3136"/>
      <c r="B77" s="3137"/>
      <c r="C77" s="3137"/>
      <c r="D77" s="3137"/>
      <c r="E77" s="3138"/>
      <c r="F77" s="649"/>
      <c r="G77" s="4"/>
    </row>
    <row r="78" spans="1:7">
      <c r="A78" s="353" t="s">
        <v>390</v>
      </c>
      <c r="B78" s="354"/>
      <c r="C78" s="355"/>
      <c r="D78" s="356"/>
      <c r="E78" s="357"/>
      <c r="F78" s="646"/>
      <c r="G78" s="358"/>
    </row>
    <row r="79" spans="1:7">
      <c r="A79" s="331" t="s">
        <v>561</v>
      </c>
      <c r="B79" s="330"/>
      <c r="C79" s="329"/>
      <c r="D79" s="330"/>
      <c r="E79" s="331" t="s">
        <v>572</v>
      </c>
      <c r="F79" s="647"/>
      <c r="G79" s="4"/>
    </row>
    <row r="80" spans="1:7">
      <c r="A80" s="333" t="s">
        <v>388</v>
      </c>
      <c r="B80" s="335">
        <f>Drift!S113</f>
        <v>0</v>
      </c>
      <c r="C80" s="336" t="s">
        <v>564</v>
      </c>
      <c r="D80" s="335">
        <f>'Verks int o kostn'!D13</f>
        <v>0</v>
      </c>
      <c r="E80" s="333" t="s">
        <v>566</v>
      </c>
      <c r="F80" s="648"/>
      <c r="G80" s="4"/>
    </row>
    <row r="81" spans="1:7">
      <c r="A81" s="334"/>
      <c r="B81" s="4"/>
      <c r="C81" s="4"/>
      <c r="D81" s="4"/>
      <c r="E81" s="337" t="str">
        <f>IF((F82&lt;&gt;"Kontrollera differensen"),"","Differens:")</f>
        <v/>
      </c>
      <c r="G81" s="4"/>
    </row>
    <row r="82" spans="1:7">
      <c r="A82" s="334" t="s">
        <v>620</v>
      </c>
      <c r="B82" s="335"/>
      <c r="C82" s="336"/>
      <c r="D82" s="335"/>
      <c r="E82" s="337" t="str">
        <f>IF((F82&lt;&gt;"Kontrollera differensen"),"",(B80-D80))</f>
        <v/>
      </c>
      <c r="F82" s="649" t="str">
        <f>IF(AND(B80=0,D80=0),"",IF(OR(B80=0,D80=0),"Kontrollera differensen",IF(OR(AND(ABS((B80-D80)/D80)&gt;5%),ABS(B80-D80)&gt;100),"Kontrollera differensen","")))</f>
        <v/>
      </c>
      <c r="G82" s="4"/>
    </row>
    <row r="83" spans="1:7">
      <c r="A83" s="3139"/>
      <c r="B83" s="3134"/>
      <c r="C83" s="3134"/>
      <c r="D83" s="3134"/>
      <c r="E83" s="3135"/>
      <c r="F83" s="652"/>
      <c r="G83" s="4"/>
    </row>
    <row r="84" spans="1:7">
      <c r="A84" s="3083"/>
      <c r="B84" s="3109"/>
      <c r="C84" s="3109"/>
      <c r="D84" s="3109"/>
      <c r="E84" s="3085"/>
      <c r="F84" s="652"/>
      <c r="G84" s="4"/>
    </row>
    <row r="85" spans="1:7">
      <c r="A85" s="3136"/>
      <c r="B85" s="3137"/>
      <c r="C85" s="3137"/>
      <c r="D85" s="3137"/>
      <c r="E85" s="3138"/>
      <c r="F85" s="652"/>
      <c r="G85" s="4"/>
    </row>
    <row r="86" spans="1:7">
      <c r="A86" s="368" t="s">
        <v>391</v>
      </c>
      <c r="B86" s="2316"/>
      <c r="C86" s="2317"/>
      <c r="D86" s="2318"/>
      <c r="E86" s="653"/>
      <c r="F86" s="646"/>
      <c r="G86" s="358"/>
    </row>
    <row r="87" spans="1:7">
      <c r="A87" s="331" t="s">
        <v>561</v>
      </c>
      <c r="B87" s="330"/>
      <c r="C87" s="329"/>
      <c r="D87" s="330"/>
      <c r="E87" s="331" t="s">
        <v>572</v>
      </c>
      <c r="F87" s="647"/>
      <c r="G87" s="4"/>
    </row>
    <row r="88" spans="1:7">
      <c r="A88" s="333" t="s">
        <v>389</v>
      </c>
      <c r="B88" s="335">
        <f>Drift!T113</f>
        <v>0</v>
      </c>
      <c r="C88" s="344"/>
      <c r="D88" s="345">
        <f>'Verks int o kostn'!D8</f>
        <v>0</v>
      </c>
      <c r="E88" s="333" t="s">
        <v>1539</v>
      </c>
      <c r="F88" s="648"/>
      <c r="G88" s="4"/>
    </row>
    <row r="89" spans="1:7">
      <c r="A89" s="334"/>
      <c r="C89" s="4"/>
      <c r="D89" s="335">
        <f>'Verks int o kostn'!D14</f>
        <v>0</v>
      </c>
      <c r="E89" s="346" t="s">
        <v>379</v>
      </c>
      <c r="F89" s="2495"/>
      <c r="G89" s="4"/>
    </row>
    <row r="90" spans="1:7">
      <c r="A90" s="334"/>
      <c r="B90" s="335"/>
      <c r="C90" s="336"/>
      <c r="D90" s="335">
        <f>'Verks int o kostn'!D15</f>
        <v>0</v>
      </c>
      <c r="E90" s="346" t="s">
        <v>380</v>
      </c>
      <c r="F90" s="2496"/>
      <c r="G90" s="4"/>
    </row>
    <row r="91" spans="1:7">
      <c r="A91" s="334"/>
      <c r="B91" s="335"/>
      <c r="C91" s="336"/>
      <c r="D91" s="335">
        <f>'Verks int o kostn'!D26</f>
        <v>0</v>
      </c>
      <c r="E91" s="346" t="s">
        <v>381</v>
      </c>
      <c r="F91" s="2496"/>
      <c r="G91" s="4"/>
    </row>
    <row r="92" spans="1:7" ht="2.25" customHeight="1">
      <c r="A92" s="334"/>
      <c r="B92" s="335"/>
      <c r="C92" s="336"/>
      <c r="D92" s="1827"/>
      <c r="E92" s="1828"/>
      <c r="F92" s="2496"/>
      <c r="G92" s="4"/>
    </row>
    <row r="93" spans="1:7">
      <c r="A93" s="334"/>
      <c r="B93" s="4"/>
      <c r="C93" s="4"/>
      <c r="D93" s="335">
        <f>'Verks int o kostn'!D31</f>
        <v>0</v>
      </c>
      <c r="E93" s="346" t="s">
        <v>1589</v>
      </c>
      <c r="F93" s="2496"/>
      <c r="G93" s="4"/>
    </row>
    <row r="94" spans="1:7">
      <c r="A94" s="334"/>
      <c r="B94" s="347">
        <f>SUM(B88:B92)</f>
        <v>0</v>
      </c>
      <c r="C94" s="336" t="s">
        <v>564</v>
      </c>
      <c r="D94" s="347">
        <f>SUM(D88:D93)</f>
        <v>0</v>
      </c>
      <c r="E94" s="337" t="str">
        <f>IF((F95&lt;&gt;"Kontrollera differensen"),"","Differens:")</f>
        <v/>
      </c>
      <c r="F94" s="2496"/>
      <c r="G94" s="4"/>
    </row>
    <row r="95" spans="1:7">
      <c r="A95" s="334" t="s">
        <v>620</v>
      </c>
      <c r="B95" s="343"/>
      <c r="C95" s="336"/>
      <c r="D95" s="343"/>
      <c r="E95" s="337" t="str">
        <f>IF((F95&lt;&gt;"Kontrollera differensen"),"",(B94-D94))</f>
        <v/>
      </c>
      <c r="F95" s="649" t="str">
        <f>IF(AND(B94=0,D94=0),"",IF(OR(B94=0,D94=0),"Kontrollera differensen",IF(OR(AND(ABS((B94-D94)/D94)&gt;5%),ABS(B94-D94)&gt;100),"Kontrollera differensen","")))</f>
        <v/>
      </c>
      <c r="G95" s="4"/>
    </row>
    <row r="96" spans="1:7">
      <c r="A96" s="3139"/>
      <c r="B96" s="3134"/>
      <c r="C96" s="3134"/>
      <c r="D96" s="3134"/>
      <c r="E96" s="3135"/>
      <c r="F96" s="649"/>
      <c r="G96" s="4"/>
    </row>
    <row r="97" spans="1:7">
      <c r="A97" s="3136"/>
      <c r="B97" s="3137"/>
      <c r="C97" s="3137"/>
      <c r="D97" s="3137"/>
      <c r="E97" s="3138"/>
      <c r="F97" s="649"/>
      <c r="G97" s="4"/>
    </row>
    <row r="98" spans="1:7">
      <c r="A98" s="2602" t="s">
        <v>1591</v>
      </c>
      <c r="B98" s="2601"/>
      <c r="C98" s="2601"/>
      <c r="D98" s="2601"/>
      <c r="E98" s="2600"/>
      <c r="F98" s="649"/>
      <c r="G98" s="4"/>
    </row>
    <row r="99" spans="1:7">
      <c r="A99" s="2571" t="s">
        <v>1519</v>
      </c>
      <c r="B99" s="2572"/>
      <c r="C99" s="2573"/>
      <c r="D99" s="2572"/>
      <c r="E99" s="2571" t="s">
        <v>373</v>
      </c>
      <c r="F99" s="647"/>
      <c r="G99" s="4"/>
    </row>
    <row r="100" spans="1:7">
      <c r="A100" s="1676" t="s">
        <v>1542</v>
      </c>
      <c r="B100" s="2574">
        <f>Drift!P120</f>
        <v>0</v>
      </c>
      <c r="C100" s="2575" t="s">
        <v>564</v>
      </c>
      <c r="D100" s="2574">
        <f>'Verks int o kostn'!I71</f>
        <v>0</v>
      </c>
      <c r="E100" s="1676" t="s">
        <v>1521</v>
      </c>
      <c r="F100" s="647"/>
      <c r="G100" s="4"/>
    </row>
    <row r="101" spans="1:7">
      <c r="A101" s="1676"/>
      <c r="B101" s="2574"/>
      <c r="C101" s="2575"/>
      <c r="D101" s="2574">
        <f>'Verks int o kostn'!I72</f>
        <v>0</v>
      </c>
      <c r="E101" s="1676" t="s">
        <v>1520</v>
      </c>
      <c r="F101" s="647"/>
      <c r="G101" s="4"/>
    </row>
    <row r="102" spans="1:7">
      <c r="A102" s="645"/>
      <c r="B102" s="2576">
        <f>SUM(B100:B101)</f>
        <v>0</v>
      </c>
      <c r="C102" s="2575" t="s">
        <v>564</v>
      </c>
      <c r="D102" s="2576">
        <f>SUM(D100:D101)</f>
        <v>0</v>
      </c>
      <c r="E102" s="649" t="str">
        <f>IF((F103&lt;&gt;"Kontrollera differensen"),"","Differens:")</f>
        <v/>
      </c>
      <c r="G102" s="4"/>
    </row>
    <row r="103" spans="1:7">
      <c r="A103" s="648" t="s">
        <v>620</v>
      </c>
      <c r="B103" s="2574"/>
      <c r="C103" s="2575"/>
      <c r="D103" s="2574"/>
      <c r="E103" s="649" t="str">
        <f>IF((F103&lt;&gt;"Kontrollera differensen"),"",(B102-D102))</f>
        <v/>
      </c>
      <c r="F103" s="649" t="str">
        <f>IF(AND(B102=0,D102=0),"",IF(OR(B102=0,D102=0),"Kontrollera differensen",IF(OR(AND(ABS((B102-D102)/D102)&gt;5%),ABS(B102-D102)&gt;100),"Kontrollera differensen","")))</f>
        <v/>
      </c>
      <c r="G103" s="4"/>
    </row>
    <row r="104" spans="1:7">
      <c r="A104" s="3139"/>
      <c r="B104" s="3140"/>
      <c r="C104" s="3140"/>
      <c r="D104" s="3140"/>
      <c r="E104" s="3141"/>
      <c r="F104" s="647"/>
      <c r="G104" s="4"/>
    </row>
    <row r="105" spans="1:7">
      <c r="A105" s="3142"/>
      <c r="B105" s="2955"/>
      <c r="C105" s="2955"/>
      <c r="D105" s="2955"/>
      <c r="E105" s="3143"/>
      <c r="F105" s="647"/>
      <c r="G105" s="4"/>
    </row>
    <row r="106" spans="1:7">
      <c r="A106" s="3144"/>
      <c r="B106" s="3145"/>
      <c r="C106" s="3145"/>
      <c r="D106" s="3145"/>
      <c r="E106" s="3146"/>
      <c r="G106" s="4"/>
    </row>
    <row r="107" spans="1:7">
      <c r="A107" s="368" t="s">
        <v>1592</v>
      </c>
      <c r="B107" s="2316"/>
      <c r="C107" s="2317"/>
      <c r="D107" s="2318"/>
      <c r="E107" s="653"/>
      <c r="F107" s="646"/>
      <c r="G107" s="358"/>
    </row>
    <row r="108" spans="1:7">
      <c r="A108" s="2571" t="s">
        <v>1519</v>
      </c>
      <c r="B108" s="2572"/>
      <c r="C108" s="2573"/>
      <c r="D108" s="2572"/>
      <c r="E108" s="2571" t="s">
        <v>568</v>
      </c>
      <c r="F108" s="647"/>
      <c r="G108" s="332"/>
    </row>
    <row r="109" spans="1:7">
      <c r="A109" s="1676" t="s">
        <v>1543</v>
      </c>
      <c r="B109" s="2574">
        <f>Drift!P121</f>
        <v>0</v>
      </c>
      <c r="C109" s="2575" t="s">
        <v>564</v>
      </c>
      <c r="D109" s="2574">
        <f>'Verks int o kostn'!D73</f>
        <v>0</v>
      </c>
      <c r="E109" s="1676" t="s">
        <v>1522</v>
      </c>
      <c r="F109" s="647"/>
      <c r="G109" s="332"/>
    </row>
    <row r="110" spans="1:7">
      <c r="A110" s="1676"/>
      <c r="B110" s="2574"/>
      <c r="C110" s="2575"/>
      <c r="D110" s="2574">
        <f>'Verks int o kostn'!D74</f>
        <v>0</v>
      </c>
      <c r="E110" s="1676" t="s">
        <v>1544</v>
      </c>
      <c r="F110" s="647"/>
      <c r="G110" s="332"/>
    </row>
    <row r="111" spans="1:7">
      <c r="A111" s="1676"/>
      <c r="B111" s="2576">
        <f>SUM(B109)</f>
        <v>0</v>
      </c>
      <c r="C111" s="651"/>
      <c r="D111" s="2576">
        <f>SUM(D109:D110)</f>
        <v>0</v>
      </c>
      <c r="E111" s="649" t="str">
        <f>IF((F112&lt;&gt;"Kontrollera differensen"),"","Differens:")</f>
        <v/>
      </c>
      <c r="G111" s="332"/>
    </row>
    <row r="112" spans="1:7">
      <c r="A112" s="648" t="s">
        <v>620</v>
      </c>
      <c r="B112" s="2574"/>
      <c r="C112" s="2575"/>
      <c r="D112" s="2574"/>
      <c r="E112" s="649" t="str">
        <f>IF((F112&lt;&gt;"Kontrollera differensen"),"",(B111-D111))</f>
        <v/>
      </c>
      <c r="F112" s="649" t="str">
        <f>IF(AND(B111=0,D111=0),"",IF(OR(B111=0,D111=0),"Kontrollera differensen",IF(OR(AND(ABS((B111-D111)/D111)&gt;5%),ABS(B111-D111)&gt;10),"Kontrollera differensen","")))</f>
        <v/>
      </c>
      <c r="G112" s="332"/>
    </row>
    <row r="113" spans="1:7">
      <c r="A113" s="3139"/>
      <c r="B113" s="3134"/>
      <c r="C113" s="3134"/>
      <c r="D113" s="3134"/>
      <c r="E113" s="3135"/>
      <c r="F113" s="649"/>
      <c r="G113" s="332"/>
    </row>
    <row r="114" spans="1:7">
      <c r="A114" s="3083"/>
      <c r="B114" s="3109"/>
      <c r="C114" s="3109"/>
      <c r="D114" s="3109"/>
      <c r="E114" s="3085"/>
      <c r="F114" s="649"/>
      <c r="G114" s="332"/>
    </row>
    <row r="115" spans="1:7">
      <c r="A115" s="3136"/>
      <c r="B115" s="3137"/>
      <c r="C115" s="3137"/>
      <c r="D115" s="3137"/>
      <c r="E115" s="3138"/>
      <c r="F115" s="649"/>
      <c r="G115" s="332"/>
    </row>
    <row r="116" spans="1:7">
      <c r="A116" s="368" t="s">
        <v>1593</v>
      </c>
      <c r="B116" s="2316"/>
      <c r="C116" s="2317"/>
      <c r="D116" s="2318"/>
      <c r="E116" s="653"/>
      <c r="F116" s="646"/>
      <c r="G116" s="338"/>
    </row>
    <row r="117" spans="1:7">
      <c r="A117" s="2571" t="s">
        <v>1519</v>
      </c>
      <c r="B117" s="2572"/>
      <c r="C117" s="2573"/>
      <c r="D117" s="2572"/>
      <c r="E117" s="2571" t="s">
        <v>568</v>
      </c>
      <c r="F117" s="647"/>
      <c r="G117" s="338"/>
    </row>
    <row r="118" spans="1:7">
      <c r="A118" s="1676" t="s">
        <v>1545</v>
      </c>
      <c r="B118" s="2574">
        <f>Drift!P122</f>
        <v>0</v>
      </c>
      <c r="C118" s="2575" t="s">
        <v>564</v>
      </c>
      <c r="D118" s="2574">
        <f>'Verks int o kostn'!I59</f>
        <v>0</v>
      </c>
      <c r="E118" s="1676" t="s">
        <v>1546</v>
      </c>
      <c r="F118" s="647"/>
      <c r="G118" s="338"/>
    </row>
    <row r="119" spans="1:7">
      <c r="A119" s="1676"/>
      <c r="B119" s="2574"/>
      <c r="C119" s="2575"/>
      <c r="D119" s="2574"/>
      <c r="E119" s="649" t="str">
        <f>IF((F120&lt;&gt;"Kontrollera differensen"),"","Differens:")</f>
        <v/>
      </c>
      <c r="F119" s="647"/>
      <c r="G119" s="338"/>
    </row>
    <row r="120" spans="1:7">
      <c r="A120" s="1676" t="s">
        <v>620</v>
      </c>
      <c r="B120" s="651"/>
      <c r="C120" s="651"/>
      <c r="D120" s="1677"/>
      <c r="E120" s="649" t="str">
        <f>IF((F120&lt;&gt;"Kontrollera differensen"),"",(B118-D118))</f>
        <v/>
      </c>
      <c r="F120" s="649" t="str">
        <f>IF(AND(B118=0,D118=0),"",IF(OR(B118=0,D118=0),"Kontrollera differensen",IF(OR(AND(ABS((B118-D118)/D118)&gt;5%),ABS(B118-D118)&gt;100),"Kontrollera differensen","")))</f>
        <v/>
      </c>
      <c r="G120" s="338"/>
    </row>
    <row r="121" spans="1:7">
      <c r="A121" s="3139"/>
      <c r="B121" s="3134"/>
      <c r="C121" s="3134"/>
      <c r="D121" s="3134"/>
      <c r="E121" s="3135"/>
      <c r="G121" s="338"/>
    </row>
    <row r="122" spans="1:7">
      <c r="A122" s="3083"/>
      <c r="B122" s="3109"/>
      <c r="C122" s="3109"/>
      <c r="D122" s="3109"/>
      <c r="E122" s="3085"/>
      <c r="G122" s="338"/>
    </row>
    <row r="123" spans="1:7">
      <c r="A123" s="3136"/>
      <c r="B123" s="3137"/>
      <c r="C123" s="3137"/>
      <c r="D123" s="3137"/>
      <c r="E123" s="3138"/>
      <c r="G123" s="338"/>
    </row>
    <row r="124" spans="1:7">
      <c r="A124" s="368" t="s">
        <v>1594</v>
      </c>
      <c r="B124" s="2316"/>
      <c r="C124" s="2317"/>
      <c r="D124" s="2318"/>
      <c r="E124" s="653"/>
      <c r="F124" s="646"/>
      <c r="G124" s="338"/>
    </row>
    <row r="125" spans="1:7">
      <c r="A125" s="2571" t="s">
        <v>1519</v>
      </c>
      <c r="B125" s="2572"/>
      <c r="C125" s="2573"/>
      <c r="D125" s="2572"/>
      <c r="E125" s="2571" t="s">
        <v>372</v>
      </c>
      <c r="F125" s="647"/>
      <c r="G125" s="338"/>
    </row>
    <row r="126" spans="1:7">
      <c r="A126" s="1676" t="s">
        <v>1547</v>
      </c>
      <c r="B126" s="2574">
        <f>Drift!W117</f>
        <v>0</v>
      </c>
      <c r="C126" s="2575" t="s">
        <v>564</v>
      </c>
      <c r="D126" s="2574">
        <f>'Verks int o kostn'!D32</f>
        <v>0</v>
      </c>
      <c r="E126" s="1676" t="s">
        <v>1548</v>
      </c>
      <c r="F126" s="647"/>
      <c r="G126" s="338"/>
    </row>
    <row r="127" spans="1:7">
      <c r="A127" s="1676"/>
      <c r="B127" s="2574"/>
      <c r="C127" s="2575"/>
      <c r="D127" s="2574"/>
      <c r="E127" s="649" t="str">
        <f>IF((F128&lt;&gt;"Kontrollera differensen"),"","Differens:")</f>
        <v/>
      </c>
      <c r="F127" s="647"/>
      <c r="G127" s="338"/>
    </row>
    <row r="128" spans="1:7">
      <c r="A128" s="1676" t="s">
        <v>620</v>
      </c>
      <c r="B128" s="651"/>
      <c r="C128" s="651"/>
      <c r="D128" s="1677"/>
      <c r="E128" s="649" t="str">
        <f>IF((F128&lt;&gt;"Kontrollera differensen"),"",(B126-D126))</f>
        <v/>
      </c>
      <c r="F128" s="649" t="str">
        <f>IF(AND(B126=0,D126=0),"",IF(OR(B126=0,D126=0),"Kontrollera differensen",IF(OR(AND(ABS((B126-D126)/D126)&gt;5%),ABS(B126-D126)&gt;100),"Kontrollera differensen","")))</f>
        <v/>
      </c>
      <c r="G128" s="338"/>
    </row>
    <row r="129" spans="1:7">
      <c r="A129" s="3139"/>
      <c r="B129" s="3134"/>
      <c r="C129" s="3134"/>
      <c r="D129" s="3134"/>
      <c r="E129" s="3135"/>
      <c r="G129" s="338"/>
    </row>
    <row r="130" spans="1:7">
      <c r="A130" s="3083"/>
      <c r="B130" s="3109"/>
      <c r="C130" s="3109"/>
      <c r="D130" s="3109"/>
      <c r="E130" s="3085"/>
      <c r="G130" s="338"/>
    </row>
    <row r="131" spans="1:7">
      <c r="A131" s="3136"/>
      <c r="B131" s="3137"/>
      <c r="C131" s="3137"/>
      <c r="D131" s="3137"/>
      <c r="E131" s="3138"/>
      <c r="G131" s="338"/>
    </row>
    <row r="132" spans="1:7">
      <c r="A132" s="368" t="s">
        <v>1540</v>
      </c>
      <c r="B132" s="2316"/>
      <c r="C132" s="2317"/>
      <c r="D132" s="2318"/>
      <c r="E132" s="653"/>
      <c r="F132" s="646"/>
      <c r="G132" s="338"/>
    </row>
    <row r="133" spans="1:7">
      <c r="A133" s="2571" t="s">
        <v>1519</v>
      </c>
      <c r="B133" s="2572"/>
      <c r="C133" s="2573"/>
      <c r="D133" s="2572"/>
      <c r="E133" s="2571" t="s">
        <v>372</v>
      </c>
      <c r="F133" s="647"/>
      <c r="G133" s="338"/>
    </row>
    <row r="134" spans="1:7">
      <c r="A134" s="1676" t="s">
        <v>1549</v>
      </c>
      <c r="B134" s="2574">
        <f>Drift!W118</f>
        <v>0</v>
      </c>
      <c r="C134" s="2575" t="s">
        <v>564</v>
      </c>
      <c r="D134" s="2574">
        <f>'Verks int o kostn'!D33</f>
        <v>0</v>
      </c>
      <c r="E134" s="1676" t="s">
        <v>1550</v>
      </c>
      <c r="F134" s="647"/>
      <c r="G134" s="338"/>
    </row>
    <row r="135" spans="1:7">
      <c r="A135" s="1676"/>
      <c r="B135" s="2574"/>
      <c r="C135" s="2575"/>
      <c r="D135" s="2574"/>
      <c r="E135" s="649" t="str">
        <f>IF((F136&lt;&gt;"Kontrollera differensen"),"","Differens:")</f>
        <v/>
      </c>
      <c r="F135" s="647"/>
      <c r="G135" s="338"/>
    </row>
    <row r="136" spans="1:7">
      <c r="A136" s="1676" t="s">
        <v>620</v>
      </c>
      <c r="B136" s="651"/>
      <c r="C136" s="651"/>
      <c r="D136" s="1677"/>
      <c r="E136" s="649" t="str">
        <f>IF((F136&lt;&gt;"Kontrollera differensen"),"",(B134-D134))</f>
        <v/>
      </c>
      <c r="F136" s="649" t="str">
        <f>IF(AND(B134=0,D134=0),"",IF(OR(B134=0,D134=0),"Kontrollera differensen",IF(OR(AND(ABS((B134-D134)/D134)&gt;5%),ABS(B134-D134)&gt;100),"Kontrollera differensen","")))</f>
        <v/>
      </c>
      <c r="G136" s="338"/>
    </row>
    <row r="137" spans="1:7">
      <c r="A137" s="3139"/>
      <c r="B137" s="3134"/>
      <c r="C137" s="3134"/>
      <c r="D137" s="3134"/>
      <c r="E137" s="3135"/>
      <c r="G137" s="338"/>
    </row>
    <row r="138" spans="1:7">
      <c r="A138" s="3083"/>
      <c r="B138" s="3109"/>
      <c r="C138" s="3109"/>
      <c r="D138" s="3109"/>
      <c r="E138" s="3085"/>
      <c r="G138" s="338"/>
    </row>
    <row r="139" spans="1:7">
      <c r="A139" s="3136"/>
      <c r="B139" s="3137"/>
      <c r="C139" s="3137"/>
      <c r="D139" s="3137"/>
      <c r="E139" s="3138"/>
      <c r="G139" s="338"/>
    </row>
    <row r="140" spans="1:7">
      <c r="A140" s="368" t="s">
        <v>1523</v>
      </c>
      <c r="B140" s="2316"/>
      <c r="C140" s="2317"/>
      <c r="D140" s="2318"/>
      <c r="E140" s="653"/>
      <c r="F140" s="646"/>
      <c r="G140" s="358"/>
    </row>
    <row r="141" spans="1:7">
      <c r="A141" s="2577" t="s">
        <v>416</v>
      </c>
      <c r="B141" s="2572"/>
      <c r="C141" s="2573"/>
      <c r="D141" s="2572"/>
      <c r="E141" s="2571" t="s">
        <v>382</v>
      </c>
      <c r="F141" s="647"/>
      <c r="G141" s="332"/>
    </row>
    <row r="142" spans="1:7">
      <c r="A142" s="2578" t="s">
        <v>1533</v>
      </c>
      <c r="B142" s="2574">
        <f>Motpart!Y42</f>
        <v>0</v>
      </c>
      <c r="C142" s="2579"/>
      <c r="D142" s="2574">
        <f>'Verks int o kostn'!I27</f>
        <v>0</v>
      </c>
      <c r="E142" s="1676" t="s">
        <v>1525</v>
      </c>
      <c r="F142" s="647"/>
      <c r="G142" s="332"/>
    </row>
    <row r="143" spans="1:7">
      <c r="A143" s="2578"/>
      <c r="B143" s="2574"/>
      <c r="C143" s="2579"/>
      <c r="D143" s="2574">
        <f>'Verks int o kostn'!I29</f>
        <v>0</v>
      </c>
      <c r="E143" s="1676" t="s">
        <v>1526</v>
      </c>
      <c r="F143" s="647"/>
      <c r="G143" s="332"/>
    </row>
    <row r="144" spans="1:7">
      <c r="A144" s="2578"/>
      <c r="B144" s="2580">
        <f>SUM(B142:B143)</f>
        <v>0</v>
      </c>
      <c r="C144" s="2581" t="s">
        <v>564</v>
      </c>
      <c r="D144" s="2580">
        <f>SUM(D142:D143)</f>
        <v>0</v>
      </c>
      <c r="E144" s="649" t="str">
        <f>IF((F145&lt;&gt;"Kontrollera differensen"),"","Differens:")</f>
        <v/>
      </c>
      <c r="G144" s="332"/>
    </row>
    <row r="145" spans="1:7">
      <c r="A145" s="648" t="s">
        <v>620</v>
      </c>
      <c r="B145" s="1677"/>
      <c r="C145" s="2581"/>
      <c r="D145" s="1677"/>
      <c r="E145" s="649" t="str">
        <f>IF((F145&lt;&gt;"Kontrollera differensen"),"",(B144-D144))</f>
        <v/>
      </c>
      <c r="F145" s="649" t="str">
        <f>IF(AND(B144=0,D144=0),"",IF(OR(B144=0,D144=0),"Kontrollera differensen",IF(OR(AND(ABS((B144-D144)/D144)&gt;5%),ABS(B144-D144)&gt;10),"Kontrollera differensen","")))</f>
        <v/>
      </c>
      <c r="G145" s="332"/>
    </row>
    <row r="146" spans="1:7">
      <c r="A146" s="3133"/>
      <c r="B146" s="3134"/>
      <c r="C146" s="3134"/>
      <c r="D146" s="3134"/>
      <c r="E146" s="3135"/>
      <c r="F146" s="649"/>
      <c r="G146" s="332"/>
    </row>
    <row r="147" spans="1:7">
      <c r="A147" s="3083"/>
      <c r="B147" s="3109"/>
      <c r="C147" s="3109"/>
      <c r="D147" s="3109"/>
      <c r="E147" s="3085"/>
      <c r="F147" s="649"/>
      <c r="G147" s="332"/>
    </row>
    <row r="148" spans="1:7">
      <c r="A148" s="3136"/>
      <c r="B148" s="3137"/>
      <c r="C148" s="3137"/>
      <c r="D148" s="3137"/>
      <c r="E148" s="3138"/>
      <c r="G148" s="4"/>
    </row>
    <row r="149" spans="1:7">
      <c r="A149" s="368" t="s">
        <v>1524</v>
      </c>
      <c r="B149" s="2316"/>
      <c r="C149" s="2317"/>
      <c r="D149" s="2318"/>
      <c r="E149" s="653"/>
      <c r="F149" s="646"/>
      <c r="G149" s="358"/>
    </row>
    <row r="150" spans="1:7">
      <c r="A150" s="2577" t="s">
        <v>416</v>
      </c>
      <c r="B150" s="2572"/>
      <c r="C150" s="2573"/>
      <c r="D150" s="2572"/>
      <c r="E150" s="2571" t="s">
        <v>382</v>
      </c>
      <c r="F150" s="647"/>
      <c r="G150" s="332"/>
    </row>
    <row r="151" spans="1:7">
      <c r="A151" s="2578" t="s">
        <v>1527</v>
      </c>
      <c r="B151" s="2574">
        <f>Motpart!Z42</f>
        <v>0</v>
      </c>
      <c r="C151" s="2579"/>
      <c r="D151" s="2574">
        <f>'Verks int o kostn'!I28</f>
        <v>0</v>
      </c>
      <c r="E151" s="1676" t="s">
        <v>1528</v>
      </c>
      <c r="F151" s="647"/>
      <c r="G151" s="332"/>
    </row>
    <row r="152" spans="1:7">
      <c r="A152" s="2578"/>
      <c r="B152" s="1677"/>
      <c r="C152" s="2581"/>
      <c r="D152" s="1677"/>
      <c r="E152" s="649" t="str">
        <f>IF((F153&lt;&gt;"Kontrollera differensen"),"","Differens:")</f>
        <v/>
      </c>
      <c r="G152" s="332"/>
    </row>
    <row r="153" spans="1:7">
      <c r="A153" s="648" t="s">
        <v>620</v>
      </c>
      <c r="B153" s="1677"/>
      <c r="C153" s="2581"/>
      <c r="D153" s="1677"/>
      <c r="E153" s="649" t="str">
        <f>IF((F153&lt;&gt;"Kontrollera differensen"),"",(B151-D151))</f>
        <v/>
      </c>
      <c r="F153" s="649" t="str">
        <f>IF(AND(B151=0,D151=0),"",IF(OR(B151=0,D151=0),"Kontrollera differensen",IF(OR(AND(ABS((B151-D151)/D151)&gt;5%),ABS(B151-D151)&gt;10),"Kontrollera differensen","")))</f>
        <v/>
      </c>
      <c r="G153" s="332"/>
    </row>
    <row r="154" spans="1:7">
      <c r="A154" s="3133"/>
      <c r="B154" s="3134"/>
      <c r="C154" s="3134"/>
      <c r="D154" s="3134"/>
      <c r="E154" s="3135"/>
      <c r="F154" s="649"/>
      <c r="G154" s="332"/>
    </row>
    <row r="155" spans="1:7">
      <c r="A155" s="3083"/>
      <c r="B155" s="3109"/>
      <c r="C155" s="3109"/>
      <c r="D155" s="3109"/>
      <c r="E155" s="3085"/>
      <c r="F155" s="649"/>
      <c r="G155" s="332"/>
    </row>
    <row r="156" spans="1:7">
      <c r="A156" s="3136"/>
      <c r="B156" s="3137"/>
      <c r="C156" s="3137"/>
      <c r="D156" s="3137"/>
      <c r="E156" s="3138"/>
      <c r="G156" s="332"/>
    </row>
    <row r="157" spans="1:7">
      <c r="A157" s="368" t="s">
        <v>1595</v>
      </c>
      <c r="B157" s="2316"/>
      <c r="C157" s="2317"/>
      <c r="D157" s="2318"/>
      <c r="E157" s="653"/>
      <c r="F157" s="646"/>
      <c r="G157" s="332"/>
    </row>
    <row r="158" spans="1:7">
      <c r="A158" s="2577" t="s">
        <v>416</v>
      </c>
      <c r="B158" s="2572"/>
      <c r="C158" s="2573"/>
      <c r="D158" s="2572"/>
      <c r="E158" s="2571" t="s">
        <v>382</v>
      </c>
      <c r="F158" s="647"/>
      <c r="G158" s="4"/>
    </row>
    <row r="159" spans="1:7">
      <c r="A159" s="2578" t="s">
        <v>392</v>
      </c>
      <c r="B159" s="2574">
        <f>Motpart!AA42</f>
        <v>0</v>
      </c>
      <c r="C159" s="2579"/>
      <c r="D159" s="2574">
        <f>'Verks int o kostn'!D17</f>
        <v>0</v>
      </c>
      <c r="E159" s="1676" t="s">
        <v>1536</v>
      </c>
      <c r="F159" s="647"/>
      <c r="G159" s="358"/>
    </row>
    <row r="160" spans="1:7">
      <c r="A160" s="2578"/>
      <c r="B160" s="2574"/>
      <c r="C160" s="2579"/>
      <c r="D160" s="2574">
        <f>'Verks int o kostn'!D18</f>
        <v>0</v>
      </c>
      <c r="E160" s="1676" t="s">
        <v>1537</v>
      </c>
      <c r="F160" s="647"/>
      <c r="G160" s="332"/>
    </row>
    <row r="161" spans="1:7">
      <c r="A161" s="2578"/>
      <c r="B161" s="2580">
        <f>SUM(B159:B160)</f>
        <v>0</v>
      </c>
      <c r="C161" s="2581" t="s">
        <v>564</v>
      </c>
      <c r="D161" s="2580">
        <f>SUM(D159:D160)</f>
        <v>0</v>
      </c>
      <c r="E161" s="649" t="str">
        <f>IF((F162&lt;&gt;"Kontrollera differensen"),"","Differens:")</f>
        <v/>
      </c>
      <c r="G161" s="332"/>
    </row>
    <row r="162" spans="1:7">
      <c r="A162" s="648" t="s">
        <v>620</v>
      </c>
      <c r="B162" s="1677"/>
      <c r="C162" s="2581"/>
      <c r="D162" s="1677"/>
      <c r="E162" s="649" t="str">
        <f>IF((F162&lt;&gt;"Kontrollera differensen"),"",(B161-D161))</f>
        <v/>
      </c>
      <c r="F162" s="649" t="str">
        <f>IF(AND(B161=0,D161=0),"",IF(OR(B161=0,D161=0),"Kontrollera differensen",IF(OR(AND(ABS((B161-D161)/D161)&gt;5%),ABS(B161-D161)&gt;10),"Kontrollera differensen","")))</f>
        <v/>
      </c>
      <c r="G162" s="332"/>
    </row>
    <row r="163" spans="1:7">
      <c r="A163" s="3133"/>
      <c r="B163" s="3134"/>
      <c r="C163" s="3134"/>
      <c r="D163" s="3134"/>
      <c r="E163" s="3135"/>
      <c r="F163" s="649"/>
      <c r="G163" s="332"/>
    </row>
    <row r="164" spans="1:7">
      <c r="A164" s="3083"/>
      <c r="B164" s="3109"/>
      <c r="C164" s="3109"/>
      <c r="D164" s="3109"/>
      <c r="E164" s="3085"/>
      <c r="F164" s="649"/>
      <c r="G164" s="332"/>
    </row>
    <row r="165" spans="1:7">
      <c r="A165" s="3136"/>
      <c r="B165" s="3137"/>
      <c r="C165" s="3137"/>
      <c r="D165" s="3137"/>
      <c r="E165" s="3138"/>
      <c r="G165" s="332"/>
    </row>
    <row r="166" spans="1:7" s="2489" customFormat="1">
      <c r="A166" s="368" t="s">
        <v>1531</v>
      </c>
      <c r="B166" s="2316"/>
      <c r="C166" s="2317"/>
      <c r="D166" s="2318"/>
      <c r="E166" s="653"/>
      <c r="F166" s="646"/>
      <c r="G166" s="2493"/>
    </row>
    <row r="167" spans="1:7" s="2489" customFormat="1">
      <c r="A167" s="2577" t="s">
        <v>416</v>
      </c>
      <c r="B167" s="2572"/>
      <c r="C167" s="2573"/>
      <c r="D167" s="2572"/>
      <c r="E167" s="2571" t="s">
        <v>382</v>
      </c>
      <c r="F167" s="647"/>
      <c r="G167" s="2493"/>
    </row>
    <row r="168" spans="1:7" s="2489" customFormat="1">
      <c r="A168" s="2578" t="s">
        <v>1529</v>
      </c>
      <c r="B168" s="1677">
        <f>Motpart!AB42</f>
        <v>0</v>
      </c>
      <c r="C168" s="2582"/>
      <c r="D168" s="1677">
        <f>'Verks int o kostn'!D23</f>
        <v>0</v>
      </c>
      <c r="E168" s="1676" t="s">
        <v>1530</v>
      </c>
      <c r="F168" s="647"/>
    </row>
    <row r="169" spans="1:7" s="2489" customFormat="1">
      <c r="A169" s="2578"/>
      <c r="B169" s="1677"/>
      <c r="C169" s="2581"/>
      <c r="D169" s="1677"/>
      <c r="E169" s="649" t="str">
        <f>IF((F170&lt;&gt;"Kontrollera differensen"),"","Differens:")</f>
        <v/>
      </c>
      <c r="F169" s="645"/>
      <c r="G169" s="2494"/>
    </row>
    <row r="170" spans="1:7" s="2489" customFormat="1">
      <c r="A170" s="648" t="s">
        <v>620</v>
      </c>
      <c r="B170" s="1677"/>
      <c r="C170" s="2581"/>
      <c r="D170" s="1677"/>
      <c r="E170" s="649" t="str">
        <f>IF((F170&lt;&gt;"Kontrollera differensen"),"",(B168-D168))</f>
        <v/>
      </c>
      <c r="F170" s="649" t="str">
        <f>IF(AND(B168=0,D168=0),"",IF(OR(B168=0,D168=0),"Kontrollera differensen",IF(OR(AND(ABS((B168-D168)/D168)&gt;5%),ABS(B168-D168)&gt;10),"Kontrollera differensen","")))</f>
        <v/>
      </c>
      <c r="G170" s="2493"/>
    </row>
    <row r="171" spans="1:7" s="2489" customFormat="1">
      <c r="A171" s="3133"/>
      <c r="B171" s="3134"/>
      <c r="C171" s="3134"/>
      <c r="D171" s="3134"/>
      <c r="E171" s="3135"/>
      <c r="F171" s="1679"/>
      <c r="G171" s="2493"/>
    </row>
    <row r="172" spans="1:7" s="2489" customFormat="1">
      <c r="A172" s="3083"/>
      <c r="B172" s="3109"/>
      <c r="C172" s="3109"/>
      <c r="D172" s="3109"/>
      <c r="E172" s="3085"/>
      <c r="F172" s="1680"/>
      <c r="G172" s="2493"/>
    </row>
    <row r="173" spans="1:7" s="2489" customFormat="1">
      <c r="A173" s="3136"/>
      <c r="B173" s="3137"/>
      <c r="C173" s="3137"/>
      <c r="D173" s="3137"/>
      <c r="E173" s="3138"/>
      <c r="F173" s="1681"/>
      <c r="G173" s="2493"/>
    </row>
    <row r="174" spans="1:7">
      <c r="A174" s="368" t="s">
        <v>1532</v>
      </c>
      <c r="B174" s="2316"/>
      <c r="C174" s="2317"/>
      <c r="D174" s="2318"/>
      <c r="E174" s="653"/>
      <c r="F174" s="646"/>
      <c r="G174" s="332"/>
    </row>
    <row r="175" spans="1:7">
      <c r="A175" s="2577" t="s">
        <v>416</v>
      </c>
      <c r="B175" s="2572"/>
      <c r="C175" s="2573"/>
      <c r="D175" s="2572"/>
      <c r="E175" s="2571" t="s">
        <v>382</v>
      </c>
      <c r="F175" s="647"/>
      <c r="G175" s="332"/>
    </row>
    <row r="176" spans="1:7" ht="14.25" customHeight="1">
      <c r="A176" s="348" t="s">
        <v>393</v>
      </c>
      <c r="B176" s="335">
        <f>Motpart!AC42</f>
        <v>0</v>
      </c>
      <c r="C176" s="344"/>
      <c r="D176" s="335">
        <f>'Verks int o kostn'!D14</f>
        <v>0</v>
      </c>
      <c r="E176" s="333" t="s">
        <v>394</v>
      </c>
      <c r="F176" s="647"/>
      <c r="G176" s="332"/>
    </row>
    <row r="177" spans="1:7">
      <c r="A177" s="348"/>
      <c r="C177" s="344"/>
      <c r="D177" s="335">
        <f>'Verks int o kostn'!D19</f>
        <v>0</v>
      </c>
      <c r="E177" s="333" t="s">
        <v>1538</v>
      </c>
      <c r="F177" s="647"/>
      <c r="G177" s="332"/>
    </row>
    <row r="178" spans="1:7">
      <c r="A178" s="348"/>
      <c r="C178" s="344"/>
      <c r="D178" s="335">
        <f>'Verks int o kostn'!D20</f>
        <v>0</v>
      </c>
      <c r="E178" s="333" t="s">
        <v>1670</v>
      </c>
      <c r="F178" s="647"/>
      <c r="G178" s="332"/>
    </row>
    <row r="179" spans="1:7">
      <c r="A179" s="348"/>
      <c r="B179" s="335"/>
      <c r="C179" s="344"/>
      <c r="D179" s="335">
        <f>'Verks int o kostn'!D21</f>
        <v>0</v>
      </c>
      <c r="E179" s="333" t="s">
        <v>1534</v>
      </c>
      <c r="F179" s="647"/>
      <c r="G179" s="332"/>
    </row>
    <row r="180" spans="1:7">
      <c r="A180" s="348"/>
      <c r="B180" s="335"/>
      <c r="C180" s="344"/>
      <c r="D180" s="335">
        <f>'Verks int o kostn'!D22</f>
        <v>0</v>
      </c>
      <c r="E180" s="333" t="s">
        <v>1535</v>
      </c>
      <c r="F180" s="647"/>
      <c r="G180" s="332"/>
    </row>
    <row r="181" spans="1:7">
      <c r="A181" s="348"/>
      <c r="B181" s="335"/>
      <c r="C181" s="344"/>
      <c r="D181" s="335">
        <f>SUM('Verks int o kostn'!D24+'Verks int o kostn'!D25)</f>
        <v>0</v>
      </c>
      <c r="E181" s="333" t="s">
        <v>1590</v>
      </c>
      <c r="F181" s="647"/>
      <c r="G181" s="332"/>
    </row>
    <row r="182" spans="1:7">
      <c r="A182" s="348"/>
      <c r="B182" s="347">
        <f>SUM(B176:B180)</f>
        <v>0</v>
      </c>
      <c r="C182" s="340" t="s">
        <v>564</v>
      </c>
      <c r="D182" s="347">
        <f>SUM(D176:D181)</f>
        <v>0</v>
      </c>
      <c r="E182" s="337" t="str">
        <f>IF((F183&lt;&gt;"Kontrollera differensen"),"","Differens:")</f>
        <v/>
      </c>
      <c r="G182" s="332"/>
    </row>
    <row r="183" spans="1:7" s="645" customFormat="1">
      <c r="A183" s="334" t="s">
        <v>620</v>
      </c>
      <c r="B183" s="343"/>
      <c r="C183" s="340"/>
      <c r="D183" s="343"/>
      <c r="E183" s="337" t="str">
        <f>IF((F183&lt;&gt;"Kontrollera differensen"),"",(B182-D182))</f>
        <v/>
      </c>
      <c r="F183" s="649" t="str">
        <f>IF(AND(B182=0,D182=0),"",IF(OR(B182=0,D182=0),"Kontrollera differensen",IF(OR(AND(ABS((B182-D182)/D182)&gt;5%),ABS(B182-D182)&gt;10),"Kontrollera differensen","")))</f>
        <v/>
      </c>
      <c r="G183" s="2319"/>
    </row>
    <row r="184" spans="1:7">
      <c r="A184" s="3133"/>
      <c r="B184" s="3134"/>
      <c r="C184" s="3134"/>
      <c r="D184" s="3134"/>
      <c r="E184" s="3135"/>
      <c r="F184" s="1679"/>
      <c r="G184" s="332"/>
    </row>
    <row r="185" spans="1:7">
      <c r="A185" s="3083"/>
      <c r="B185" s="3109"/>
      <c r="C185" s="3109"/>
      <c r="D185" s="3109"/>
      <c r="E185" s="3085"/>
      <c r="F185" s="1680"/>
      <c r="G185" s="332"/>
    </row>
    <row r="186" spans="1:7">
      <c r="A186" s="3136"/>
      <c r="B186" s="3137"/>
      <c r="C186" s="3137"/>
      <c r="D186" s="3137"/>
      <c r="E186" s="3138"/>
      <c r="F186" s="1681"/>
      <c r="G186" s="332"/>
    </row>
    <row r="187" spans="1:7">
      <c r="A187" s="2490"/>
      <c r="B187" s="2490"/>
      <c r="C187" s="2490"/>
      <c r="D187" s="2490"/>
      <c r="E187" s="2490"/>
      <c r="F187" s="2492"/>
      <c r="G187" s="332"/>
    </row>
    <row r="188" spans="1:7">
      <c r="A188" s="2490"/>
      <c r="B188" s="2490"/>
      <c r="C188" s="2490"/>
      <c r="D188" s="2490"/>
      <c r="E188" s="2490"/>
      <c r="F188" s="2492"/>
      <c r="G188" s="332"/>
    </row>
    <row r="189" spans="1:7">
      <c r="A189" s="2490"/>
      <c r="B189" s="2490"/>
      <c r="C189" s="2490"/>
      <c r="D189" s="2490"/>
      <c r="E189" s="2490"/>
      <c r="F189" s="2492"/>
      <c r="G189" s="332"/>
    </row>
    <row r="190" spans="1:7">
      <c r="A190" s="2490"/>
      <c r="B190" s="2490"/>
      <c r="C190" s="2490"/>
      <c r="D190" s="2490"/>
      <c r="E190" s="2490"/>
      <c r="F190" s="2492"/>
      <c r="G190" s="332"/>
    </row>
    <row r="191" spans="1:7">
      <c r="A191" s="2490"/>
      <c r="B191" s="2490"/>
      <c r="C191" s="2490"/>
      <c r="D191" s="2490"/>
      <c r="E191" s="2490"/>
      <c r="F191" s="2492"/>
      <c r="G191" s="332"/>
    </row>
    <row r="192" spans="1:7">
      <c r="A192" s="2490"/>
      <c r="B192" s="2490"/>
      <c r="C192" s="2490"/>
      <c r="D192" s="2490"/>
      <c r="E192" s="2490"/>
      <c r="F192" s="2492"/>
      <c r="G192" s="332"/>
    </row>
    <row r="193" spans="1:7">
      <c r="A193" s="2490"/>
      <c r="B193" s="2490"/>
      <c r="C193" s="2490"/>
      <c r="D193" s="2490"/>
      <c r="E193" s="2490"/>
      <c r="F193" s="2492"/>
      <c r="G193" s="332"/>
    </row>
    <row r="194" spans="1:7">
      <c r="A194" s="2490"/>
      <c r="B194" s="2490"/>
      <c r="C194" s="2490"/>
      <c r="D194" s="2490"/>
      <c r="E194" s="2490"/>
      <c r="F194" s="2492"/>
      <c r="G194" s="332"/>
    </row>
    <row r="195" spans="1:7">
      <c r="A195" s="2490"/>
      <c r="B195" s="2490"/>
      <c r="C195" s="2490"/>
      <c r="D195" s="2490"/>
      <c r="E195" s="2490"/>
      <c r="F195" s="2492"/>
      <c r="G195" s="332"/>
    </row>
    <row r="196" spans="1:7">
      <c r="A196" s="2490"/>
      <c r="B196" s="2490"/>
      <c r="C196" s="2490"/>
      <c r="D196" s="2490"/>
      <c r="E196" s="2490"/>
      <c r="F196" s="2492"/>
      <c r="G196" s="332"/>
    </row>
    <row r="197" spans="1:7">
      <c r="A197" s="2490"/>
      <c r="B197" s="2490"/>
      <c r="C197" s="2490"/>
      <c r="D197" s="2490"/>
      <c r="E197" s="2490"/>
      <c r="F197" s="2492"/>
      <c r="G197" s="332"/>
    </row>
    <row r="198" spans="1:7">
      <c r="A198" s="2490"/>
      <c r="B198" s="2490"/>
      <c r="C198" s="2490"/>
      <c r="D198" s="2490"/>
      <c r="E198" s="2490"/>
      <c r="F198" s="2492"/>
      <c r="G198" s="332"/>
    </row>
    <row r="199" spans="1:7">
      <c r="A199" s="2490"/>
      <c r="B199" s="2490"/>
      <c r="C199" s="2490"/>
      <c r="D199" s="2490"/>
      <c r="E199" s="2490"/>
      <c r="F199" s="2492"/>
      <c r="G199" s="332"/>
    </row>
    <row r="200" spans="1:7">
      <c r="A200" s="2490"/>
      <c r="B200" s="2490"/>
      <c r="C200" s="2490"/>
      <c r="D200" s="2490"/>
      <c r="E200" s="2490"/>
      <c r="F200" s="2492"/>
      <c r="G200" s="332"/>
    </row>
    <row r="201" spans="1:7">
      <c r="A201" s="2490"/>
      <c r="B201" s="2490"/>
      <c r="C201" s="2490"/>
      <c r="D201" s="2490"/>
      <c r="E201" s="2490"/>
      <c r="F201" s="2492"/>
      <c r="G201" s="332"/>
    </row>
    <row r="202" spans="1:7">
      <c r="A202" s="2490"/>
      <c r="B202" s="2490"/>
      <c r="C202" s="2490"/>
      <c r="D202" s="2490"/>
      <c r="E202" s="2490"/>
      <c r="F202" s="2492"/>
      <c r="G202" s="332"/>
    </row>
    <row r="203" spans="1:7">
      <c r="A203" s="2490"/>
      <c r="B203" s="2490"/>
      <c r="C203" s="2490"/>
      <c r="D203" s="2490"/>
      <c r="E203" s="2490"/>
      <c r="F203" s="2492"/>
      <c r="G203" s="332"/>
    </row>
    <row r="204" spans="1:7">
      <c r="A204" s="2490"/>
      <c r="B204" s="2490"/>
      <c r="C204" s="2490"/>
      <c r="D204" s="2490"/>
      <c r="E204" s="2490"/>
      <c r="F204" s="2492"/>
      <c r="G204" s="332"/>
    </row>
    <row r="205" spans="1:7">
      <c r="A205" s="2490"/>
      <c r="B205" s="2490"/>
      <c r="C205" s="2490"/>
      <c r="D205" s="2490"/>
      <c r="E205" s="2490"/>
      <c r="F205" s="2492"/>
      <c r="G205" s="332"/>
    </row>
    <row r="206" spans="1:7">
      <c r="A206" s="2490"/>
      <c r="B206" s="2490"/>
      <c r="C206" s="2490"/>
      <c r="D206" s="2490"/>
      <c r="E206" s="2490"/>
      <c r="F206" s="2492"/>
      <c r="G206" s="332"/>
    </row>
    <row r="207" spans="1:7">
      <c r="A207" s="2490"/>
      <c r="B207" s="2490"/>
      <c r="C207" s="2490"/>
      <c r="D207" s="2490"/>
      <c r="E207" s="2490"/>
      <c r="F207" s="2492"/>
      <c r="G207" s="332"/>
    </row>
    <row r="208" spans="1:7" hidden="1">
      <c r="A208" s="334"/>
      <c r="B208" s="343"/>
      <c r="C208" s="340"/>
      <c r="D208" s="343"/>
      <c r="E208" s="337"/>
      <c r="F208" s="649"/>
      <c r="G208" s="332"/>
    </row>
    <row r="209" spans="1:7" hidden="1">
      <c r="A209" s="334"/>
      <c r="B209" s="343"/>
      <c r="C209" s="340"/>
      <c r="D209" s="343"/>
      <c r="E209" s="337"/>
      <c r="F209" s="649"/>
      <c r="G209" s="332"/>
    </row>
    <row r="210" spans="1:7" hidden="1">
      <c r="A210" s="334"/>
      <c r="B210" s="343"/>
      <c r="C210" s="340"/>
      <c r="D210" s="343"/>
      <c r="E210" s="337"/>
      <c r="F210" s="649"/>
      <c r="G210" s="332"/>
    </row>
    <row r="211" spans="1:7" ht="18.5" hidden="1">
      <c r="A211" s="2352"/>
      <c r="B211" s="2353" t="s">
        <v>1435</v>
      </c>
      <c r="C211" s="2353" t="s">
        <v>1436</v>
      </c>
      <c r="D211" s="2354" t="s">
        <v>1450</v>
      </c>
      <c r="E211" s="2365" t="s">
        <v>555</v>
      </c>
      <c r="F211" s="2366" t="s">
        <v>1451</v>
      </c>
      <c r="G211" s="332"/>
    </row>
    <row r="212" spans="1:7" hidden="1">
      <c r="A212" s="2355" t="s">
        <v>1471</v>
      </c>
      <c r="B212" s="2346"/>
      <c r="C212" s="2346"/>
      <c r="D212" s="2346"/>
      <c r="E212" s="2346"/>
      <c r="F212" s="2356"/>
      <c r="G212" s="332"/>
    </row>
    <row r="213" spans="1:7" ht="20.25" hidden="1" customHeight="1">
      <c r="A213" s="2357" t="s">
        <v>1452</v>
      </c>
      <c r="B213" s="2347">
        <f>Drift!C86</f>
        <v>0</v>
      </c>
      <c r="C213" s="2347"/>
      <c r="D213" s="2347">
        <f>B213-C213</f>
        <v>0</v>
      </c>
      <c r="E213" s="2363" t="str">
        <f>IF(AND(B213=0,C213=0),"",IF(C213=0,"100%",(B213-C213)/C213))</f>
        <v/>
      </c>
      <c r="F213" s="2358"/>
      <c r="G213" s="332"/>
    </row>
    <row r="214" spans="1:7" hidden="1">
      <c r="A214" s="2357" t="s">
        <v>1453</v>
      </c>
      <c r="B214" s="2347">
        <f>Drift!D86</f>
        <v>0</v>
      </c>
      <c r="C214" s="2347"/>
      <c r="D214" s="2347">
        <f t="shared" ref="D214:D217" si="0">B214-C214</f>
        <v>0</v>
      </c>
      <c r="E214" s="2363" t="str">
        <f t="shared" ref="E214:E217" si="1">IF(AND(B214=0,C214=0),"",IF(C214=0,"100%",(B214-C214)/C214))</f>
        <v/>
      </c>
      <c r="F214" s="2358"/>
      <c r="G214" s="332"/>
    </row>
    <row r="215" spans="1:7" hidden="1">
      <c r="A215" s="2357" t="s">
        <v>1454</v>
      </c>
      <c r="B215" s="2347">
        <f>Drift!E86</f>
        <v>0</v>
      </c>
      <c r="C215" s="2347"/>
      <c r="D215" s="2347">
        <f t="shared" si="0"/>
        <v>0</v>
      </c>
      <c r="E215" s="2363" t="str">
        <f t="shared" si="1"/>
        <v/>
      </c>
      <c r="F215" s="2358"/>
      <c r="G215" s="332"/>
    </row>
    <row r="216" spans="1:7" hidden="1">
      <c r="A216" s="2357" t="s">
        <v>1455</v>
      </c>
      <c r="B216" s="2347">
        <f>Drift!F86</f>
        <v>0</v>
      </c>
      <c r="C216" s="2347"/>
      <c r="D216" s="2347">
        <f t="shared" si="0"/>
        <v>0</v>
      </c>
      <c r="E216" s="2363" t="str">
        <f t="shared" si="1"/>
        <v/>
      </c>
      <c r="F216" s="2358"/>
      <c r="G216" s="332"/>
    </row>
    <row r="217" spans="1:7" ht="17.25" hidden="1" customHeight="1">
      <c r="A217" s="2357" t="s">
        <v>1456</v>
      </c>
      <c r="B217" s="2347">
        <f>Drift!G86</f>
        <v>0</v>
      </c>
      <c r="C217" s="2347"/>
      <c r="D217" s="2347">
        <f t="shared" si="0"/>
        <v>0</v>
      </c>
      <c r="E217" s="2363" t="str">
        <f t="shared" si="1"/>
        <v/>
      </c>
      <c r="F217" s="2358"/>
      <c r="G217" s="332"/>
    </row>
    <row r="218" spans="1:7" ht="17.25" hidden="1" customHeight="1">
      <c r="A218" s="2362" t="s">
        <v>1446</v>
      </c>
      <c r="B218" s="2347">
        <f>Drift!H75</f>
        <v>0</v>
      </c>
      <c r="C218" s="2347">
        <v>3911</v>
      </c>
      <c r="D218" s="2347">
        <f t="shared" ref="D218:D230" si="2">B218-C218</f>
        <v>-3911</v>
      </c>
      <c r="E218" s="2363">
        <f t="shared" ref="E218:E230" si="3">IF(AND(B218=0,C218=0),"",IF(C218=0,"100%",(B218-C218)/C218))</f>
        <v>-1</v>
      </c>
      <c r="F218" s="2358"/>
      <c r="G218" s="332"/>
    </row>
    <row r="219" spans="1:7" ht="17.25" hidden="1" customHeight="1">
      <c r="A219" s="2362" t="s">
        <v>1447</v>
      </c>
      <c r="B219" s="2347">
        <f>Drift!I75</f>
        <v>0</v>
      </c>
      <c r="C219" s="2347">
        <v>1048</v>
      </c>
      <c r="D219" s="2347">
        <f t="shared" si="2"/>
        <v>-1048</v>
      </c>
      <c r="E219" s="2363">
        <f t="shared" si="3"/>
        <v>-1</v>
      </c>
      <c r="F219" s="2358"/>
      <c r="G219" s="332"/>
    </row>
    <row r="220" spans="1:7" ht="17.25" hidden="1" customHeight="1">
      <c r="A220" s="2362" t="s">
        <v>1448</v>
      </c>
      <c r="B220" s="2347">
        <f>Drift!J75</f>
        <v>0</v>
      </c>
      <c r="C220" s="2347">
        <v>200</v>
      </c>
      <c r="D220" s="2347">
        <f t="shared" si="2"/>
        <v>-200</v>
      </c>
      <c r="E220" s="2363">
        <f t="shared" si="3"/>
        <v>-1</v>
      </c>
      <c r="F220" s="2358"/>
      <c r="G220" s="332"/>
    </row>
    <row r="221" spans="1:7" ht="17.25" hidden="1" customHeight="1">
      <c r="A221" s="2362" t="s">
        <v>1437</v>
      </c>
      <c r="B221" s="2347">
        <f>Drift!L75</f>
        <v>0</v>
      </c>
      <c r="C221" s="2347">
        <v>348</v>
      </c>
      <c r="D221" s="2347">
        <f t="shared" si="2"/>
        <v>-348</v>
      </c>
      <c r="E221" s="2363">
        <f t="shared" si="3"/>
        <v>-1</v>
      </c>
      <c r="F221" s="2358"/>
      <c r="G221" s="332"/>
    </row>
    <row r="222" spans="1:7" ht="17.25" hidden="1" customHeight="1">
      <c r="A222" s="2362" t="s">
        <v>1449</v>
      </c>
      <c r="B222" s="2347">
        <f>Drift!M75</f>
        <v>0</v>
      </c>
      <c r="C222" s="2347">
        <v>77</v>
      </c>
      <c r="D222" s="2347">
        <f t="shared" si="2"/>
        <v>-77</v>
      </c>
      <c r="E222" s="2363">
        <f t="shared" si="3"/>
        <v>-1</v>
      </c>
      <c r="F222" s="2358"/>
      <c r="G222" s="332"/>
    </row>
    <row r="223" spans="1:7" ht="17.25" hidden="1" customHeight="1">
      <c r="A223" s="2362" t="s">
        <v>1438</v>
      </c>
      <c r="B223" s="2347">
        <f>Drift!N75</f>
        <v>0</v>
      </c>
      <c r="C223" s="2347">
        <v>0</v>
      </c>
      <c r="D223" s="2347">
        <f t="shared" si="2"/>
        <v>0</v>
      </c>
      <c r="E223" s="2363" t="str">
        <f t="shared" si="3"/>
        <v/>
      </c>
      <c r="F223" s="2358"/>
      <c r="G223" s="332"/>
    </row>
    <row r="224" spans="1:7" ht="17.25" hidden="1" customHeight="1">
      <c r="A224" s="2362" t="s">
        <v>1439</v>
      </c>
      <c r="B224" s="2347">
        <f>Drift!O75</f>
        <v>0</v>
      </c>
      <c r="C224" s="2347">
        <v>1628.4306033254325</v>
      </c>
      <c r="D224" s="2347">
        <f t="shared" si="2"/>
        <v>-1628.4306033254325</v>
      </c>
      <c r="E224" s="2363">
        <f t="shared" si="3"/>
        <v>-1</v>
      </c>
      <c r="F224" s="2358"/>
      <c r="G224" s="332"/>
    </row>
    <row r="225" spans="1:7" hidden="1">
      <c r="A225" s="2362" t="s">
        <v>1440</v>
      </c>
      <c r="B225" s="2347">
        <f>Drift!P75</f>
        <v>0</v>
      </c>
      <c r="C225" s="2347">
        <v>62174.430603325432</v>
      </c>
      <c r="D225" s="2347">
        <f t="shared" si="2"/>
        <v>-62174.430603325432</v>
      </c>
      <c r="E225" s="2363">
        <f t="shared" si="3"/>
        <v>-1</v>
      </c>
      <c r="F225" s="2358"/>
      <c r="G225" s="332"/>
    </row>
    <row r="226" spans="1:7" hidden="1">
      <c r="A226" s="2362" t="s">
        <v>1441</v>
      </c>
      <c r="B226" s="2347">
        <f>Drift!R75</f>
        <v>0</v>
      </c>
      <c r="C226" s="2347">
        <v>37</v>
      </c>
      <c r="D226" s="2347">
        <f t="shared" si="2"/>
        <v>-37</v>
      </c>
      <c r="E226" s="2363">
        <f t="shared" si="3"/>
        <v>-1</v>
      </c>
      <c r="F226" s="2358"/>
      <c r="G226" s="332"/>
    </row>
    <row r="227" spans="1:7" hidden="1">
      <c r="A227" s="2362" t="s">
        <v>1442</v>
      </c>
      <c r="B227" s="2347">
        <f>Drift!S75</f>
        <v>0</v>
      </c>
      <c r="C227" s="2347">
        <v>453</v>
      </c>
      <c r="D227" s="2347">
        <f t="shared" si="2"/>
        <v>-453</v>
      </c>
      <c r="E227" s="2363">
        <f t="shared" si="3"/>
        <v>-1</v>
      </c>
      <c r="F227" s="2358"/>
      <c r="G227" s="332"/>
    </row>
    <row r="228" spans="1:7" hidden="1">
      <c r="A228" s="2362" t="s">
        <v>1443</v>
      </c>
      <c r="B228" s="2347">
        <f>Drift!T75</f>
        <v>0</v>
      </c>
      <c r="C228" s="2347">
        <v>11003</v>
      </c>
      <c r="D228" s="2347">
        <f t="shared" si="2"/>
        <v>-11003</v>
      </c>
      <c r="E228" s="2363">
        <f t="shared" si="3"/>
        <v>-1</v>
      </c>
      <c r="F228" s="2358"/>
      <c r="G228" s="332"/>
    </row>
    <row r="229" spans="1:7" hidden="1">
      <c r="A229" s="2362" t="s">
        <v>1444</v>
      </c>
      <c r="B229" s="2347">
        <f>Drift!V75</f>
        <v>0</v>
      </c>
      <c r="C229" s="2347">
        <v>126</v>
      </c>
      <c r="D229" s="2347">
        <f t="shared" si="2"/>
        <v>-126</v>
      </c>
      <c r="E229" s="2363">
        <f t="shared" si="3"/>
        <v>-1</v>
      </c>
      <c r="F229" s="2358"/>
    </row>
    <row r="230" spans="1:7" hidden="1">
      <c r="A230" s="2364" t="s">
        <v>1445</v>
      </c>
      <c r="B230" s="2360">
        <f>Drift!W75</f>
        <v>0</v>
      </c>
      <c r="C230" s="2360">
        <v>11619</v>
      </c>
      <c r="D230" s="2360">
        <f t="shared" si="2"/>
        <v>-11619</v>
      </c>
      <c r="E230" s="2367">
        <f t="shared" si="3"/>
        <v>-1</v>
      </c>
      <c r="F230" s="2361"/>
    </row>
    <row r="231" spans="1:7" hidden="1">
      <c r="A231" s="2350"/>
      <c r="B231" s="343"/>
      <c r="C231" s="343"/>
      <c r="D231" s="343"/>
      <c r="E231" s="2351"/>
      <c r="F231" s="2351"/>
    </row>
    <row r="232" spans="1:7" hidden="1">
      <c r="A232" s="334" t="s">
        <v>1469</v>
      </c>
    </row>
    <row r="233" spans="1:7" hidden="1">
      <c r="A233" s="2530"/>
      <c r="B233" s="2531"/>
      <c r="C233" s="2531"/>
      <c r="D233" s="2531"/>
      <c r="E233" s="2532"/>
    </row>
    <row r="234" spans="1:7" hidden="1">
      <c r="A234" s="2533"/>
      <c r="B234" s="2534"/>
      <c r="C234" s="2534"/>
      <c r="D234" s="2534"/>
      <c r="E234" s="2529"/>
    </row>
    <row r="235" spans="1:7" hidden="1">
      <c r="A235" s="2535"/>
      <c r="B235" s="2536"/>
      <c r="C235" s="2536"/>
      <c r="D235" s="2536"/>
      <c r="E235" s="2537"/>
    </row>
    <row r="236" spans="1:7" ht="12.75" hidden="1" customHeight="1">
      <c r="A236" s="2260"/>
      <c r="B236" s="2260"/>
      <c r="C236" s="2260"/>
      <c r="D236" s="2260"/>
      <c r="E236" s="2260"/>
    </row>
    <row r="237" spans="1:7" ht="12.75" hidden="1" customHeight="1">
      <c r="A237" s="2352"/>
      <c r="B237" s="2353" t="s">
        <v>1435</v>
      </c>
      <c r="C237" s="2353" t="s">
        <v>1436</v>
      </c>
      <c r="D237" s="2354" t="s">
        <v>1450</v>
      </c>
      <c r="E237" s="2365" t="s">
        <v>555</v>
      </c>
      <c r="F237" s="2366" t="s">
        <v>1451</v>
      </c>
    </row>
    <row r="238" spans="1:7" ht="12.75" hidden="1" customHeight="1">
      <c r="A238" s="2355" t="s">
        <v>1472</v>
      </c>
      <c r="B238" s="2346"/>
      <c r="C238" s="2346"/>
      <c r="D238" s="2346"/>
      <c r="E238" s="2346"/>
      <c r="F238" s="2356"/>
    </row>
    <row r="239" spans="1:7" hidden="1">
      <c r="A239" s="2357" t="s">
        <v>1452</v>
      </c>
      <c r="B239" s="2347">
        <f>Drift!C112</f>
        <v>0</v>
      </c>
      <c r="C239" s="2347">
        <v>33729</v>
      </c>
      <c r="D239" s="2347">
        <f>B239-C239</f>
        <v>-33729</v>
      </c>
      <c r="E239" s="2363">
        <f>IF(AND(B239=0,C239=0),"",IF(C239=0,"100%",(B239-C239)/C239))</f>
        <v>-1</v>
      </c>
      <c r="F239" s="2358"/>
    </row>
    <row r="240" spans="1:7" hidden="1">
      <c r="A240" s="2357" t="s">
        <v>1453</v>
      </c>
      <c r="B240" s="2347">
        <f>Drift!D112</f>
        <v>0</v>
      </c>
      <c r="C240" s="2347">
        <v>12740</v>
      </c>
      <c r="D240" s="2347">
        <f t="shared" ref="D240:D252" si="4">B240-C240</f>
        <v>-12740</v>
      </c>
      <c r="E240" s="2363">
        <f t="shared" ref="E240:E252" si="5">IF(AND(B240=0,C240=0),"",IF(C240=0,"100%",(B240-C240)/C240))</f>
        <v>-1</v>
      </c>
      <c r="F240" s="2358"/>
    </row>
    <row r="241" spans="1:6" hidden="1">
      <c r="A241" s="2357" t="s">
        <v>1454</v>
      </c>
      <c r="B241" s="2347">
        <f>Drift!E112</f>
        <v>0</v>
      </c>
      <c r="C241" s="2347">
        <v>650</v>
      </c>
      <c r="D241" s="2347">
        <f t="shared" si="4"/>
        <v>-650</v>
      </c>
      <c r="E241" s="2363">
        <f t="shared" si="5"/>
        <v>-1</v>
      </c>
      <c r="F241" s="2358"/>
    </row>
    <row r="242" spans="1:6" hidden="1">
      <c r="A242" s="2357" t="s">
        <v>1455</v>
      </c>
      <c r="B242" s="2347">
        <f>Drift!F112</f>
        <v>0</v>
      </c>
      <c r="C242" s="2347">
        <v>6632</v>
      </c>
      <c r="D242" s="2347">
        <f t="shared" si="4"/>
        <v>-6632</v>
      </c>
      <c r="E242" s="2363">
        <f t="shared" si="5"/>
        <v>-1</v>
      </c>
      <c r="F242" s="2358"/>
    </row>
    <row r="243" spans="1:6" hidden="1">
      <c r="A243" s="2357" t="s">
        <v>1456</v>
      </c>
      <c r="B243" s="2347">
        <f>Drift!G112</f>
        <v>0</v>
      </c>
      <c r="C243" s="2347">
        <v>1211</v>
      </c>
      <c r="D243" s="2347">
        <f t="shared" si="4"/>
        <v>-1211</v>
      </c>
      <c r="E243" s="2363">
        <f t="shared" si="5"/>
        <v>-1</v>
      </c>
      <c r="F243" s="2358"/>
    </row>
    <row r="244" spans="1:6" hidden="1">
      <c r="A244" s="2357" t="s">
        <v>1457</v>
      </c>
      <c r="B244" s="2347">
        <f>Drift!H112</f>
        <v>0</v>
      </c>
      <c r="C244" s="2347">
        <v>3911</v>
      </c>
      <c r="D244" s="2347">
        <f t="shared" si="4"/>
        <v>-3911</v>
      </c>
      <c r="E244" s="2363">
        <f t="shared" si="5"/>
        <v>-1</v>
      </c>
      <c r="F244" s="2358"/>
    </row>
    <row r="245" spans="1:6" hidden="1">
      <c r="A245" s="2357" t="s">
        <v>1458</v>
      </c>
      <c r="B245" s="2347">
        <f>Drift!I112</f>
        <v>0</v>
      </c>
      <c r="C245" s="2347">
        <v>1048</v>
      </c>
      <c r="D245" s="2347">
        <f t="shared" si="4"/>
        <v>-1048</v>
      </c>
      <c r="E245" s="2363">
        <f t="shared" si="5"/>
        <v>-1</v>
      </c>
      <c r="F245" s="2358"/>
    </row>
    <row r="246" spans="1:6" hidden="1">
      <c r="A246" s="2357" t="s">
        <v>1459</v>
      </c>
      <c r="B246" s="2347">
        <f>Drift!J112</f>
        <v>0</v>
      </c>
      <c r="C246" s="2347">
        <v>200</v>
      </c>
      <c r="D246" s="2347">
        <f t="shared" si="4"/>
        <v>-200</v>
      </c>
      <c r="E246" s="2363">
        <f t="shared" si="5"/>
        <v>-1</v>
      </c>
      <c r="F246" s="2358"/>
    </row>
    <row r="247" spans="1:6" hidden="1">
      <c r="A247" s="2357" t="s">
        <v>1460</v>
      </c>
      <c r="B247" s="2347">
        <f>Drift!L112</f>
        <v>0</v>
      </c>
      <c r="C247" s="2347">
        <v>348</v>
      </c>
      <c r="D247" s="2347">
        <f t="shared" si="4"/>
        <v>-348</v>
      </c>
      <c r="E247" s="2363">
        <f t="shared" si="5"/>
        <v>-1</v>
      </c>
      <c r="F247" s="2358"/>
    </row>
    <row r="248" spans="1:6" hidden="1">
      <c r="A248" s="2357" t="s">
        <v>1461</v>
      </c>
      <c r="B248" s="2347">
        <f>Drift!M112</f>
        <v>0</v>
      </c>
      <c r="C248" s="2347">
        <v>0</v>
      </c>
      <c r="D248" s="2347">
        <f t="shared" si="4"/>
        <v>0</v>
      </c>
      <c r="E248" s="2363" t="str">
        <f t="shared" si="5"/>
        <v/>
      </c>
      <c r="F248" s="2358"/>
    </row>
    <row r="249" spans="1:6" hidden="1">
      <c r="A249" s="2357" t="s">
        <v>1462</v>
      </c>
      <c r="B249" s="2347">
        <f>Drift!P112</f>
        <v>0</v>
      </c>
      <c r="C249" s="2347">
        <v>62174.430603325432</v>
      </c>
      <c r="D249" s="2347">
        <f t="shared" si="4"/>
        <v>-62174.430603325432</v>
      </c>
      <c r="E249" s="2363">
        <f t="shared" si="5"/>
        <v>-1</v>
      </c>
      <c r="F249" s="2358"/>
    </row>
    <row r="250" spans="1:6" hidden="1">
      <c r="A250" s="2357" t="s">
        <v>1463</v>
      </c>
      <c r="B250" s="2347">
        <f>Drift!R112</f>
        <v>0</v>
      </c>
      <c r="C250" s="2347">
        <v>37</v>
      </c>
      <c r="D250" s="2347">
        <f t="shared" si="4"/>
        <v>-37</v>
      </c>
      <c r="E250" s="2363">
        <f t="shared" si="5"/>
        <v>-1</v>
      </c>
      <c r="F250" s="2358"/>
    </row>
    <row r="251" spans="1:6" hidden="1">
      <c r="A251" s="2357" t="s">
        <v>1464</v>
      </c>
      <c r="B251" s="2347">
        <f>Drift!S112</f>
        <v>0</v>
      </c>
      <c r="C251" s="2347">
        <v>453</v>
      </c>
      <c r="D251" s="2347">
        <f t="shared" si="4"/>
        <v>-453</v>
      </c>
      <c r="E251" s="2363">
        <f t="shared" si="5"/>
        <v>-1</v>
      </c>
      <c r="F251" s="2358"/>
    </row>
    <row r="252" spans="1:6" hidden="1">
      <c r="A252" s="2359" t="s">
        <v>1465</v>
      </c>
      <c r="B252" s="2360">
        <f>Drift!T112</f>
        <v>0</v>
      </c>
      <c r="C252" s="2360">
        <v>11003</v>
      </c>
      <c r="D252" s="2360">
        <f t="shared" si="4"/>
        <v>-11003</v>
      </c>
      <c r="E252" s="2367">
        <f t="shared" si="5"/>
        <v>-1</v>
      </c>
      <c r="F252" s="2361"/>
    </row>
    <row r="253" spans="1:6" hidden="1">
      <c r="A253" s="2350"/>
      <c r="B253" s="343"/>
      <c r="C253" s="343"/>
      <c r="D253" s="343"/>
      <c r="E253" s="2351"/>
      <c r="F253" s="2351"/>
    </row>
    <row r="254" spans="1:6" hidden="1">
      <c r="A254" s="334" t="s">
        <v>1470</v>
      </c>
    </row>
    <row r="255" spans="1:6" hidden="1">
      <c r="A255" s="2530"/>
      <c r="B255" s="2531"/>
      <c r="C255" s="2531"/>
      <c r="D255" s="2531"/>
      <c r="E255" s="2532"/>
    </row>
    <row r="256" spans="1:6" hidden="1">
      <c r="A256" s="2533"/>
      <c r="B256" s="2534"/>
      <c r="C256" s="2534"/>
      <c r="D256" s="2534"/>
      <c r="E256" s="2529"/>
    </row>
    <row r="257" spans="1:6" hidden="1">
      <c r="A257" s="2535"/>
      <c r="B257" s="2536"/>
      <c r="C257" s="2536"/>
      <c r="D257" s="2536"/>
      <c r="E257" s="2537"/>
    </row>
    <row r="258" spans="1:6" ht="12.75" hidden="1" customHeight="1">
      <c r="A258" s="2349"/>
      <c r="B258" s="2349"/>
      <c r="C258" s="2349"/>
      <c r="D258" s="2349"/>
      <c r="E258" s="2349"/>
    </row>
    <row r="259" spans="1:6" ht="12.75" hidden="1" customHeight="1">
      <c r="A259" s="516" t="s">
        <v>1466</v>
      </c>
    </row>
    <row r="260" spans="1:6" ht="12.75" hidden="1" customHeight="1">
      <c r="A260" s="2352"/>
      <c r="B260" s="2353" t="s">
        <v>1435</v>
      </c>
      <c r="C260" s="2353" t="s">
        <v>1436</v>
      </c>
      <c r="D260" s="2354" t="s">
        <v>1450</v>
      </c>
      <c r="E260" s="2365" t="s">
        <v>555</v>
      </c>
      <c r="F260" s="2366" t="s">
        <v>1451</v>
      </c>
    </row>
    <row r="261" spans="1:6" hidden="1">
      <c r="A261" s="2355" t="s">
        <v>1005</v>
      </c>
      <c r="B261" s="2346"/>
      <c r="C261" s="2346"/>
      <c r="D261" s="2346"/>
      <c r="E261" s="2346"/>
      <c r="F261" s="2356"/>
    </row>
    <row r="262" spans="1:6" hidden="1">
      <c r="A262" s="2357" t="s">
        <v>517</v>
      </c>
      <c r="B262" s="2347">
        <f>Motpart!D42</f>
        <v>0</v>
      </c>
      <c r="C262" s="2347">
        <v>13010</v>
      </c>
      <c r="D262" s="2347">
        <f>B262-C262</f>
        <v>-13010</v>
      </c>
      <c r="E262" s="2363">
        <f>IF(AND(B262=0,C262=0),"",IF(C262=0,"100%",(B262-C262)/C262))</f>
        <v>-1</v>
      </c>
      <c r="F262" s="2358"/>
    </row>
    <row r="263" spans="1:6" hidden="1">
      <c r="A263" s="2357" t="s">
        <v>543</v>
      </c>
      <c r="B263" s="2347">
        <f>Motpart!E42</f>
        <v>0</v>
      </c>
      <c r="C263" s="2347">
        <v>22767</v>
      </c>
      <c r="D263" s="2347">
        <f t="shared" ref="D263:D278" si="6">B263-C263</f>
        <v>-22767</v>
      </c>
      <c r="E263" s="2363">
        <f t="shared" ref="E263:E278" si="7">IF(AND(B263=0,C263=0),"",IF(C263=0,"100%",(B263-C263)/C263))</f>
        <v>-1</v>
      </c>
      <c r="F263" s="2358"/>
    </row>
    <row r="264" spans="1:6" hidden="1">
      <c r="A264" s="2357" t="s">
        <v>518</v>
      </c>
      <c r="B264" s="2347">
        <f>Motpart!F42</f>
        <v>0</v>
      </c>
      <c r="C264" s="2347">
        <v>48996</v>
      </c>
      <c r="D264" s="2347">
        <f t="shared" si="6"/>
        <v>-48996</v>
      </c>
      <c r="E264" s="2363">
        <f t="shared" si="7"/>
        <v>-1</v>
      </c>
      <c r="F264" s="2358"/>
    </row>
    <row r="265" spans="1:6" hidden="1">
      <c r="A265" s="2357" t="s">
        <v>134</v>
      </c>
      <c r="B265" s="2347">
        <f>Motpart!G42</f>
        <v>0</v>
      </c>
      <c r="C265" s="2347">
        <v>10106</v>
      </c>
      <c r="D265" s="2347">
        <f t="shared" si="6"/>
        <v>-10106</v>
      </c>
      <c r="E265" s="2363">
        <f t="shared" si="7"/>
        <v>-1</v>
      </c>
      <c r="F265" s="2358"/>
    </row>
    <row r="266" spans="1:6" hidden="1">
      <c r="A266" s="2357" t="s">
        <v>1341</v>
      </c>
      <c r="B266" s="2347">
        <f>Motpart!H42</f>
        <v>0</v>
      </c>
      <c r="C266" s="2347">
        <v>2444</v>
      </c>
      <c r="D266" s="2347">
        <f t="shared" si="6"/>
        <v>-2444</v>
      </c>
      <c r="E266" s="2363">
        <f t="shared" si="7"/>
        <v>-1</v>
      </c>
      <c r="F266" s="2358"/>
    </row>
    <row r="267" spans="1:6" hidden="1">
      <c r="A267" s="2357" t="s">
        <v>519</v>
      </c>
      <c r="B267" s="2347">
        <f>Motpart!I42</f>
        <v>0</v>
      </c>
      <c r="C267" s="2347">
        <v>709</v>
      </c>
      <c r="D267" s="2347">
        <f t="shared" si="6"/>
        <v>-709</v>
      </c>
      <c r="E267" s="2363">
        <f t="shared" si="7"/>
        <v>-1</v>
      </c>
      <c r="F267" s="2358"/>
    </row>
    <row r="268" spans="1:6" hidden="1">
      <c r="A268" s="2357" t="s">
        <v>1066</v>
      </c>
      <c r="B268" s="2347">
        <f>Motpart!K42</f>
        <v>0</v>
      </c>
      <c r="C268" s="2347">
        <v>1985</v>
      </c>
      <c r="D268" s="2347">
        <f t="shared" si="6"/>
        <v>-1985</v>
      </c>
      <c r="E268" s="2363">
        <f t="shared" si="7"/>
        <v>-1</v>
      </c>
      <c r="F268" s="2358"/>
    </row>
    <row r="269" spans="1:6" hidden="1">
      <c r="A269" s="2357" t="s">
        <v>162</v>
      </c>
      <c r="B269" s="2347">
        <f>Motpart!L42</f>
        <v>0</v>
      </c>
      <c r="C269" s="2347">
        <v>10</v>
      </c>
      <c r="D269" s="2347">
        <f t="shared" si="6"/>
        <v>-10</v>
      </c>
      <c r="E269" s="2363">
        <f t="shared" si="7"/>
        <v>-1</v>
      </c>
      <c r="F269" s="2358"/>
    </row>
    <row r="270" spans="1:6" hidden="1">
      <c r="A270" s="2368"/>
      <c r="B270" s="2347"/>
      <c r="C270" s="2347"/>
      <c r="D270" s="2347"/>
      <c r="E270" s="2363"/>
      <c r="F270" s="2358"/>
    </row>
    <row r="271" spans="1:6" hidden="1">
      <c r="A271" s="2355" t="s">
        <v>1003</v>
      </c>
      <c r="B271" s="2347"/>
      <c r="C271" s="2347"/>
      <c r="D271" s="2347"/>
      <c r="E271" s="2363"/>
      <c r="F271" s="2358"/>
    </row>
    <row r="272" spans="1:6" hidden="1">
      <c r="A272" s="2357" t="s">
        <v>517</v>
      </c>
      <c r="B272" s="2347">
        <f>Motpart!O42</f>
        <v>0</v>
      </c>
      <c r="C272" s="2347">
        <v>20</v>
      </c>
      <c r="D272" s="2347">
        <f t="shared" si="6"/>
        <v>-20</v>
      </c>
      <c r="E272" s="2363">
        <f t="shared" si="7"/>
        <v>-1</v>
      </c>
      <c r="F272" s="2358"/>
    </row>
    <row r="273" spans="1:6" hidden="1">
      <c r="A273" s="2357" t="s">
        <v>543</v>
      </c>
      <c r="B273" s="2347">
        <f>Motpart!P42</f>
        <v>0</v>
      </c>
      <c r="C273" s="2347">
        <v>1628.4306033254325</v>
      </c>
      <c r="D273" s="2347">
        <f t="shared" si="6"/>
        <v>-1628.4306033254325</v>
      </c>
      <c r="E273" s="2363">
        <f t="shared" si="7"/>
        <v>-1</v>
      </c>
      <c r="F273" s="2358"/>
    </row>
    <row r="274" spans="1:6" hidden="1">
      <c r="A274" s="2357" t="s">
        <v>518</v>
      </c>
      <c r="B274" s="2347">
        <f>Motpart!Q42</f>
        <v>0</v>
      </c>
      <c r="C274" s="2347">
        <v>62174.430603325432</v>
      </c>
      <c r="D274" s="2347">
        <f t="shared" si="6"/>
        <v>-62174.430603325432</v>
      </c>
      <c r="E274" s="2363">
        <f t="shared" si="7"/>
        <v>-1</v>
      </c>
      <c r="F274" s="2358"/>
    </row>
    <row r="275" spans="1:6" hidden="1">
      <c r="A275" s="2357" t="s">
        <v>134</v>
      </c>
      <c r="B275" s="2347">
        <f>Motpart!R42</f>
        <v>0</v>
      </c>
      <c r="C275" s="2347">
        <v>37</v>
      </c>
      <c r="D275" s="2347">
        <f t="shared" si="6"/>
        <v>-37</v>
      </c>
      <c r="E275" s="2363">
        <f t="shared" si="7"/>
        <v>-1</v>
      </c>
      <c r="F275" s="2358"/>
    </row>
    <row r="276" spans="1:6" hidden="1">
      <c r="A276" s="2357" t="s">
        <v>1341</v>
      </c>
      <c r="B276" s="2347">
        <f>Motpart!S42</f>
        <v>0</v>
      </c>
      <c r="C276" s="2347">
        <v>453</v>
      </c>
      <c r="D276" s="2347">
        <f t="shared" si="6"/>
        <v>-453</v>
      </c>
      <c r="E276" s="2363">
        <f t="shared" si="7"/>
        <v>-1</v>
      </c>
      <c r="F276" s="2358"/>
    </row>
    <row r="277" spans="1:6" hidden="1">
      <c r="A277" s="2357" t="s">
        <v>1066</v>
      </c>
      <c r="B277" s="2347">
        <f>Motpart!T42</f>
        <v>0</v>
      </c>
      <c r="C277" s="2347">
        <v>11003</v>
      </c>
      <c r="D277" s="2347">
        <f t="shared" si="6"/>
        <v>-11003</v>
      </c>
      <c r="E277" s="2363">
        <f t="shared" si="7"/>
        <v>-1</v>
      </c>
      <c r="F277" s="2358"/>
    </row>
    <row r="278" spans="1:6" hidden="1">
      <c r="A278" s="2357" t="s">
        <v>1067</v>
      </c>
      <c r="B278" s="2347">
        <f>Motpart!U42</f>
        <v>0</v>
      </c>
      <c r="C278" s="2347">
        <v>126</v>
      </c>
      <c r="D278" s="2347">
        <f t="shared" si="6"/>
        <v>-126</v>
      </c>
      <c r="E278" s="2363">
        <f t="shared" si="7"/>
        <v>-1</v>
      </c>
      <c r="F278" s="2358"/>
    </row>
    <row r="279" spans="1:6" hidden="1">
      <c r="A279" s="2357" t="s">
        <v>1065</v>
      </c>
      <c r="B279" s="2347">
        <f>Motpart!V42</f>
        <v>0</v>
      </c>
      <c r="C279" s="2347">
        <v>200</v>
      </c>
      <c r="D279" s="2347">
        <f t="shared" ref="D279" si="8">B279-C279</f>
        <v>-200</v>
      </c>
      <c r="E279" s="2363">
        <f t="shared" ref="E279" si="9">IF(AND(B279=0,C279=0),"",IF(C279=0,"100%",(B279-C279)/C279))</f>
        <v>-1</v>
      </c>
      <c r="F279" s="2358"/>
    </row>
    <row r="280" spans="1:6" hidden="1">
      <c r="A280" s="2357" t="s">
        <v>162</v>
      </c>
      <c r="B280" s="2347">
        <f>Motpart!W42</f>
        <v>0</v>
      </c>
      <c r="C280" s="2347">
        <v>11619</v>
      </c>
      <c r="D280" s="2347">
        <f>B280-C280</f>
        <v>-11619</v>
      </c>
      <c r="E280" s="2363">
        <f>IF(AND(B280=0,C280=0),"",IF(C280=0,"100%",(B280-C280)/C280))</f>
        <v>-1</v>
      </c>
      <c r="F280" s="2358"/>
    </row>
    <row r="281" spans="1:6" hidden="1">
      <c r="A281" s="2357"/>
      <c r="B281" s="2347"/>
      <c r="C281" s="2347"/>
      <c r="D281" s="2347"/>
      <c r="E281" s="2363"/>
      <c r="F281" s="2358"/>
    </row>
    <row r="282" spans="1:6" hidden="1">
      <c r="A282" s="2355" t="s">
        <v>1468</v>
      </c>
      <c r="B282" s="2347"/>
      <c r="C282" s="2347"/>
      <c r="D282" s="2347"/>
      <c r="E282" s="2363"/>
      <c r="F282" s="2358"/>
    </row>
    <row r="283" spans="1:6" hidden="1">
      <c r="A283" s="2357" t="s">
        <v>1050</v>
      </c>
      <c r="B283" s="2347">
        <f>Motpart!Y42</f>
        <v>0</v>
      </c>
      <c r="C283" s="2347">
        <v>20</v>
      </c>
      <c r="D283" s="2347">
        <f t="shared" ref="D283:D287" si="10">B283-C283</f>
        <v>-20</v>
      </c>
      <c r="E283" s="2363">
        <f t="shared" ref="E283:E287" si="11">IF(AND(B283=0,C283=0),"",IF(C283=0,"100%",(B283-C283)/C283))</f>
        <v>-1</v>
      </c>
      <c r="F283" s="2358"/>
    </row>
    <row r="284" spans="1:6" hidden="1">
      <c r="A284" s="2357" t="s">
        <v>520</v>
      </c>
      <c r="B284" s="2347">
        <f>Motpart!Z42</f>
        <v>0</v>
      </c>
      <c r="C284" s="2347">
        <v>1628.4306033254325</v>
      </c>
      <c r="D284" s="2347">
        <f t="shared" si="10"/>
        <v>-1628.4306033254325</v>
      </c>
      <c r="E284" s="2363">
        <f t="shared" si="11"/>
        <v>-1</v>
      </c>
      <c r="F284" s="2358"/>
    </row>
    <row r="285" spans="1:6" hidden="1">
      <c r="A285" s="2357" t="s">
        <v>1424</v>
      </c>
      <c r="B285" s="2347">
        <f>Motpart!AA42</f>
        <v>0</v>
      </c>
      <c r="C285" s="2347">
        <v>62174.430603325432</v>
      </c>
      <c r="D285" s="2347">
        <f t="shared" si="10"/>
        <v>-62174.430603325432</v>
      </c>
      <c r="E285" s="2363">
        <f t="shared" si="11"/>
        <v>-1</v>
      </c>
      <c r="F285" s="2358"/>
    </row>
    <row r="286" spans="1:6" hidden="1">
      <c r="A286" s="2357" t="s">
        <v>521</v>
      </c>
      <c r="B286" s="2347">
        <f>Motpart!AB42</f>
        <v>0</v>
      </c>
      <c r="C286" s="2347">
        <v>37</v>
      </c>
      <c r="D286" s="2347">
        <f t="shared" si="10"/>
        <v>-37</v>
      </c>
      <c r="E286" s="2363">
        <f t="shared" si="11"/>
        <v>-1</v>
      </c>
      <c r="F286" s="2358"/>
    </row>
    <row r="287" spans="1:6" hidden="1">
      <c r="A287" s="2359" t="s">
        <v>522</v>
      </c>
      <c r="B287" s="2360">
        <f>Motpart!AC42</f>
        <v>0</v>
      </c>
      <c r="C287" s="2360">
        <v>453</v>
      </c>
      <c r="D287" s="2360">
        <f t="shared" si="10"/>
        <v>-453</v>
      </c>
      <c r="E287" s="2367">
        <f t="shared" si="11"/>
        <v>-1</v>
      </c>
      <c r="F287" s="2361"/>
    </row>
    <row r="288" spans="1:6" hidden="1">
      <c r="A288" s="334" t="s">
        <v>1467</v>
      </c>
    </row>
    <row r="289" spans="1:5" hidden="1">
      <c r="A289" s="2530"/>
      <c r="B289" s="2531"/>
      <c r="C289" s="2531"/>
      <c r="D289" s="2531"/>
      <c r="E289" s="2532"/>
    </row>
    <row r="290" spans="1:5" hidden="1">
      <c r="A290" s="2533"/>
      <c r="B290" s="2534"/>
      <c r="C290" s="2534"/>
      <c r="D290" s="2534"/>
      <c r="E290" s="2529"/>
    </row>
    <row r="291" spans="1:5" hidden="1">
      <c r="A291" s="2535"/>
      <c r="B291" s="2536"/>
      <c r="C291" s="2536"/>
      <c r="D291" s="2536"/>
      <c r="E291" s="2537"/>
    </row>
    <row r="292" spans="1:5" ht="12.75" hidden="1" customHeight="1">
      <c r="A292" s="2349"/>
      <c r="B292" s="2349"/>
      <c r="C292" s="2349"/>
      <c r="D292" s="2349"/>
      <c r="E292" s="2349"/>
    </row>
    <row r="293" spans="1:5" ht="12.75" hidden="1" customHeight="1"/>
    <row r="294" spans="1:5" ht="12.75" hidden="1" customHeight="1"/>
    <row r="302" spans="1:5"/>
    <row r="303" spans="1:5"/>
    <row r="304" spans="1:5"/>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sheetData>
  <customSheetViews>
    <customSheetView guid="{27C9E95B-0E2B-454F-B637-1CECC9579A10}" showRuler="0">
      <selection activeCell="G40" sqref="G40"/>
      <pageMargins left="0.75" right="0.75" top="1" bottom="1" header="0.5" footer="0.5"/>
      <pageSetup paperSize="9" orientation="portrait" r:id="rId1"/>
      <headerFooter alignWithMargins="0"/>
    </customSheetView>
  </customSheetViews>
  <mergeCells count="20">
    <mergeCell ref="A1:F1"/>
    <mergeCell ref="A26:E28"/>
    <mergeCell ref="A34:E36"/>
    <mergeCell ref="A51:E53"/>
    <mergeCell ref="A16:E17"/>
    <mergeCell ref="A59:E61"/>
    <mergeCell ref="A67:E69"/>
    <mergeCell ref="A75:E77"/>
    <mergeCell ref="A83:E85"/>
    <mergeCell ref="A96:E97"/>
    <mergeCell ref="A104:E106"/>
    <mergeCell ref="A113:E115"/>
    <mergeCell ref="A121:E123"/>
    <mergeCell ref="A129:E131"/>
    <mergeCell ref="A137:E139"/>
    <mergeCell ref="A146:E148"/>
    <mergeCell ref="A154:E156"/>
    <mergeCell ref="A163:E165"/>
    <mergeCell ref="A171:E173"/>
    <mergeCell ref="A184:E186"/>
  </mergeCells>
  <phoneticPr fontId="0" type="noConversion"/>
  <pageMargins left="0.75" right="0.75" top="1" bottom="1" header="0.5" footer="0.5"/>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tabColor indexed="13"/>
  </sheetPr>
  <dimension ref="A1:H152"/>
  <sheetViews>
    <sheetView topLeftCell="A70" zoomScaleNormal="100" zoomScaleSheetLayoutView="100" workbookViewId="0">
      <selection activeCell="B93" sqref="B93"/>
    </sheetView>
  </sheetViews>
  <sheetFormatPr defaultRowHeight="13"/>
  <cols>
    <col min="1" max="1" width="15.54296875" customWidth="1"/>
    <col min="2" max="2" width="11.54296875" style="519" bestFit="1" customWidth="1"/>
    <col min="3" max="3" width="64.453125" style="516" customWidth="1"/>
    <col min="4" max="4" width="10.54296875" customWidth="1"/>
    <col min="6" max="6" width="12.453125" bestFit="1" customWidth="1"/>
  </cols>
  <sheetData>
    <row r="1" spans="1:5">
      <c r="A1" s="516" t="s">
        <v>832</v>
      </c>
      <c r="B1" s="516" t="s">
        <v>715</v>
      </c>
      <c r="C1" s="516" t="s">
        <v>716</v>
      </c>
      <c r="D1" s="516" t="s">
        <v>717</v>
      </c>
      <c r="E1" s="516" t="s">
        <v>718</v>
      </c>
    </row>
    <row r="2" spans="1:5">
      <c r="A2" s="516"/>
      <c r="B2" s="516"/>
      <c r="D2" s="516"/>
      <c r="E2" s="516"/>
    </row>
    <row r="3" spans="1:5">
      <c r="A3" s="526" t="s">
        <v>407</v>
      </c>
      <c r="D3" s="516"/>
      <c r="E3" s="516"/>
    </row>
    <row r="4" spans="1:5" ht="12.5">
      <c r="A4" s="518" t="s">
        <v>862</v>
      </c>
      <c r="C4" s="375"/>
      <c r="D4" s="375"/>
      <c r="E4" s="375"/>
    </row>
    <row r="5" spans="1:5" ht="12.5">
      <c r="A5" s="529" t="s">
        <v>719</v>
      </c>
      <c r="B5" s="530">
        <f>ROUND('Äldre o personer funktionsn'!K12-'Äldre o personer funktionsn'!G12,0)</f>
        <v>0</v>
      </c>
      <c r="C5" s="375" t="s">
        <v>720</v>
      </c>
      <c r="D5" s="529" t="s">
        <v>721</v>
      </c>
      <c r="E5" s="529" t="s">
        <v>722</v>
      </c>
    </row>
    <row r="6" spans="1:5" ht="12.5">
      <c r="A6" s="529" t="s">
        <v>723</v>
      </c>
      <c r="B6" s="531">
        <f>ROUND('Äldre o personer funktionsn'!K13-'Äldre o personer funktionsn'!G13,0)</f>
        <v>0</v>
      </c>
      <c r="C6" s="375" t="s">
        <v>724</v>
      </c>
      <c r="D6" s="529" t="s">
        <v>721</v>
      </c>
      <c r="E6" s="529" t="s">
        <v>722</v>
      </c>
    </row>
    <row r="7" spans="1:5" ht="12.5">
      <c r="A7" s="529" t="s">
        <v>725</v>
      </c>
      <c r="B7" s="531">
        <f>ROUND('Äldre o personer funktionsn'!K14-'Äldre o personer funktionsn'!G14,0)</f>
        <v>0</v>
      </c>
      <c r="C7" s="375" t="s">
        <v>726</v>
      </c>
      <c r="D7" s="529" t="s">
        <v>721</v>
      </c>
      <c r="E7" s="529" t="s">
        <v>722</v>
      </c>
    </row>
    <row r="8" spans="1:5" ht="12.5">
      <c r="A8" s="529" t="s">
        <v>727</v>
      </c>
      <c r="B8" s="531">
        <f>ROUND('Äldre o personer funktionsn'!K15-'Äldre o personer funktionsn'!G15,0)</f>
        <v>0</v>
      </c>
      <c r="C8" s="375" t="s">
        <v>728</v>
      </c>
      <c r="D8" s="529" t="s">
        <v>721</v>
      </c>
      <c r="E8" s="529" t="s">
        <v>722</v>
      </c>
    </row>
    <row r="9" spans="1:5" ht="12.5">
      <c r="A9" s="529" t="s">
        <v>1855</v>
      </c>
      <c r="B9" s="2789">
        <f>ROUND('Äldre o personer funktionsn'!K16-'Äldre o personer funktionsn'!G16,0)</f>
        <v>0</v>
      </c>
      <c r="C9" s="375" t="s">
        <v>1856</v>
      </c>
      <c r="D9" s="529" t="s">
        <v>721</v>
      </c>
      <c r="E9" s="529" t="s">
        <v>722</v>
      </c>
    </row>
    <row r="10" spans="1:5" ht="12.5">
      <c r="A10" s="529" t="s">
        <v>729</v>
      </c>
      <c r="B10" s="531">
        <f>ROUND('Äldre o personer funktionsn'!K18-'Äldre o personer funktionsn'!G18,0)</f>
        <v>0</v>
      </c>
      <c r="C10" s="375" t="s">
        <v>730</v>
      </c>
      <c r="D10" s="529" t="s">
        <v>721</v>
      </c>
      <c r="E10" s="529" t="s">
        <v>722</v>
      </c>
    </row>
    <row r="11" spans="1:5" ht="12.5">
      <c r="A11" s="529" t="s">
        <v>731</v>
      </c>
      <c r="B11" s="531">
        <f>ROUND('Äldre o personer funktionsn'!K19-'Äldre o personer funktionsn'!G19,0)</f>
        <v>0</v>
      </c>
      <c r="C11" s="375" t="s">
        <v>732</v>
      </c>
      <c r="D11" s="529" t="s">
        <v>721</v>
      </c>
      <c r="E11" s="529" t="s">
        <v>722</v>
      </c>
    </row>
    <row r="12" spans="1:5" ht="12.5">
      <c r="A12" s="529" t="s">
        <v>733</v>
      </c>
      <c r="B12" s="531">
        <f>ROUND('Äldre o personer funktionsn'!K13+'Äldre o personer funktionsn'!K14+'Äldre o personer funktionsn'!K15+'Äldre o personer funktionsn'!K19-'Äldre o personer funktionsn'!G13-'Äldre o personer funktionsn'!G14-'Äldre o personer funktionsn'!G15-'Äldre o personer funktionsn'!G19,0)</f>
        <v>0</v>
      </c>
      <c r="C12" s="375" t="s">
        <v>734</v>
      </c>
      <c r="D12" s="529" t="s">
        <v>721</v>
      </c>
      <c r="E12" s="529" t="s">
        <v>722</v>
      </c>
    </row>
    <row r="13" spans="1:5" ht="12.5">
      <c r="A13" s="529" t="s">
        <v>1857</v>
      </c>
      <c r="B13" s="531">
        <f>ROUND('Äldre o personer funktionsn'!K17-'Äldre o personer funktionsn'!G17,0)</f>
        <v>0</v>
      </c>
      <c r="C13" s="375" t="s">
        <v>1858</v>
      </c>
      <c r="D13" s="529" t="s">
        <v>721</v>
      </c>
      <c r="E13" s="529" t="s">
        <v>722</v>
      </c>
    </row>
    <row r="14" spans="1:5" ht="12.5">
      <c r="A14" s="529" t="s">
        <v>735</v>
      </c>
      <c r="B14" s="531">
        <f>ROUND('Äldre o personer funktionsn'!K22-'Äldre o personer funktionsn'!G22,0)</f>
        <v>0</v>
      </c>
      <c r="C14" s="375" t="s">
        <v>736</v>
      </c>
      <c r="D14" s="529" t="s">
        <v>721</v>
      </c>
      <c r="E14" s="529" t="s">
        <v>722</v>
      </c>
    </row>
    <row r="15" spans="1:5" ht="12.5">
      <c r="A15" s="529" t="s">
        <v>737</v>
      </c>
      <c r="B15" s="531">
        <f>ROUND('Äldre o personer funktionsn'!K23-'Äldre o personer funktionsn'!G23,0)</f>
        <v>0</v>
      </c>
      <c r="C15" s="375" t="s">
        <v>738</v>
      </c>
      <c r="D15" s="529" t="s">
        <v>721</v>
      </c>
      <c r="E15" s="529" t="s">
        <v>722</v>
      </c>
    </row>
    <row r="16" spans="1:5" ht="12.5">
      <c r="A16" s="529" t="s">
        <v>739</v>
      </c>
      <c r="B16" s="531">
        <f>ROUND('Äldre o personer funktionsn'!K24-'Äldre o personer funktionsn'!G24,0)</f>
        <v>0</v>
      </c>
      <c r="C16" s="375" t="s">
        <v>740</v>
      </c>
      <c r="D16" s="529" t="s">
        <v>721</v>
      </c>
      <c r="E16" s="529" t="s">
        <v>722</v>
      </c>
    </row>
    <row r="17" spans="1:6" ht="12.5">
      <c r="A17" s="529" t="s">
        <v>741</v>
      </c>
      <c r="B17" s="531">
        <f>ROUND('Äldre o personer funktionsn'!K25-'Äldre o personer funktionsn'!G25,0)</f>
        <v>0</v>
      </c>
      <c r="C17" s="375" t="s">
        <v>742</v>
      </c>
      <c r="D17" s="529" t="s">
        <v>721</v>
      </c>
      <c r="E17" s="529" t="s">
        <v>722</v>
      </c>
    </row>
    <row r="18" spans="1:6" ht="12.5">
      <c r="A18" s="529" t="s">
        <v>743</v>
      </c>
      <c r="B18" s="531">
        <f>ROUND('Äldre o personer funktionsn'!K27-'Äldre o personer funktionsn'!G27,0)</f>
        <v>0</v>
      </c>
      <c r="C18" s="375" t="s">
        <v>744</v>
      </c>
      <c r="D18" s="529" t="s">
        <v>721</v>
      </c>
      <c r="E18" s="529" t="s">
        <v>722</v>
      </c>
    </row>
    <row r="19" spans="1:6" ht="12.5">
      <c r="A19" s="529" t="s">
        <v>745</v>
      </c>
      <c r="B19" s="531">
        <f>ROUND('Äldre o personer funktionsn'!K28-'Äldre o personer funktionsn'!G28,0)</f>
        <v>0</v>
      </c>
      <c r="C19" s="375" t="s">
        <v>746</v>
      </c>
      <c r="D19" s="529" t="s">
        <v>721</v>
      </c>
      <c r="E19" s="529" t="s">
        <v>722</v>
      </c>
    </row>
    <row r="20" spans="1:6" ht="12.5">
      <c r="A20" s="529" t="s">
        <v>747</v>
      </c>
      <c r="B20" s="531">
        <f>ROUND('Äldre o personer funktionsn'!K29-'Äldre o personer funktionsn'!G29,0)</f>
        <v>0</v>
      </c>
      <c r="C20" s="375" t="s">
        <v>748</v>
      </c>
      <c r="D20" s="529" t="s">
        <v>721</v>
      </c>
      <c r="E20" s="529" t="s">
        <v>722</v>
      </c>
      <c r="F20" s="385"/>
    </row>
    <row r="21" spans="1:6" ht="12.5">
      <c r="A21" s="529" t="s">
        <v>749</v>
      </c>
      <c r="B21" s="531">
        <f>ROUND('Äldre o personer funktionsn'!K23+'Äldre o personer funktionsn'!K24+'Äldre o personer funktionsn'!K25+'Äldre o personer funktionsn'!K26+'Äldre o personer funktionsn'!K29-'Äldre o personer funktionsn'!G23-'Äldre o personer funktionsn'!G24-'Äldre o personer funktionsn'!G25-'Äldre o personer funktionsn'!G26-'Äldre o personer funktionsn'!G29,0)</f>
        <v>0</v>
      </c>
      <c r="C21" s="375" t="s">
        <v>750</v>
      </c>
      <c r="D21" s="529" t="s">
        <v>721</v>
      </c>
      <c r="E21" s="529" t="s">
        <v>722</v>
      </c>
    </row>
    <row r="22" spans="1:6" ht="12.5">
      <c r="A22" s="529"/>
      <c r="B22" s="531"/>
      <c r="C22" s="375"/>
      <c r="D22" s="529"/>
      <c r="E22" s="529"/>
    </row>
    <row r="23" spans="1:6" ht="12.5">
      <c r="A23" s="529" t="s">
        <v>751</v>
      </c>
      <c r="B23" s="531">
        <f>ROUND('Äldre o personer funktionsn'!K32-'Äldre o personer funktionsn'!G32,0)</f>
        <v>0</v>
      </c>
      <c r="C23" s="375" t="s">
        <v>752</v>
      </c>
      <c r="D23" s="529" t="s">
        <v>721</v>
      </c>
      <c r="E23" s="529" t="s">
        <v>722</v>
      </c>
    </row>
    <row r="24" spans="1:6" ht="12.5">
      <c r="A24" s="529" t="s">
        <v>840</v>
      </c>
      <c r="B24" s="531">
        <f>ROUND('Äldre o personer funktionsn'!K33+'Äldre o personer funktionsn'!K34-'Äldre o personer funktionsn'!G33-'Äldre o personer funktionsn'!G34,0)</f>
        <v>0</v>
      </c>
      <c r="C24" s="375" t="s">
        <v>753</v>
      </c>
      <c r="D24" s="529"/>
      <c r="E24" s="529"/>
    </row>
    <row r="25" spans="1:6" ht="12.5">
      <c r="A25" s="529" t="s">
        <v>754</v>
      </c>
      <c r="B25" s="531">
        <f>ROUND('Äldre o personer funktionsn'!K33-'Äldre o personer funktionsn'!G33,0)</f>
        <v>0</v>
      </c>
      <c r="C25" s="375" t="s">
        <v>755</v>
      </c>
      <c r="D25" s="529" t="s">
        <v>721</v>
      </c>
      <c r="E25" s="529" t="s">
        <v>722</v>
      </c>
    </row>
    <row r="26" spans="1:6" ht="12.5">
      <c r="A26" s="529" t="s">
        <v>756</v>
      </c>
      <c r="B26" s="531">
        <f>ROUND('Äldre o personer funktionsn'!K34-'Äldre o personer funktionsn'!G34,0)</f>
        <v>0</v>
      </c>
      <c r="C26" s="375" t="s">
        <v>757</v>
      </c>
      <c r="D26" s="529" t="s">
        <v>721</v>
      </c>
      <c r="E26" s="529" t="s">
        <v>722</v>
      </c>
    </row>
    <row r="27" spans="1:6" ht="12.5">
      <c r="A27" s="529" t="s">
        <v>758</v>
      </c>
      <c r="B27" s="531">
        <f>ROUND('Äldre o personer funktionsn'!K35-'Äldre o personer funktionsn'!G35,0)</f>
        <v>0</v>
      </c>
      <c r="C27" s="375" t="s">
        <v>759</v>
      </c>
      <c r="D27" s="529" t="s">
        <v>721</v>
      </c>
      <c r="E27" s="529" t="s">
        <v>722</v>
      </c>
    </row>
    <row r="28" spans="1:6" ht="12.5">
      <c r="A28" s="529" t="s">
        <v>760</v>
      </c>
      <c r="B28" s="531">
        <f>ROUND('Äldre o personer funktionsn'!K36-'Äldre o personer funktionsn'!G36,0)</f>
        <v>0</v>
      </c>
      <c r="C28" s="375" t="s">
        <v>761</v>
      </c>
      <c r="D28" s="529" t="s">
        <v>721</v>
      </c>
      <c r="E28" s="529" t="s">
        <v>722</v>
      </c>
    </row>
    <row r="29" spans="1:6" ht="12.5">
      <c r="A29" s="529" t="s">
        <v>762</v>
      </c>
      <c r="B29" s="531">
        <f>ROUND('Äldre o personer funktionsn'!K37-'Äldre o personer funktionsn'!G37,0)</f>
        <v>0</v>
      </c>
      <c r="C29" s="375" t="s">
        <v>763</v>
      </c>
      <c r="D29" s="529" t="s">
        <v>721</v>
      </c>
      <c r="E29" s="529" t="s">
        <v>722</v>
      </c>
    </row>
    <row r="30" spans="1:6" ht="12.5">
      <c r="A30" s="532"/>
      <c r="B30" s="531"/>
      <c r="C30" s="375"/>
      <c r="D30" s="532"/>
      <c r="E30" s="529"/>
    </row>
    <row r="31" spans="1:6" ht="12.5">
      <c r="A31" s="532" t="s">
        <v>764</v>
      </c>
      <c r="B31" s="531">
        <f>ROUND('Äldre o personer funktionsn'!K22+'Äldre o personer funktionsn'!K32-'Äldre o personer funktionsn'!G22-'Äldre o personer funktionsn'!G32,0)</f>
        <v>0</v>
      </c>
      <c r="C31" s="375" t="s">
        <v>765</v>
      </c>
      <c r="D31" s="532" t="s">
        <v>721</v>
      </c>
      <c r="E31" s="529" t="s">
        <v>722</v>
      </c>
    </row>
    <row r="32" spans="1:6" ht="12.5">
      <c r="A32" s="532" t="s">
        <v>766</v>
      </c>
      <c r="B32" s="531">
        <f>B12+B21</f>
        <v>0</v>
      </c>
      <c r="C32" s="375" t="s">
        <v>767</v>
      </c>
      <c r="D32" s="532" t="s">
        <v>721</v>
      </c>
      <c r="E32" s="529" t="s">
        <v>722</v>
      </c>
    </row>
    <row r="33" spans="1:6" ht="12.5">
      <c r="A33" s="532" t="s">
        <v>768</v>
      </c>
      <c r="B33" s="531">
        <f>B5+B14+B23</f>
        <v>0</v>
      </c>
      <c r="C33" s="375" t="s">
        <v>769</v>
      </c>
      <c r="D33" s="532" t="s">
        <v>721</v>
      </c>
      <c r="E33" s="529" t="s">
        <v>722</v>
      </c>
    </row>
    <row r="34" spans="1:6" ht="12.5">
      <c r="A34" s="532"/>
      <c r="B34" s="531"/>
      <c r="C34" s="375"/>
      <c r="D34" s="532"/>
      <c r="E34" s="529"/>
    </row>
    <row r="35" spans="1:6">
      <c r="A35" s="518" t="s">
        <v>863</v>
      </c>
      <c r="B35" s="544"/>
      <c r="E35" s="375"/>
    </row>
    <row r="36" spans="1:6" ht="12.5">
      <c r="A36" s="529" t="s">
        <v>770</v>
      </c>
      <c r="B36" s="531" t="str">
        <f>IF('Äldre o personer funktionsn'!$Q$12="","",B5/'Äldre o personer funktionsn'!$Q$12*1000)</f>
        <v/>
      </c>
      <c r="C36" s="375" t="s">
        <v>771</v>
      </c>
      <c r="D36" s="529" t="s">
        <v>772</v>
      </c>
      <c r="E36" s="529" t="s">
        <v>722</v>
      </c>
      <c r="F36" s="533"/>
    </row>
    <row r="37" spans="1:6" ht="12.5">
      <c r="A37" s="529" t="s">
        <v>773</v>
      </c>
      <c r="B37" s="531" t="str">
        <f>IF('Äldre o personer funktionsn'!$Q$12="","",B6/'Äldre o personer funktionsn'!$Q$12*1000)</f>
        <v/>
      </c>
      <c r="C37" s="375" t="s">
        <v>774</v>
      </c>
      <c r="D37" s="529" t="s">
        <v>772</v>
      </c>
      <c r="E37" s="529" t="s">
        <v>722</v>
      </c>
      <c r="F37" s="533"/>
    </row>
    <row r="38" spans="1:6" ht="12.5">
      <c r="A38" s="529" t="s">
        <v>775</v>
      </c>
      <c r="B38" s="531" t="str">
        <f>IF('Äldre o personer funktionsn'!$Q$12="","",B7/'Äldre o personer funktionsn'!$Q$12*1000)</f>
        <v/>
      </c>
      <c r="C38" s="375" t="s">
        <v>776</v>
      </c>
      <c r="D38" s="529" t="s">
        <v>772</v>
      </c>
      <c r="E38" s="529" t="s">
        <v>722</v>
      </c>
      <c r="F38" s="533"/>
    </row>
    <row r="39" spans="1:6" ht="12.5">
      <c r="A39" s="529" t="s">
        <v>777</v>
      </c>
      <c r="B39" s="531" t="str">
        <f>IF('Äldre o personer funktionsn'!$Q$12="","",B8/'Äldre o personer funktionsn'!$Q$12*1000)</f>
        <v/>
      </c>
      <c r="C39" s="375" t="s">
        <v>778</v>
      </c>
      <c r="D39" s="529" t="s">
        <v>772</v>
      </c>
      <c r="E39" s="529" t="s">
        <v>722</v>
      </c>
      <c r="F39" s="533"/>
    </row>
    <row r="40" spans="1:6" ht="12.5">
      <c r="A40" s="529" t="s">
        <v>1859</v>
      </c>
      <c r="B40" s="531" t="str">
        <f>IF('Äldre o personer funktionsn'!$Q$12="","",B9/'Äldre o personer funktionsn'!$Q$12*1000)</f>
        <v/>
      </c>
      <c r="C40" s="375" t="s">
        <v>779</v>
      </c>
      <c r="D40" s="529" t="s">
        <v>772</v>
      </c>
      <c r="E40" s="529" t="s">
        <v>722</v>
      </c>
      <c r="F40" s="533"/>
    </row>
    <row r="41" spans="1:6" ht="12.5">
      <c r="A41" s="529" t="s">
        <v>780</v>
      </c>
      <c r="B41" s="531" t="str">
        <f>IF('Äldre o personer funktionsn'!$Q$12="","",B10/'Äldre o personer funktionsn'!$Q$12*1000)</f>
        <v/>
      </c>
      <c r="C41" s="375" t="s">
        <v>781</v>
      </c>
      <c r="D41" s="529" t="s">
        <v>772</v>
      </c>
      <c r="E41" s="529" t="s">
        <v>722</v>
      </c>
      <c r="F41" s="533"/>
    </row>
    <row r="42" spans="1:6" ht="12.5">
      <c r="A42" s="529" t="s">
        <v>782</v>
      </c>
      <c r="B42" s="531" t="str">
        <f>IF('Äldre o personer funktionsn'!$Q$12="","",B11/'Äldre o personer funktionsn'!$Q$12*1000)</f>
        <v/>
      </c>
      <c r="C42" s="375" t="s">
        <v>783</v>
      </c>
      <c r="D42" s="529" t="s">
        <v>772</v>
      </c>
      <c r="E42" s="529" t="s">
        <v>722</v>
      </c>
      <c r="F42" s="533"/>
    </row>
    <row r="43" spans="1:6" ht="12.5">
      <c r="A43" s="529" t="s">
        <v>784</v>
      </c>
      <c r="B43" s="531" t="str">
        <f>IF('Äldre o personer funktionsn'!$Q$12="","",B12/'Äldre o personer funktionsn'!$Q$12*1000)</f>
        <v/>
      </c>
      <c r="C43" s="375" t="s">
        <v>785</v>
      </c>
      <c r="D43" s="529" t="s">
        <v>772</v>
      </c>
      <c r="E43" s="529" t="s">
        <v>722</v>
      </c>
      <c r="F43" s="533"/>
    </row>
    <row r="44" spans="1:6" ht="12.5">
      <c r="A44" s="529" t="s">
        <v>1860</v>
      </c>
      <c r="B44" s="531" t="str">
        <f>IF('Äldre o personer funktionsn'!$Q$12="","",B13/'Äldre o personer funktionsn'!$Q$12*1000)</f>
        <v/>
      </c>
      <c r="C44" s="375" t="s">
        <v>1861</v>
      </c>
      <c r="D44" s="529" t="s">
        <v>772</v>
      </c>
      <c r="E44" s="529" t="s">
        <v>722</v>
      </c>
      <c r="F44" s="533"/>
    </row>
    <row r="45" spans="1:6" ht="12.5">
      <c r="A45" s="529" t="s">
        <v>786</v>
      </c>
      <c r="B45" s="531" t="str">
        <f>IF('Äldre o personer funktionsn'!$Q$22="","",Nyckeltal!B14/'Äldre o personer funktionsn'!$Q$22*1000)</f>
        <v/>
      </c>
      <c r="C45" s="375" t="s">
        <v>787</v>
      </c>
      <c r="D45" s="529" t="s">
        <v>788</v>
      </c>
      <c r="E45" s="529" t="s">
        <v>722</v>
      </c>
      <c r="F45" s="533"/>
    </row>
    <row r="46" spans="1:6" ht="12.5">
      <c r="A46" s="529" t="s">
        <v>789</v>
      </c>
      <c r="B46" s="531" t="str">
        <f>IF('Äldre o personer funktionsn'!$Q$22="","",Nyckeltal!B15/'Äldre o personer funktionsn'!$Q$22*1000)</f>
        <v/>
      </c>
      <c r="C46" s="375" t="s">
        <v>790</v>
      </c>
      <c r="D46" s="529" t="s">
        <v>788</v>
      </c>
      <c r="E46" s="529" t="s">
        <v>722</v>
      </c>
      <c r="F46" s="533"/>
    </row>
    <row r="47" spans="1:6" ht="12.5">
      <c r="A47" s="529" t="s">
        <v>791</v>
      </c>
      <c r="B47" s="531" t="str">
        <f>IF('Äldre o personer funktionsn'!$Q$22="","",Nyckeltal!B16/'Äldre o personer funktionsn'!$Q$22*1000)</f>
        <v/>
      </c>
      <c r="C47" s="375" t="s">
        <v>792</v>
      </c>
      <c r="D47" s="529" t="s">
        <v>788</v>
      </c>
      <c r="E47" s="529" t="s">
        <v>722</v>
      </c>
      <c r="F47" s="533"/>
    </row>
    <row r="48" spans="1:6" ht="12.5">
      <c r="A48" s="529" t="s">
        <v>793</v>
      </c>
      <c r="B48" s="531" t="str">
        <f>IF('Äldre o personer funktionsn'!$Q$22="","",Nyckeltal!B17/'Äldre o personer funktionsn'!$Q$22*1000)</f>
        <v/>
      </c>
      <c r="C48" s="375" t="s">
        <v>794</v>
      </c>
      <c r="D48" s="529" t="s">
        <v>788</v>
      </c>
      <c r="E48" s="529" t="s">
        <v>722</v>
      </c>
      <c r="F48" s="533"/>
    </row>
    <row r="49" spans="1:6" ht="12.5">
      <c r="A49" s="529" t="s">
        <v>795</v>
      </c>
      <c r="B49" s="531" t="str">
        <f>IF('Äldre o personer funktionsn'!$Q$22="","",Nyckeltal!B18/'Äldre o personer funktionsn'!$Q$22*1000)</f>
        <v/>
      </c>
      <c r="C49" s="375" t="s">
        <v>796</v>
      </c>
      <c r="D49" s="529" t="s">
        <v>788</v>
      </c>
      <c r="E49" s="529" t="s">
        <v>722</v>
      </c>
      <c r="F49" s="533"/>
    </row>
    <row r="50" spans="1:6" ht="12.5">
      <c r="A50" s="529" t="s">
        <v>797</v>
      </c>
      <c r="B50" s="531" t="str">
        <f>IF('Äldre o personer funktionsn'!$Q$22="","",Nyckeltal!B19/'Äldre o personer funktionsn'!$Q$22*1000)</f>
        <v/>
      </c>
      <c r="C50" s="375" t="s">
        <v>798</v>
      </c>
      <c r="D50" s="529" t="s">
        <v>788</v>
      </c>
      <c r="E50" s="529" t="s">
        <v>722</v>
      </c>
      <c r="F50" s="533"/>
    </row>
    <row r="51" spans="1:6" ht="12.5">
      <c r="A51" s="529" t="s">
        <v>799</v>
      </c>
      <c r="B51" s="531" t="str">
        <f>IF('Äldre o personer funktionsn'!$Q$22="","",Nyckeltal!B20/'Äldre o personer funktionsn'!$Q$22*1000)</f>
        <v/>
      </c>
      <c r="C51" s="375" t="s">
        <v>800</v>
      </c>
      <c r="D51" s="529" t="s">
        <v>788</v>
      </c>
      <c r="E51" s="529" t="s">
        <v>722</v>
      </c>
      <c r="F51" s="533"/>
    </row>
    <row r="52" spans="1:6" ht="12.5">
      <c r="A52" s="529" t="s">
        <v>801</v>
      </c>
      <c r="B52" s="531" t="str">
        <f>IF('Äldre o personer funktionsn'!$Q$22="","",Nyckeltal!B21/'Äldre o personer funktionsn'!$Q$22*1000)</f>
        <v/>
      </c>
      <c r="C52" s="375" t="s">
        <v>802</v>
      </c>
      <c r="D52" s="529" t="s">
        <v>788</v>
      </c>
      <c r="E52" s="529" t="s">
        <v>722</v>
      </c>
      <c r="F52" s="533"/>
    </row>
    <row r="53" spans="1:6" ht="12.5">
      <c r="A53" s="529"/>
      <c r="B53" s="531"/>
      <c r="C53" s="375"/>
      <c r="D53" s="529"/>
      <c r="E53" s="533"/>
      <c r="F53" s="533"/>
    </row>
    <row r="54" spans="1:6" ht="12.5">
      <c r="A54" s="529" t="s">
        <v>803</v>
      </c>
      <c r="B54" s="531" t="str">
        <f>IF('Äldre o personer funktionsn'!$Q$32="","",Nyckeltal!B23/'Äldre o personer funktionsn'!$Q$32*1000)</f>
        <v/>
      </c>
      <c r="C54" s="375" t="s">
        <v>804</v>
      </c>
      <c r="D54" s="529" t="s">
        <v>805</v>
      </c>
      <c r="E54" s="529" t="s">
        <v>722</v>
      </c>
      <c r="F54" s="533"/>
    </row>
    <row r="55" spans="1:6" ht="12.5">
      <c r="A55" s="529" t="s">
        <v>839</v>
      </c>
      <c r="B55" s="531" t="str">
        <f>IF('Äldre o personer funktionsn'!$Q$32="","",Nyckeltal!B24/'Äldre o personer funktionsn'!$Q$32*1000)</f>
        <v/>
      </c>
      <c r="C55" s="375" t="s">
        <v>806</v>
      </c>
      <c r="D55" s="529" t="s">
        <v>805</v>
      </c>
      <c r="E55" s="529" t="s">
        <v>722</v>
      </c>
      <c r="F55" s="533"/>
    </row>
    <row r="56" spans="1:6" ht="12.5">
      <c r="A56" s="529" t="s">
        <v>807</v>
      </c>
      <c r="B56" s="531" t="str">
        <f>IF('Äldre o personer funktionsn'!Q33="","",Nyckeltal!B25/'Äldre o personer funktionsn'!Q33*1000)</f>
        <v/>
      </c>
      <c r="C56" s="375" t="s">
        <v>808</v>
      </c>
      <c r="D56" s="529" t="s">
        <v>809</v>
      </c>
      <c r="E56" s="529" t="s">
        <v>722</v>
      </c>
      <c r="F56" s="533"/>
    </row>
    <row r="57" spans="1:6" ht="12.5">
      <c r="A57" s="529" t="s">
        <v>810</v>
      </c>
      <c r="B57" s="531" t="str">
        <f>IF('Äldre o personer funktionsn'!Q34="","",Nyckeltal!B26/'Äldre o personer funktionsn'!Q34*1000)</f>
        <v/>
      </c>
      <c r="C57" s="375" t="s">
        <v>811</v>
      </c>
      <c r="D57" s="529" t="s">
        <v>812</v>
      </c>
      <c r="E57" s="529" t="s">
        <v>722</v>
      </c>
      <c r="F57" s="533"/>
    </row>
    <row r="58" spans="1:6" ht="12.5">
      <c r="A58" s="529" t="s">
        <v>813</v>
      </c>
      <c r="B58" s="531" t="str">
        <f>IF('Äldre o personer funktionsn'!Q35="","",Nyckeltal!B27/'Äldre o personer funktionsn'!Q35*1000)</f>
        <v/>
      </c>
      <c r="C58" s="375" t="s">
        <v>814</v>
      </c>
      <c r="D58" s="529" t="s">
        <v>805</v>
      </c>
      <c r="E58" s="529" t="s">
        <v>722</v>
      </c>
      <c r="F58" s="533"/>
    </row>
    <row r="59" spans="1:6" ht="12.5">
      <c r="A59" s="529" t="s">
        <v>815</v>
      </c>
      <c r="B59" s="531" t="str">
        <f>IF('Äldre o personer funktionsn'!Q36="","",Nyckeltal!B28/'Äldre o personer funktionsn'!Q36*1000)</f>
        <v/>
      </c>
      <c r="C59" s="375" t="s">
        <v>816</v>
      </c>
      <c r="D59" s="529" t="s">
        <v>817</v>
      </c>
      <c r="E59" s="529" t="s">
        <v>722</v>
      </c>
      <c r="F59" s="533"/>
    </row>
    <row r="60" spans="1:6" ht="12.5">
      <c r="A60" s="529"/>
      <c r="B60" s="531"/>
      <c r="C60" s="375"/>
      <c r="D60" s="529"/>
      <c r="E60" s="529"/>
      <c r="F60" s="533"/>
    </row>
    <row r="61" spans="1:6" ht="12.5">
      <c r="A61" s="529" t="s">
        <v>818</v>
      </c>
      <c r="B61" s="531" t="str">
        <f>IF('Äldre o personer funktionsn'!Q32="","",Nyckeltal!B32/'Äldre o personer funktionsn'!Q32*1000)</f>
        <v/>
      </c>
      <c r="C61" s="375" t="s">
        <v>819</v>
      </c>
      <c r="D61" s="529" t="s">
        <v>805</v>
      </c>
      <c r="E61" s="529" t="s">
        <v>722</v>
      </c>
      <c r="F61" s="533"/>
    </row>
    <row r="62" spans="1:6" ht="12.5">
      <c r="A62" s="375"/>
      <c r="B62" s="544"/>
      <c r="C62" s="375"/>
      <c r="D62" s="375"/>
      <c r="E62" s="375"/>
    </row>
    <row r="63" spans="1:6" ht="12.5">
      <c r="A63" s="518" t="s">
        <v>441</v>
      </c>
      <c r="B63" s="544"/>
      <c r="C63" s="375"/>
      <c r="D63" s="375"/>
    </row>
    <row r="64" spans="1:6" ht="12.5">
      <c r="A64" s="529" t="s">
        <v>820</v>
      </c>
      <c r="B64" s="531">
        <f>'Äldre o personer funktionsn'!K13+'Äldre o personer funktionsn'!K14+'Äldre o personer funktionsn'!K15+'Äldre o personer funktionsn'!K19+'Äldre o personer funktionsn'!K23+'Äldre o personer funktionsn'!K24+'Äldre o personer funktionsn'!K25+'Äldre o personer funktionsn'!K26+'Äldre o personer funktionsn'!K29</f>
        <v>0</v>
      </c>
      <c r="C64" s="375" t="s">
        <v>821</v>
      </c>
      <c r="D64" s="529" t="s">
        <v>721</v>
      </c>
      <c r="E64" s="529" t="s">
        <v>822</v>
      </c>
    </row>
    <row r="65" spans="1:6" ht="12.5">
      <c r="A65" s="529" t="s">
        <v>823</v>
      </c>
      <c r="B65" s="531">
        <f>'Äldre o personer funktionsn'!K13+'Äldre o personer funktionsn'!K14+'Äldre o personer funktionsn'!K15+'Äldre o personer funktionsn'!K19</f>
        <v>0</v>
      </c>
      <c r="C65" s="375" t="s">
        <v>825</v>
      </c>
      <c r="D65" s="529" t="s">
        <v>721</v>
      </c>
      <c r="E65" s="529" t="s">
        <v>591</v>
      </c>
    </row>
    <row r="66" spans="1:6" ht="12.5">
      <c r="A66" s="529" t="s">
        <v>826</v>
      </c>
      <c r="B66" s="531">
        <f>'Äldre o personer funktionsn'!K23+'Äldre o personer funktionsn'!K24+'Äldre o personer funktionsn'!K25+'Äldre o personer funktionsn'!K26+'Äldre o personer funktionsn'!K29</f>
        <v>0</v>
      </c>
      <c r="C66" s="375" t="s">
        <v>827</v>
      </c>
      <c r="D66" s="529" t="s">
        <v>721</v>
      </c>
      <c r="E66" s="529" t="s">
        <v>822</v>
      </c>
    </row>
    <row r="67" spans="1:6" ht="12.5">
      <c r="A67" s="529" t="s">
        <v>843</v>
      </c>
      <c r="B67" s="531" t="str">
        <f>IF('Äldre o personer funktionsn'!Q12="","",B65/'Äldre o personer funktionsn'!Q12*1000)</f>
        <v/>
      </c>
      <c r="C67" s="375" t="s">
        <v>841</v>
      </c>
      <c r="D67" s="529" t="s">
        <v>805</v>
      </c>
      <c r="E67" s="529" t="s">
        <v>442</v>
      </c>
    </row>
    <row r="68" spans="1:6" ht="12.5">
      <c r="A68" s="529" t="s">
        <v>844</v>
      </c>
      <c r="B68" s="531" t="str">
        <f>IF('Äldre o personer funktionsn'!Q22="","",Nyckeltal!B66/'Äldre o personer funktionsn'!Q22*1000)</f>
        <v/>
      </c>
      <c r="C68" s="375" t="s">
        <v>842</v>
      </c>
      <c r="D68" s="529" t="s">
        <v>805</v>
      </c>
      <c r="E68" s="529" t="s">
        <v>442</v>
      </c>
    </row>
    <row r="69" spans="1:6" ht="12.5">
      <c r="A69" s="532" t="s">
        <v>828</v>
      </c>
      <c r="B69" s="531">
        <f>'Äldre o personer funktionsn'!K32+'Äldre o personer funktionsn'!G42</f>
        <v>0</v>
      </c>
      <c r="C69" s="375" t="s">
        <v>829</v>
      </c>
      <c r="D69" s="532" t="s">
        <v>721</v>
      </c>
      <c r="E69" s="529" t="s">
        <v>822</v>
      </c>
    </row>
    <row r="70" spans="1:6" ht="12.5">
      <c r="A70" s="532" t="s">
        <v>1385</v>
      </c>
      <c r="B70" s="531">
        <f>'Äldre o personer funktionsn'!K32</f>
        <v>0</v>
      </c>
      <c r="C70" s="375" t="s">
        <v>1386</v>
      </c>
      <c r="D70" s="532" t="s">
        <v>721</v>
      </c>
      <c r="E70" s="529" t="s">
        <v>822</v>
      </c>
    </row>
    <row r="71" spans="1:6" ht="12.5">
      <c r="A71" s="532" t="s">
        <v>830</v>
      </c>
      <c r="B71" s="531">
        <f>'Äldre o personer funktionsn'!K22+'Äldre o personer funktionsn'!K32</f>
        <v>0</v>
      </c>
      <c r="C71" s="375" t="s">
        <v>831</v>
      </c>
      <c r="D71" s="532" t="s">
        <v>721</v>
      </c>
      <c r="E71" s="529" t="s">
        <v>822</v>
      </c>
    </row>
    <row r="72" spans="1:6">
      <c r="B72" s="544"/>
    </row>
    <row r="73" spans="1:6">
      <c r="A73" s="518"/>
      <c r="B73" s="544"/>
    </row>
    <row r="74" spans="1:6">
      <c r="A74" s="518" t="s">
        <v>632</v>
      </c>
      <c r="B74" s="544"/>
    </row>
    <row r="75" spans="1:6" ht="12.5">
      <c r="A75" s="532" t="s">
        <v>855</v>
      </c>
      <c r="B75" s="534">
        <f>Drift!I73+Drift!J73+Drift!L73</f>
        <v>0</v>
      </c>
      <c r="C75" s="375" t="s">
        <v>857</v>
      </c>
      <c r="D75" s="532" t="s">
        <v>721</v>
      </c>
      <c r="E75" s="529" t="s">
        <v>822</v>
      </c>
    </row>
    <row r="76" spans="1:6" ht="12.5">
      <c r="A76" s="532" t="s">
        <v>856</v>
      </c>
      <c r="B76" s="534">
        <f>Drift!I74+Drift!J74+Drift!L74</f>
        <v>0</v>
      </c>
      <c r="C76" s="375" t="s">
        <v>858</v>
      </c>
      <c r="D76" s="532" t="s">
        <v>721</v>
      </c>
      <c r="E76" s="529" t="s">
        <v>822</v>
      </c>
    </row>
    <row r="77" spans="1:6" ht="12.5">
      <c r="A77" s="532" t="s">
        <v>845</v>
      </c>
      <c r="B77" s="534">
        <f>Drift!I75+Drift!J75+Drift!L75</f>
        <v>0</v>
      </c>
      <c r="C77" s="375" t="s">
        <v>846</v>
      </c>
      <c r="D77" s="532" t="s">
        <v>721</v>
      </c>
      <c r="E77" s="529" t="s">
        <v>822</v>
      </c>
      <c r="F77" s="385"/>
    </row>
    <row r="78" spans="1:6" ht="14.25" customHeight="1">
      <c r="A78" s="532" t="s">
        <v>847</v>
      </c>
      <c r="B78" s="535" t="str">
        <f>IF(OR('Äldre o personer funktionsn'!K14="",'Äldre o personer funktionsn'!K14=0),"",ROUND(('Äldre o personer funktionsn'!K14/('Äldre o personer funktionsn'!K14+'Äldre o personer funktionsn'!K16+'Äldre o personer funktionsn'!K17 +'Äldre o personer funktionsn'!K18))*Nyckeltal!B75,0))</f>
        <v/>
      </c>
      <c r="C78" s="375" t="s">
        <v>848</v>
      </c>
      <c r="D78" s="532" t="s">
        <v>721</v>
      </c>
      <c r="E78" s="529" t="s">
        <v>822</v>
      </c>
    </row>
    <row r="79" spans="1:6" ht="12.5">
      <c r="A79" s="532" t="s">
        <v>1863</v>
      </c>
      <c r="B79" s="535" t="str">
        <f>IF(OR('Äldre o personer funktionsn'!K16="",'Äldre o personer funktionsn'!K16=0),"",ROUND(('Äldre o personer funktionsn'!K16/('Äldre o personer funktionsn'!K14+'Äldre o personer funktionsn'!K16+'Äldre o personer funktionsn'!K17+'Äldre o personer funktionsn'!K18))*Nyckeltal!B75,0))</f>
        <v/>
      </c>
      <c r="C79" s="375" t="s">
        <v>850</v>
      </c>
      <c r="D79" s="532" t="s">
        <v>721</v>
      </c>
      <c r="E79" s="529" t="s">
        <v>822</v>
      </c>
    </row>
    <row r="80" spans="1:6" ht="12.5">
      <c r="A80" s="532" t="s">
        <v>852</v>
      </c>
      <c r="B80" s="535" t="str">
        <f>IF(OR('Äldre o personer funktionsn'!K18="",'Äldre o personer funktionsn'!K18=0),"",ROUND(('Äldre o personer funktionsn'!K18/('Äldre o personer funktionsn'!K14+'Äldre o personer funktionsn'!K16+'Äldre o personer funktionsn'!K17 +'Äldre o personer funktionsn'!K18))*Nyckeltal!B75,0))</f>
        <v/>
      </c>
      <c r="C80" s="375" t="s">
        <v>853</v>
      </c>
      <c r="D80" s="532" t="s">
        <v>721</v>
      </c>
      <c r="E80" s="529" t="s">
        <v>822</v>
      </c>
    </row>
    <row r="81" spans="1:8" ht="12.5">
      <c r="A81" s="532" t="s">
        <v>849</v>
      </c>
      <c r="B81" s="535" t="str">
        <f>IF(OR('Äldre o personer funktionsn'!K25="",'Äldre o personer funktionsn'!K25=0),"",ROUND(('Äldre o personer funktionsn'!K25/('Äldre o personer funktionsn'!K25+'Äldre o personer funktionsn'!K27+'Äldre o personer funktionsn'!K28))*Nyckeltal!B76,0))</f>
        <v/>
      </c>
      <c r="C81" s="375" t="s">
        <v>859</v>
      </c>
      <c r="D81" s="532" t="s">
        <v>721</v>
      </c>
      <c r="E81" s="529" t="s">
        <v>822</v>
      </c>
    </row>
    <row r="82" spans="1:8" ht="12.5">
      <c r="A82" s="532" t="s">
        <v>851</v>
      </c>
      <c r="B82" s="535" t="str">
        <f>IF(OR('Äldre o personer funktionsn'!K27="",'Äldre o personer funktionsn'!K27=0),"",ROUND(('Äldre o personer funktionsn'!K27/('Äldre o personer funktionsn'!K25+'Äldre o personer funktionsn'!K27+'Äldre o personer funktionsn'!K28))*Nyckeltal!B76,0))</f>
        <v/>
      </c>
      <c r="C82" s="375" t="s">
        <v>860</v>
      </c>
      <c r="D82" s="532" t="s">
        <v>721</v>
      </c>
      <c r="E82" s="529" t="s">
        <v>822</v>
      </c>
    </row>
    <row r="83" spans="1:8" ht="12.5">
      <c r="A83" s="532" t="s">
        <v>854</v>
      </c>
      <c r="B83" s="535" t="str">
        <f>IF(OR('Äldre o personer funktionsn'!K28="",'Äldre o personer funktionsn'!K28=0),"",ROUND(('Äldre o personer funktionsn'!K28/('Äldre o personer funktionsn'!K25+'Äldre o personer funktionsn'!K27+'Äldre o personer funktionsn'!K28))*Nyckeltal!B76,0))</f>
        <v/>
      </c>
      <c r="C83" s="375" t="s">
        <v>861</v>
      </c>
      <c r="D83" s="532" t="s">
        <v>721</v>
      </c>
      <c r="E83" s="529" t="s">
        <v>822</v>
      </c>
    </row>
    <row r="84" spans="1:8" ht="12.5">
      <c r="A84" s="532" t="s">
        <v>1864</v>
      </c>
      <c r="B84" s="531" t="str">
        <f>IF(OR('Äldre o personer funktionsn'!K17="",'Äldre o personer funktionsn'!K17=0),"",ROUND(('Äldre o personer funktionsn'!K17/('Äldre o personer funktionsn'!K14+'Äldre o personer funktionsn'!K16+'Äldre o personer funktionsn'!K17+'Äldre o personer funktionsn'!K18))*Nyckeltal!B75,0))</f>
        <v/>
      </c>
      <c r="C84" s="375" t="s">
        <v>1865</v>
      </c>
      <c r="D84" s="532" t="s">
        <v>721</v>
      </c>
      <c r="E84" s="529" t="s">
        <v>822</v>
      </c>
    </row>
    <row r="85" spans="1:8">
      <c r="A85" s="517" t="s">
        <v>34</v>
      </c>
      <c r="B85" s="544"/>
    </row>
    <row r="86" spans="1:8" ht="12.5">
      <c r="A86" s="529" t="s">
        <v>395</v>
      </c>
      <c r="B86" s="531">
        <f>SUM(Drift!C73:D73)</f>
        <v>0</v>
      </c>
      <c r="C86" s="536" t="s">
        <v>397</v>
      </c>
      <c r="D86" s="532" t="s">
        <v>721</v>
      </c>
      <c r="E86" s="529" t="s">
        <v>822</v>
      </c>
    </row>
    <row r="87" spans="1:8" ht="12.5">
      <c r="A87" s="529" t="s">
        <v>404</v>
      </c>
      <c r="B87" s="531">
        <f>SUM(Drift!C74:D74)</f>
        <v>0</v>
      </c>
      <c r="C87" s="536" t="s">
        <v>403</v>
      </c>
      <c r="D87" s="532" t="s">
        <v>721</v>
      </c>
      <c r="E87" s="529" t="s">
        <v>822</v>
      </c>
    </row>
    <row r="88" spans="1:8" ht="12.5">
      <c r="A88" s="529" t="s">
        <v>396</v>
      </c>
      <c r="B88" s="531">
        <f>SUM(Drift!C75:D75)</f>
        <v>0</v>
      </c>
      <c r="C88" s="536" t="s">
        <v>402</v>
      </c>
      <c r="D88" s="532" t="s">
        <v>721</v>
      </c>
      <c r="E88" s="529" t="s">
        <v>822</v>
      </c>
    </row>
    <row r="89" spans="1:8" ht="12.5">
      <c r="A89" s="529" t="s">
        <v>405</v>
      </c>
      <c r="B89" s="535" t="str">
        <f>IF(OR(B86=0,B86=""),"",ROUND(B65/('Äldre o personer funktionsn'!K12)*(Nyckeltal!B86),1))</f>
        <v/>
      </c>
      <c r="C89" s="536" t="s">
        <v>398</v>
      </c>
      <c r="D89" s="532" t="s">
        <v>721</v>
      </c>
      <c r="E89" s="529" t="s">
        <v>822</v>
      </c>
    </row>
    <row r="90" spans="1:8" ht="12.5">
      <c r="A90" s="529" t="s">
        <v>1866</v>
      </c>
      <c r="B90" s="535" t="str">
        <f>IF(OR(B86=0,B86=""),"",ROUND('Äldre o personer funktionsn'!K16/('Äldre o personer funktionsn'!K12)*(Nyckeltal!B86),1))</f>
        <v/>
      </c>
      <c r="C90" s="536" t="s">
        <v>399</v>
      </c>
      <c r="D90" s="532" t="s">
        <v>721</v>
      </c>
      <c r="E90" s="529" t="s">
        <v>822</v>
      </c>
    </row>
    <row r="91" spans="1:8" ht="12.5">
      <c r="A91" s="529" t="s">
        <v>406</v>
      </c>
      <c r="B91" s="535" t="str">
        <f>IF(OR(B87=0,B87=""),"",ROUND(B66/('Äldre o personer funktionsn'!K22)*(Nyckeltal!B87),1))</f>
        <v/>
      </c>
      <c r="C91" s="536" t="s">
        <v>400</v>
      </c>
      <c r="D91" s="532" t="s">
        <v>721</v>
      </c>
      <c r="E91" s="529" t="s">
        <v>822</v>
      </c>
    </row>
    <row r="92" spans="1:8" ht="12.5">
      <c r="A92" s="529" t="s">
        <v>443</v>
      </c>
      <c r="B92" s="665" t="str">
        <f>IF(OR(B87=0,B87=""),"",ROUND('Äldre o personer funktionsn'!K27/('Äldre o personer funktionsn'!K22)*(Nyckeltal!B87),1))</f>
        <v/>
      </c>
      <c r="C92" s="536" t="s">
        <v>401</v>
      </c>
      <c r="D92" s="532" t="s">
        <v>721</v>
      </c>
      <c r="E92" s="529" t="s">
        <v>822</v>
      </c>
    </row>
    <row r="93" spans="1:8" ht="12.5">
      <c r="A93" s="529" t="s">
        <v>1867</v>
      </c>
      <c r="B93" s="531" t="str">
        <f>IF(OR(B86=0,B86=""),"",ROUND('Äldre o personer funktionsn'!K17/('Äldre o personer funktionsn'!K12)*(Nyckeltal!B86),1))</f>
        <v/>
      </c>
      <c r="C93" s="375" t="s">
        <v>1868</v>
      </c>
      <c r="D93" s="532" t="s">
        <v>721</v>
      </c>
      <c r="E93" s="529" t="s">
        <v>822</v>
      </c>
      <c r="H93" s="528" t="str">
        <f>IF(OR(H89="",H90="",H92=""),"",ROUND((H89+H91-H92+H90),0))</f>
        <v/>
      </c>
    </row>
    <row r="94" spans="1:8">
      <c r="A94" s="527" t="s">
        <v>587</v>
      </c>
      <c r="F94" s="516" t="s">
        <v>1262</v>
      </c>
    </row>
    <row r="95" spans="1:8" ht="12.5">
      <c r="A95" s="532"/>
      <c r="C95" s="375" t="s">
        <v>82</v>
      </c>
      <c r="D95" s="529"/>
      <c r="F95" s="519"/>
    </row>
    <row r="96" spans="1:8" ht="12.5">
      <c r="A96" s="661"/>
      <c r="B96" s="662">
        <f>('Pedagogisk verksamhet'!J8+'Pedagogisk verksamhet'!J16)</f>
        <v>0</v>
      </c>
      <c r="C96" s="536" t="s">
        <v>1196</v>
      </c>
      <c r="D96" s="663" t="s">
        <v>606</v>
      </c>
      <c r="E96" s="663"/>
      <c r="F96" s="662"/>
    </row>
    <row r="97" spans="1:7" ht="12.5">
      <c r="A97" s="661"/>
      <c r="B97" s="664">
        <f>('Pedagogisk verksamhet'!J8+'Pedagogisk verksamhet'!J16)</f>
        <v>0</v>
      </c>
      <c r="C97" s="536" t="s">
        <v>1196</v>
      </c>
      <c r="D97" s="663" t="s">
        <v>606</v>
      </c>
      <c r="E97" s="663"/>
      <c r="F97" s="664"/>
    </row>
    <row r="98" spans="1:7" ht="12.5">
      <c r="A98" s="661"/>
      <c r="B98" s="662">
        <f>('Pedagogisk verksamhet'!J8+'Pedagogisk verksamhet'!J16)</f>
        <v>0</v>
      </c>
      <c r="C98" s="536" t="s">
        <v>1196</v>
      </c>
      <c r="D98" s="663" t="s">
        <v>606</v>
      </c>
      <c r="E98" s="663"/>
      <c r="F98" s="662"/>
    </row>
    <row r="99" spans="1:7" ht="12.5">
      <c r="A99" s="532" t="s">
        <v>604</v>
      </c>
      <c r="B99" s="660" t="e">
        <f>IF(AND((Drift!P48-Drift!V48-((Motpart!D14+Motpart!F14+Motpart!J14)-((Motpart!D14+Motpart!F14+Motpart!J14)*0.06))-Motpart!G14)=0,B96&gt;0),0,(Drift!P48-Drift!V48-((Motpart!D14+Motpart!F14+Motpart!J14)-((Motpart!D14+Motpart!F14+Motpart!J14)*0.06)))-Motpart!G14)*1000/(B96)</f>
        <v>#DIV/0!</v>
      </c>
      <c r="C99" s="375" t="s">
        <v>1197</v>
      </c>
      <c r="D99" s="533" t="s">
        <v>1206</v>
      </c>
      <c r="E99" s="533" t="s">
        <v>605</v>
      </c>
      <c r="F99" s="660">
        <f>IF(AND((Drift!P48-Drift!V48-((Motpart!D14+Motpart!F14+Motpart!J14)-((Motpart!D14+Motpart!F14+Motpart!J14)*0.06))-Motpart!G14)=0,B96&gt;0),0,(Drift!P48-Drift!V48-((Motpart!D14+Motpart!F14+Motpart!J14)-((Motpart!D14+Motpart!F14+Motpart!J14)*0.06)))-Motpart!G14)</f>
        <v>0</v>
      </c>
    </row>
    <row r="100" spans="1:7" ht="12.5">
      <c r="A100" s="532" t="s">
        <v>607</v>
      </c>
      <c r="B100" s="660" t="e">
        <f>(Motpart!D14+Motpart!F14+Motpart!J14-(Motpart!D14+Motpart!F14+Motpart!J14)*0.06)*1000/B98</f>
        <v>#DIV/0!</v>
      </c>
      <c r="C100" s="375" t="s">
        <v>1198</v>
      </c>
      <c r="D100" s="533" t="s">
        <v>1206</v>
      </c>
      <c r="E100" s="533" t="s">
        <v>605</v>
      </c>
      <c r="F100" s="660">
        <f>(Motpart!D14+Motpart!F14+Motpart!J14-(Motpart!D14+Motpart!F14+Motpart!J14)*0.06)</f>
        <v>0</v>
      </c>
    </row>
    <row r="101" spans="1:7" ht="12.5">
      <c r="A101" s="532" t="s">
        <v>608</v>
      </c>
      <c r="B101" s="660" t="e">
        <f>(Drift!P48-Drift!V48-Motpart!Y14)*1000/(B97)</f>
        <v>#DIV/0!</v>
      </c>
      <c r="C101" s="375" t="s">
        <v>1199</v>
      </c>
      <c r="D101" s="533" t="s">
        <v>1206</v>
      </c>
      <c r="E101" s="533" t="s">
        <v>605</v>
      </c>
      <c r="F101" s="660">
        <f>(Drift!P48-Drift!V48-Motpart!Y14)</f>
        <v>0</v>
      </c>
    </row>
    <row r="102" spans="1:7" ht="12.5">
      <c r="A102" s="532" t="s">
        <v>609</v>
      </c>
      <c r="B102" s="660">
        <f>Drift!P46-Drift!V46</f>
        <v>0</v>
      </c>
      <c r="C102" s="375" t="s">
        <v>1281</v>
      </c>
      <c r="D102" s="533" t="s">
        <v>721</v>
      </c>
      <c r="E102" s="533" t="s">
        <v>605</v>
      </c>
      <c r="F102" s="660">
        <f>Drift!P46-Drift!V46</f>
        <v>0</v>
      </c>
    </row>
    <row r="103" spans="1:7" ht="12.5">
      <c r="A103" s="532" t="s">
        <v>610</v>
      </c>
      <c r="B103" s="660">
        <f>Drift!P49-Drift!V49</f>
        <v>0</v>
      </c>
      <c r="C103" s="375" t="s">
        <v>611</v>
      </c>
      <c r="D103" s="533" t="s">
        <v>721</v>
      </c>
      <c r="E103" s="533" t="s">
        <v>605</v>
      </c>
      <c r="F103" s="660">
        <f>Drift!P49-Drift!V49</f>
        <v>0</v>
      </c>
    </row>
    <row r="104" spans="1:7" ht="12.5">
      <c r="A104" s="532" t="s">
        <v>612</v>
      </c>
      <c r="B104" s="660" t="e">
        <f>(('Pedagogisk verksamhet'!M17)*'Pedagogisk verksamhet'!J16+('Pedagogisk verksamhet'!M25)*'Pedagogisk verksamhet'!J24+('Pedagogisk verksamhet'!M31)*'Pedagogisk verksamhet'!J31)/('Pedagogisk verksamhet'!J24+'Pedagogisk verksamhet'!J31)</f>
        <v>#DIV/0!</v>
      </c>
      <c r="C104" s="375" t="s">
        <v>1200</v>
      </c>
      <c r="D104" s="533" t="s">
        <v>1207</v>
      </c>
      <c r="E104" s="533" t="s">
        <v>605</v>
      </c>
      <c r="F104" s="660">
        <f>'Pedagogisk verksamhet'!X17+'Pedagogisk verksamhet'!X25+'Pedagogisk verksamhet'!X31</f>
        <v>0</v>
      </c>
    </row>
    <row r="105" spans="1:7" ht="12.5">
      <c r="A105" s="532" t="s">
        <v>613</v>
      </c>
      <c r="B105" s="660" t="e">
        <f>(('Pedagogisk verksamhet'!M17-'Pedagogisk verksamhet'!M19)*'Pedagogisk verksamhet'!J16+('Pedagogisk verksamhet'!M25-'Pedagogisk verksamhet'!M27)*'Pedagogisk verksamhet'!J24+('Pedagogisk verksamhet'!M31-'Pedagogisk verksamhet'!M37)*'Pedagogisk verksamhet'!J31)/('Pedagogisk verksamhet'!J24+'Pedagogisk verksamhet'!J31)</f>
        <v>#DIV/0!</v>
      </c>
      <c r="C105" s="375" t="s">
        <v>1201</v>
      </c>
      <c r="D105" s="533" t="s">
        <v>1207</v>
      </c>
      <c r="E105" s="533" t="s">
        <v>605</v>
      </c>
      <c r="F105" s="660">
        <f>('Pedagogisk verksamhet'!X17-'Pedagogisk verksamhet'!X19)+('Pedagogisk verksamhet'!X25-'Pedagogisk verksamhet'!X27)+('Pedagogisk verksamhet'!X31-'Pedagogisk verksamhet'!X37)</f>
        <v>0</v>
      </c>
    </row>
    <row r="106" spans="1:7" ht="12.5">
      <c r="A106" s="532" t="s">
        <v>614</v>
      </c>
      <c r="B106" s="660" t="e">
        <f>('Pedagogisk verksamhet'!M58*'Pedagogisk verksamhet'!J58/1000+Motpart!G20-Motpart!Y20)/'Pedagogisk verksamhet'!J58*1000+'Pedagogisk verksamhet'!M62</f>
        <v>#DIV/0!</v>
      </c>
      <c r="C106" s="375" t="s">
        <v>1202</v>
      </c>
      <c r="D106" s="533" t="s">
        <v>1208</v>
      </c>
      <c r="E106" s="533" t="s">
        <v>605</v>
      </c>
      <c r="F106" s="660">
        <f>'Pedagogisk verksamhet'!X58+Motpart!G20-Motpart!Y20+'Pedagogisk verksamhet'!X62</f>
        <v>0</v>
      </c>
    </row>
    <row r="107" spans="1:7" ht="12.5">
      <c r="A107" s="532" t="s">
        <v>615</v>
      </c>
      <c r="B107" s="660" t="str">
        <f>IF(OR(Drift!P64="",Drift!P64=0),"",(Drift!P64-Drift!V64-Drift!F64-Drift!S64)*1000/'Pedagogisk verksamhet'!J86)</f>
        <v/>
      </c>
      <c r="C107" s="375" t="s">
        <v>616</v>
      </c>
      <c r="D107" s="533" t="s">
        <v>805</v>
      </c>
      <c r="E107" s="533" t="s">
        <v>605</v>
      </c>
      <c r="F107" s="660" t="str">
        <f>IF(OR(Drift!P64="",Drift!P64=0),"",(Drift!P64-Drift!V64-Drift!F64-Drift!S64))</f>
        <v/>
      </c>
    </row>
    <row r="108" spans="1:7" ht="12.5">
      <c r="A108" s="532" t="s">
        <v>617</v>
      </c>
      <c r="B108" s="660" t="e">
        <f>(G108+Drift!P62-(Drift!F62+Drift!V62+Drift!S62))*1000/'Pedagogisk verksamhet'!J104</f>
        <v>#DIV/0!</v>
      </c>
      <c r="C108" s="375" t="s">
        <v>1276</v>
      </c>
      <c r="D108" s="533" t="s">
        <v>805</v>
      </c>
      <c r="E108" s="533" t="s">
        <v>605</v>
      </c>
      <c r="F108" s="660">
        <f>IF(OR(Drift!F62="",Drift!F62=0),0,(((Motpart!D24+Motpart!E24+Motpart!F24+Motpart!J24)*(Drift!F62/(Drift!F62+Drift!F62+Drift!F62)))))</f>
        <v>0</v>
      </c>
      <c r="G108">
        <f>IF(OR(Drift!F62="",Drift!F62=0),0,(((Motpart!D24+Motpart!E24+Motpart!F24+Motpart!J24)*(Drift!F62/(Drift!F62+Drift!F62+Drift!F62)))))</f>
        <v>0</v>
      </c>
    </row>
    <row r="109" spans="1:7" ht="12.5">
      <c r="A109" s="532" t="s">
        <v>1209</v>
      </c>
      <c r="C109" s="375" t="s">
        <v>1218</v>
      </c>
      <c r="F109" s="385">
        <f>'Pedagogisk verksamhet'!X9-'Pedagogisk verksamhet'!X11</f>
        <v>0</v>
      </c>
    </row>
    <row r="110" spans="1:7" ht="12.5">
      <c r="A110" s="532" t="s">
        <v>1210</v>
      </c>
      <c r="C110" s="375" t="s">
        <v>1219</v>
      </c>
      <c r="F110" s="385">
        <f>'Pedagogisk verksamhet'!X17-'Pedagogisk verksamhet'!X19</f>
        <v>0</v>
      </c>
    </row>
    <row r="111" spans="1:7" ht="12.5">
      <c r="A111" s="532" t="s">
        <v>1211</v>
      </c>
      <c r="C111" s="375" t="s">
        <v>1220</v>
      </c>
      <c r="F111" s="385">
        <f>'Pedagogisk verksamhet'!X25-'Pedagogisk verksamhet'!X27</f>
        <v>0</v>
      </c>
    </row>
    <row r="112" spans="1:7" ht="12.5">
      <c r="A112" s="532" t="s">
        <v>1212</v>
      </c>
      <c r="C112" s="375" t="s">
        <v>1221</v>
      </c>
      <c r="F112" s="385">
        <f>'Pedagogisk verksamhet'!X31-'Pedagogisk verksamhet'!X37</f>
        <v>0</v>
      </c>
    </row>
    <row r="113" spans="1:6" ht="12.5">
      <c r="A113" s="532" t="s">
        <v>1213</v>
      </c>
      <c r="C113" s="375" t="s">
        <v>1758</v>
      </c>
      <c r="F113" s="385">
        <f>'Pedagogisk verksamhet'!X44-'Pedagogisk verksamhet'!X50</f>
        <v>0</v>
      </c>
    </row>
    <row r="114" spans="1:6" ht="12.5">
      <c r="A114" s="532" t="s">
        <v>1214</v>
      </c>
      <c r="C114" s="375" t="s">
        <v>1222</v>
      </c>
      <c r="F114" s="385">
        <f>'Pedagogisk verksamhet'!X58-'Pedagogisk verksamhet'!X64</f>
        <v>0</v>
      </c>
    </row>
    <row r="115" spans="1:6" ht="12.5">
      <c r="A115" s="532" t="s">
        <v>1215</v>
      </c>
      <c r="C115" s="375" t="s">
        <v>1759</v>
      </c>
      <c r="F115" s="385">
        <f>'Pedagogisk verksamhet'!X72-'Pedagogisk verksamhet'!X78</f>
        <v>0</v>
      </c>
    </row>
    <row r="116" spans="1:6" ht="12.5">
      <c r="A116" s="532" t="s">
        <v>1216</v>
      </c>
      <c r="C116" s="375" t="s">
        <v>1223</v>
      </c>
      <c r="F116" s="385">
        <f>'Pedagogisk verksamhet'!X86-'Pedagogisk verksamhet'!X90</f>
        <v>0</v>
      </c>
    </row>
    <row r="117" spans="1:6" ht="12.5">
      <c r="A117" s="532" t="s">
        <v>1217</v>
      </c>
      <c r="C117" s="375" t="s">
        <v>1224</v>
      </c>
      <c r="F117" s="385">
        <f>'Pedagogisk verksamhet'!X95-'Pedagogisk verksamhet'!X99</f>
        <v>0</v>
      </c>
    </row>
    <row r="118" spans="1:6" ht="12.5">
      <c r="A118" s="532" t="s">
        <v>1266</v>
      </c>
      <c r="C118" s="375" t="s">
        <v>1225</v>
      </c>
      <c r="F118" s="385">
        <f>F116+F117</f>
        <v>0</v>
      </c>
    </row>
    <row r="119" spans="1:6" ht="12.5">
      <c r="A119" s="532" t="s">
        <v>1267</v>
      </c>
      <c r="C119" s="375" t="s">
        <v>1233</v>
      </c>
      <c r="F119" s="385">
        <f>'Pedagogisk verksamhet'!X86+'Pedagogisk verksamhet'!X95</f>
        <v>0</v>
      </c>
    </row>
    <row r="120" spans="1:6" ht="12.5">
      <c r="A120" s="532" t="s">
        <v>1268</v>
      </c>
      <c r="C120" s="375" t="s">
        <v>1234</v>
      </c>
      <c r="F120" s="385">
        <f>'Pedagogisk verksamhet'!X87+'Pedagogisk verksamhet'!X96</f>
        <v>0</v>
      </c>
    </row>
    <row r="121" spans="1:6" ht="12.5">
      <c r="A121" s="532" t="s">
        <v>1269</v>
      </c>
      <c r="C121" s="375" t="s">
        <v>1235</v>
      </c>
      <c r="F121" s="385">
        <f>'Pedagogisk verksamhet'!X88+'Pedagogisk verksamhet'!X97</f>
        <v>0</v>
      </c>
    </row>
    <row r="122" spans="1:6" ht="12.5">
      <c r="A122" s="532" t="s">
        <v>1270</v>
      </c>
      <c r="C122" s="375" t="s">
        <v>1236</v>
      </c>
      <c r="F122" s="385">
        <f>'Pedagogisk verksamhet'!X89+'Pedagogisk verksamhet'!X98</f>
        <v>0</v>
      </c>
    </row>
    <row r="123" spans="1:6" ht="12.5">
      <c r="A123" s="532" t="s">
        <v>1271</v>
      </c>
      <c r="C123" s="375" t="s">
        <v>1237</v>
      </c>
      <c r="F123" s="385">
        <f>'Pedagogisk verksamhet'!X90+'Pedagogisk verksamhet'!X99</f>
        <v>0</v>
      </c>
    </row>
    <row r="124" spans="1:6" ht="12.5">
      <c r="A124" s="532" t="s">
        <v>1272</v>
      </c>
      <c r="C124" s="375" t="s">
        <v>1238</v>
      </c>
      <c r="F124" s="385">
        <f>'Pedagogisk verksamhet'!X91+'Pedagogisk verksamhet'!X100</f>
        <v>0</v>
      </c>
    </row>
    <row r="125" spans="1:6" ht="12.5">
      <c r="A125" s="532" t="s">
        <v>1273</v>
      </c>
      <c r="C125" s="375" t="s">
        <v>1263</v>
      </c>
      <c r="F125" s="385">
        <f>F128+F132</f>
        <v>0</v>
      </c>
    </row>
    <row r="126" spans="1:6" ht="12.5">
      <c r="A126" s="532" t="s">
        <v>1274</v>
      </c>
      <c r="C126" s="375" t="s">
        <v>1264</v>
      </c>
      <c r="F126" s="385">
        <f>F130+F134</f>
        <v>0</v>
      </c>
    </row>
    <row r="127" spans="1:6" ht="12.5">
      <c r="A127" s="532" t="s">
        <v>1275</v>
      </c>
      <c r="C127" s="375" t="s">
        <v>1265</v>
      </c>
      <c r="F127" s="385">
        <f>F131+F135</f>
        <v>0</v>
      </c>
    </row>
    <row r="128" spans="1:6" ht="12.5">
      <c r="A128" s="532" t="s">
        <v>1226</v>
      </c>
      <c r="C128" s="375" t="s">
        <v>1239</v>
      </c>
      <c r="F128" s="385">
        <f>Motpart!G22+Motpart!K22</f>
        <v>0</v>
      </c>
    </row>
    <row r="129" spans="1:6" ht="12.5">
      <c r="A129" s="532" t="s">
        <v>1227</v>
      </c>
      <c r="C129" s="375" t="s">
        <v>1240</v>
      </c>
      <c r="F129" s="385">
        <f>Motpart!Y22</f>
        <v>0</v>
      </c>
    </row>
    <row r="130" spans="1:6" ht="12.5">
      <c r="A130" s="532" t="s">
        <v>1252</v>
      </c>
      <c r="C130" s="375" t="s">
        <v>1253</v>
      </c>
      <c r="F130" s="385">
        <f>Motpart!H22</f>
        <v>0</v>
      </c>
    </row>
    <row r="131" spans="1:6" ht="12.5">
      <c r="A131" s="532" t="s">
        <v>1228</v>
      </c>
      <c r="C131" s="375" t="s">
        <v>1241</v>
      </c>
      <c r="F131" s="385">
        <f>(Motpart!D22+Motpart!E22+Motpart!F22+Motpart!J22)-((Motpart!D22+Motpart!E22+Motpart!F22+Motpart!J22)*0.06)</f>
        <v>0</v>
      </c>
    </row>
    <row r="132" spans="1:6" ht="12.5">
      <c r="A132" s="532" t="s">
        <v>1229</v>
      </c>
      <c r="C132" s="375" t="s">
        <v>1242</v>
      </c>
      <c r="F132" s="385">
        <f>Motpart!G23+Motpart!K23</f>
        <v>0</v>
      </c>
    </row>
    <row r="133" spans="1:6" ht="12.5">
      <c r="A133" s="532" t="s">
        <v>1230</v>
      </c>
      <c r="C133" s="375" t="s">
        <v>1243</v>
      </c>
      <c r="F133" s="385">
        <f>Motpart!Y23</f>
        <v>0</v>
      </c>
    </row>
    <row r="134" spans="1:6" ht="12.5">
      <c r="A134" s="532" t="s">
        <v>1231</v>
      </c>
      <c r="C134" s="375" t="s">
        <v>1245</v>
      </c>
      <c r="F134" s="385">
        <f>Motpart!H23</f>
        <v>0</v>
      </c>
    </row>
    <row r="135" spans="1:6" ht="12.5">
      <c r="A135" s="532" t="s">
        <v>1232</v>
      </c>
      <c r="C135" s="375" t="s">
        <v>1244</v>
      </c>
      <c r="F135" s="385">
        <f>(Motpart!D23+Motpart!E23+Motpart!F23+Motpart!J23)-((Motpart!D23+Motpart!E23+Motpart!F23+Motpart!J23)*0.06)</f>
        <v>0</v>
      </c>
    </row>
    <row r="136" spans="1:6" ht="12.5">
      <c r="A136" s="532" t="s">
        <v>1246</v>
      </c>
      <c r="C136" s="375" t="s">
        <v>1249</v>
      </c>
      <c r="F136" s="385">
        <f>'Pedagogisk verksamhet'!X86+Nyckeltal!F131</f>
        <v>0</v>
      </c>
    </row>
    <row r="137" spans="1:6" ht="12.5">
      <c r="A137" s="532" t="s">
        <v>1247</v>
      </c>
      <c r="C137" s="375" t="s">
        <v>1250</v>
      </c>
      <c r="F137" s="385">
        <f>'Pedagogisk verksamhet'!X95+Nyckeltal!F135</f>
        <v>0</v>
      </c>
    </row>
    <row r="138" spans="1:6" ht="12.5">
      <c r="A138" s="532" t="s">
        <v>1248</v>
      </c>
      <c r="C138" s="375" t="s">
        <v>1251</v>
      </c>
      <c r="F138" s="385">
        <f>F136+F137</f>
        <v>0</v>
      </c>
    </row>
    <row r="139" spans="1:6" ht="12.5">
      <c r="A139" s="532" t="s">
        <v>1254</v>
      </c>
      <c r="C139" s="375" t="s">
        <v>1257</v>
      </c>
      <c r="F139" s="385">
        <f>F136+F128+F130-F129</f>
        <v>0</v>
      </c>
    </row>
    <row r="140" spans="1:6" ht="12.5">
      <c r="A140" s="532" t="s">
        <v>1255</v>
      </c>
      <c r="C140" s="375" t="s">
        <v>1256</v>
      </c>
      <c r="F140" s="385">
        <f>F137+F132+F134-F133</f>
        <v>0</v>
      </c>
    </row>
    <row r="141" spans="1:6" ht="12.5">
      <c r="A141" s="532" t="s">
        <v>1259</v>
      </c>
      <c r="C141" s="375" t="s">
        <v>1260</v>
      </c>
      <c r="F141" s="385">
        <f>'Pedagogisk verksamhet'!X8+'Pedagogisk verksamhet'!X16+Nyckeltal!F101+Nyckeltal!F102+Nyckeltal!F103</f>
        <v>0</v>
      </c>
    </row>
    <row r="142" spans="1:6" ht="12.5">
      <c r="A142" s="532" t="s">
        <v>1258</v>
      </c>
      <c r="C142" s="375" t="s">
        <v>1261</v>
      </c>
      <c r="F142" s="385">
        <f>'Pedagogisk verksamhet'!X9+'Pedagogisk verksamhet'!X17+Nyckeltal!F99+Nyckeltal!F102+Nyckeltal!F103</f>
        <v>0</v>
      </c>
    </row>
    <row r="143" spans="1:6" ht="12.5">
      <c r="A143" s="532" t="s">
        <v>1277</v>
      </c>
      <c r="C143" s="375" t="s">
        <v>1279</v>
      </c>
      <c r="F143" s="385">
        <f>'Pedagogisk verksamhet'!E12-'Pedagogisk verksamhet'!E13</f>
        <v>0</v>
      </c>
    </row>
    <row r="144" spans="1:6" ht="12.5">
      <c r="A144" s="532" t="s">
        <v>1278</v>
      </c>
      <c r="C144" s="375" t="s">
        <v>1280</v>
      </c>
      <c r="F144" s="385">
        <f>'Pedagogisk verksamhet'!E20-'Pedagogisk verksamhet'!E21</f>
        <v>0</v>
      </c>
    </row>
    <row r="145" spans="1:5">
      <c r="A145" s="527" t="s">
        <v>1086</v>
      </c>
      <c r="C145" s="375"/>
    </row>
    <row r="146" spans="1:5" ht="12.5">
      <c r="A146" s="529" t="s">
        <v>1087</v>
      </c>
      <c r="B146" s="519" t="str">
        <f>IF(OR(BR!D21="",BR!D21=0),"",(BR!D33-BR!D21)/BR!D74*100)</f>
        <v/>
      </c>
      <c r="C146" s="375" t="s">
        <v>1089</v>
      </c>
      <c r="D146" t="s">
        <v>982</v>
      </c>
      <c r="E146" s="533" t="s">
        <v>1093</v>
      </c>
    </row>
    <row r="147" spans="1:5" ht="12.5">
      <c r="A147" s="529" t="s">
        <v>1088</v>
      </c>
      <c r="B147" s="519" t="str">
        <f>IF(OR(BR!E21="",BR!E21=0),"",(BR!E33-BR!E21)/BR!E74*100)</f>
        <v/>
      </c>
      <c r="C147" s="375" t="s">
        <v>1090</v>
      </c>
      <c r="D147" t="s">
        <v>982</v>
      </c>
      <c r="E147" s="533" t="s">
        <v>1093</v>
      </c>
    </row>
    <row r="148" spans="1:5" ht="12.5">
      <c r="A148" s="529" t="s">
        <v>1091</v>
      </c>
      <c r="B148" s="519" t="str">
        <f>IF(OR(Investeringar!C78="",Investeringar!C78=0),"",(RR!C18+RR!C9)/((Investeringar!C66)-(Investeringar!C78))*100)</f>
        <v/>
      </c>
      <c r="C148" s="375" t="s">
        <v>1092</v>
      </c>
      <c r="D148" t="s">
        <v>982</v>
      </c>
      <c r="E148" s="533" t="s">
        <v>1093</v>
      </c>
    </row>
    <row r="149" spans="1:5" ht="12.5">
      <c r="C149" s="375"/>
    </row>
    <row r="150" spans="1:5" ht="12.5">
      <c r="C150" s="375"/>
    </row>
    <row r="151" spans="1:5" ht="12.5">
      <c r="C151" s="375"/>
    </row>
    <row r="152" spans="1:5" ht="12.5">
      <c r="C152" s="375"/>
    </row>
  </sheetData>
  <phoneticPr fontId="103" type="noConversion"/>
  <pageMargins left="0.75" right="0.75" top="1" bottom="1" header="0.5" footer="0.5"/>
  <pageSetup paperSize="9" scale="77" orientation="portrait" r:id="rId1"/>
  <headerFooter alignWithMargins="0"/>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H106"/>
  <sheetViews>
    <sheetView workbookViewId="0"/>
  </sheetViews>
  <sheetFormatPr defaultRowHeight="12.5"/>
  <cols>
    <col min="1" max="1" width="29.54296875" bestFit="1" customWidth="1"/>
    <col min="2" max="2" width="30.54296875" bestFit="1" customWidth="1"/>
    <col min="3" max="3" width="82.54296875" customWidth="1"/>
    <col min="5" max="5" width="59.453125" bestFit="1" customWidth="1"/>
  </cols>
  <sheetData>
    <row r="1" spans="1:4">
      <c r="A1" t="str">
        <f>RR!$E$7</f>
        <v>Belopp saknas</v>
      </c>
      <c r="B1" t="s">
        <v>1098</v>
      </c>
      <c r="C1" t="str">
        <f t="shared" ref="C1:C6" si="0">IF(AND(A1&lt;&gt;"",D1=0), A1,"")</f>
        <v>Belopp saknas</v>
      </c>
      <c r="D1">
        <f>Extraordinära_RR</f>
        <v>0</v>
      </c>
    </row>
    <row r="2" spans="1:4">
      <c r="A2" t="str">
        <f>BR!$F$86</f>
        <v>Belopp saknas</v>
      </c>
      <c r="B2" t="s">
        <v>1869</v>
      </c>
      <c r="C2" t="str">
        <f t="shared" si="0"/>
        <v>Belopp saknas</v>
      </c>
      <c r="D2">
        <f>BR</f>
        <v>0</v>
      </c>
    </row>
    <row r="3" spans="1:4">
      <c r="A3" t="str">
        <f>BR!$F$69</f>
        <v>Belopp saknas för kommunen</v>
      </c>
      <c r="B3" t="s">
        <v>1870</v>
      </c>
      <c r="C3" t="str">
        <f t="shared" si="0"/>
        <v>Belopp saknas för kommunen</v>
      </c>
      <c r="D3">
        <f>BR</f>
        <v>0</v>
      </c>
    </row>
    <row r="4" spans="1:4">
      <c r="A4" t="str">
        <f>Investeringar!I13</f>
        <v/>
      </c>
      <c r="B4" t="s">
        <v>1405</v>
      </c>
      <c r="C4" t="str">
        <f t="shared" si="0"/>
        <v/>
      </c>
      <c r="D4">
        <f t="shared" ref="D4:D31" si="1">Förändring_anläggningstillgångar</f>
        <v>0</v>
      </c>
    </row>
    <row r="5" spans="1:4">
      <c r="A5" t="str">
        <f>Investeringar!I14</f>
        <v/>
      </c>
      <c r="B5" t="s">
        <v>1485</v>
      </c>
      <c r="C5" t="str">
        <f t="shared" si="0"/>
        <v/>
      </c>
      <c r="D5">
        <f t="shared" si="1"/>
        <v>0</v>
      </c>
    </row>
    <row r="6" spans="1:4">
      <c r="A6" s="385" t="str">
        <f>Investeringar!E97</f>
        <v>Skriv belopp eller 0</v>
      </c>
      <c r="B6" t="s">
        <v>1407</v>
      </c>
      <c r="C6" t="str">
        <f t="shared" si="0"/>
        <v>Skriv belopp eller 0</v>
      </c>
      <c r="D6">
        <f>Tillägg_2_Invest</f>
        <v>0</v>
      </c>
    </row>
    <row r="9" spans="1:4">
      <c r="A9" t="str">
        <f>Drift!$W$123</f>
        <v/>
      </c>
      <c r="B9" t="s">
        <v>1108</v>
      </c>
      <c r="C9" t="str">
        <f t="shared" ref="C9:C18" si="2">IF(AND(A9&lt;&gt;"",D9=0),A9,"")</f>
        <v/>
      </c>
      <c r="D9">
        <f t="shared" ref="D9:D35" si="3">Drift</f>
        <v>0</v>
      </c>
    </row>
    <row r="10" spans="1:4">
      <c r="A10" s="385" t="str">
        <f>Drift!$P$126</f>
        <v/>
      </c>
      <c r="B10" t="s">
        <v>1336</v>
      </c>
      <c r="C10" t="str">
        <f t="shared" si="2"/>
        <v/>
      </c>
      <c r="D10">
        <f t="shared" si="3"/>
        <v>0</v>
      </c>
    </row>
    <row r="11" spans="1:4">
      <c r="A11" s="385" t="str">
        <f>Motpart!F46</f>
        <v/>
      </c>
      <c r="B11" t="s">
        <v>1807</v>
      </c>
      <c r="C11" t="str">
        <f t="shared" si="2"/>
        <v/>
      </c>
      <c r="D11">
        <f t="shared" ref="D11:D50" si="4">Köp_huvudvht</f>
        <v>0</v>
      </c>
    </row>
    <row r="12" spans="1:4">
      <c r="A12" s="385" t="str">
        <f>Motpart!F47</f>
        <v/>
      </c>
      <c r="B12" t="s">
        <v>1808</v>
      </c>
      <c r="C12" t="str">
        <f t="shared" si="2"/>
        <v/>
      </c>
      <c r="D12">
        <f t="shared" si="4"/>
        <v>0</v>
      </c>
    </row>
    <row r="13" spans="1:4">
      <c r="A13" s="385" t="str">
        <f>Motpart!T46</f>
        <v/>
      </c>
      <c r="B13" t="s">
        <v>1809</v>
      </c>
      <c r="C13" t="str">
        <f t="shared" si="2"/>
        <v/>
      </c>
      <c r="D13">
        <f t="shared" ref="D13:D54" si="5">Bidrag_o_transfer.</f>
        <v>0</v>
      </c>
    </row>
    <row r="14" spans="1:4">
      <c r="A14" s="385" t="str">
        <f>Motpart!T47</f>
        <v/>
      </c>
      <c r="B14" t="s">
        <v>1810</v>
      </c>
      <c r="C14" t="str">
        <f t="shared" si="2"/>
        <v/>
      </c>
      <c r="D14">
        <f t="shared" si="5"/>
        <v>0</v>
      </c>
    </row>
    <row r="15" spans="1:4">
      <c r="A15" s="385" t="str">
        <f>Motpart!K46</f>
        <v/>
      </c>
      <c r="B15" t="s">
        <v>1811</v>
      </c>
      <c r="C15" t="str">
        <f t="shared" si="2"/>
        <v/>
      </c>
      <c r="D15">
        <f t="shared" si="4"/>
        <v>0</v>
      </c>
    </row>
    <row r="16" spans="1:4">
      <c r="A16" s="385" t="str">
        <f>Motpart!K47</f>
        <v/>
      </c>
      <c r="B16" t="s">
        <v>1812</v>
      </c>
      <c r="C16" t="str">
        <f t="shared" si="2"/>
        <v/>
      </c>
      <c r="D16">
        <f t="shared" si="4"/>
        <v>0</v>
      </c>
    </row>
    <row r="17" spans="1:4">
      <c r="A17" s="385" t="str">
        <f>Motpart!Q46</f>
        <v/>
      </c>
      <c r="B17" t="s">
        <v>1813</v>
      </c>
      <c r="C17" t="str">
        <f t="shared" si="2"/>
        <v/>
      </c>
      <c r="D17">
        <f t="shared" si="5"/>
        <v>0</v>
      </c>
    </row>
    <row r="18" spans="1:4">
      <c r="A18" s="385" t="str">
        <f>Motpart!Q47</f>
        <v/>
      </c>
      <c r="B18" t="s">
        <v>1814</v>
      </c>
      <c r="C18" t="str">
        <f t="shared" si="2"/>
        <v/>
      </c>
      <c r="D18">
        <f t="shared" si="5"/>
        <v>0</v>
      </c>
    </row>
    <row r="19" spans="1:4">
      <c r="A19" t="str">
        <f>'Verks int o kostn'!$E$21</f>
        <v>Ange belopp eller 0</v>
      </c>
      <c r="B19" s="1817" t="s">
        <v>1801</v>
      </c>
      <c r="C19" t="str">
        <f t="shared" ref="C19:C35" si="6">IF(AND(A19&lt;&gt;"",D19=0), A19,"")</f>
        <v>Ange belopp eller 0</v>
      </c>
      <c r="D19">
        <f>Vht_int</f>
        <v>0</v>
      </c>
    </row>
    <row r="20" spans="1:4">
      <c r="A20" t="str">
        <f>'Verks int o kostn'!$E$22</f>
        <v>Ange belopp eller 0</v>
      </c>
      <c r="B20" s="1817" t="s">
        <v>1802</v>
      </c>
      <c r="C20" t="str">
        <f t="shared" si="6"/>
        <v>Ange belopp eller 0</v>
      </c>
      <c r="D20">
        <f>Vht_int</f>
        <v>0</v>
      </c>
    </row>
    <row r="21" spans="1:4">
      <c r="A21" s="385" t="str">
        <f>'Verks int o kostn'!D37</f>
        <v/>
      </c>
      <c r="B21" s="1817" t="s">
        <v>1803</v>
      </c>
      <c r="C21" t="str">
        <f t="shared" si="6"/>
        <v/>
      </c>
      <c r="D21">
        <f>Vht_int</f>
        <v>0</v>
      </c>
    </row>
    <row r="22" spans="1:4">
      <c r="A22" t="str">
        <f>'Verks int o kostn'!$J$41</f>
        <v>Belopp saknas</v>
      </c>
      <c r="B22" t="s">
        <v>1100</v>
      </c>
      <c r="C22" t="str">
        <f>IF(AND(A22&lt;&gt;"",D22=0), A22,"")</f>
        <v>Belopp saknas</v>
      </c>
      <c r="D22">
        <f>Vht_kostn</f>
        <v>0</v>
      </c>
    </row>
    <row r="23" spans="1:4">
      <c r="A23" s="385" t="str">
        <f>'Verks int o kostn'!$J$45</f>
        <v>Belopp saknas</v>
      </c>
      <c r="B23" t="s">
        <v>1099</v>
      </c>
      <c r="C23" t="str">
        <f t="shared" si="6"/>
        <v>Belopp saknas</v>
      </c>
      <c r="D23">
        <f>Vht_kostn</f>
        <v>0</v>
      </c>
    </row>
    <row r="24" spans="1:4">
      <c r="A24" s="385" t="str">
        <f>'Verks int o kostn'!$D$77</f>
        <v/>
      </c>
      <c r="B24" s="1817" t="s">
        <v>1804</v>
      </c>
      <c r="C24" t="str">
        <f>IF(AND(A24&lt;&gt;"",D24=0), A24,"")</f>
        <v/>
      </c>
      <c r="D24">
        <f>Vht_kostn</f>
        <v>0</v>
      </c>
    </row>
    <row r="25" spans="1:4">
      <c r="A25" t="str">
        <f>'Skatter, bidrag o fin poster'!$E$11</f>
        <v/>
      </c>
      <c r="B25" t="s">
        <v>1101</v>
      </c>
      <c r="C25" t="str">
        <f t="shared" si="6"/>
        <v/>
      </c>
      <c r="D25">
        <f>Skatter_bidrag_finpost</f>
        <v>0</v>
      </c>
    </row>
    <row r="26" spans="1:4">
      <c r="B26" s="1817"/>
    </row>
    <row r="27" spans="1:4">
      <c r="A27" s="385" t="str">
        <f>Investeringar!$C$16</f>
        <v/>
      </c>
      <c r="B27" t="s">
        <v>1102</v>
      </c>
      <c r="C27" t="str">
        <f t="shared" si="6"/>
        <v/>
      </c>
      <c r="D27">
        <f t="shared" si="1"/>
        <v>0</v>
      </c>
    </row>
    <row r="28" spans="1:4">
      <c r="A28" s="385" t="str">
        <f>Investeringar!$D$16</f>
        <v/>
      </c>
      <c r="B28" t="s">
        <v>1103</v>
      </c>
      <c r="C28" t="str">
        <f t="shared" si="6"/>
        <v/>
      </c>
      <c r="D28">
        <f t="shared" si="1"/>
        <v>0</v>
      </c>
    </row>
    <row r="29" spans="1:4">
      <c r="A29" s="385" t="str">
        <f>Investeringar!$E$16</f>
        <v/>
      </c>
      <c r="B29" t="s">
        <v>1104</v>
      </c>
      <c r="C29" t="str">
        <f t="shared" si="6"/>
        <v/>
      </c>
      <c r="D29">
        <f t="shared" si="1"/>
        <v>0</v>
      </c>
    </row>
    <row r="30" spans="1:4">
      <c r="A30" s="385" t="str">
        <f>Investeringar!$F$16</f>
        <v/>
      </c>
      <c r="B30" t="s">
        <v>1105</v>
      </c>
      <c r="C30" t="str">
        <f t="shared" si="6"/>
        <v/>
      </c>
      <c r="D30">
        <f t="shared" si="1"/>
        <v>0</v>
      </c>
    </row>
    <row r="31" spans="1:4">
      <c r="A31" s="385" t="str">
        <f>Investeringar!G66</f>
        <v/>
      </c>
      <c r="B31" t="s">
        <v>1406</v>
      </c>
      <c r="C31" t="str">
        <f t="shared" si="6"/>
        <v/>
      </c>
      <c r="D31">
        <f t="shared" si="1"/>
        <v>0</v>
      </c>
    </row>
    <row r="32" spans="1:4">
      <c r="A32" s="385" t="str">
        <f>Drift!AD113</f>
        <v/>
      </c>
      <c r="B32" t="s">
        <v>1106</v>
      </c>
      <c r="C32" t="str">
        <f>IF(AND(A32&lt;&gt;"",D32=0),A32,"")</f>
        <v/>
      </c>
      <c r="D32">
        <f t="shared" si="3"/>
        <v>0</v>
      </c>
    </row>
    <row r="33" spans="1:4">
      <c r="A33" t="str">
        <f>Drift!$N$114</f>
        <v>Kontrollera rad 924</v>
      </c>
      <c r="B33" t="s">
        <v>1107</v>
      </c>
      <c r="C33" t="str">
        <f>IF(AND(A33&lt;&gt;"",D33=0), A33,"")</f>
        <v>Kontrollera rad 924</v>
      </c>
      <c r="D33">
        <f t="shared" si="3"/>
        <v>0</v>
      </c>
    </row>
    <row r="34" spans="1:4">
      <c r="A34" s="385" t="str">
        <f>Drift!X116</f>
        <v/>
      </c>
      <c r="B34" t="s">
        <v>1334</v>
      </c>
      <c r="C34" t="str">
        <f t="shared" si="6"/>
        <v/>
      </c>
      <c r="D34">
        <f t="shared" si="3"/>
        <v>0</v>
      </c>
    </row>
    <row r="35" spans="1:4">
      <c r="A35" t="str">
        <f>Drift!J118</f>
        <v/>
      </c>
      <c r="B35" t="s">
        <v>1335</v>
      </c>
      <c r="C35" t="str">
        <f t="shared" si="6"/>
        <v/>
      </c>
      <c r="D35">
        <f t="shared" si="3"/>
        <v>0</v>
      </c>
    </row>
    <row r="36" spans="1:4">
      <c r="A36" t="str">
        <f>Motpart!$AD$10</f>
        <v/>
      </c>
      <c r="B36" t="s">
        <v>1109</v>
      </c>
      <c r="C36" t="str">
        <f t="shared" ref="C36:C46" si="7">IF(AND(A36&lt;&gt;"",D36=0),A36,"")</f>
        <v/>
      </c>
      <c r="D36">
        <f t="shared" ref="D36:D46" si="8">Spec_intäkter</f>
        <v>0</v>
      </c>
    </row>
    <row r="37" spans="1:4">
      <c r="A37" t="str">
        <f>Motpart!$AD$41</f>
        <v/>
      </c>
      <c r="B37" t="s">
        <v>1805</v>
      </c>
      <c r="C37" t="str">
        <f t="shared" si="7"/>
        <v/>
      </c>
      <c r="D37">
        <f t="shared" si="8"/>
        <v>0</v>
      </c>
    </row>
    <row r="38" spans="1:4">
      <c r="A38" t="str">
        <f>Motpart!$M$43</f>
        <v/>
      </c>
      <c r="B38" t="s">
        <v>1806</v>
      </c>
      <c r="C38" t="str">
        <f t="shared" si="7"/>
        <v/>
      </c>
      <c r="D38">
        <f>Köp_huvudvht</f>
        <v>0</v>
      </c>
    </row>
    <row r="39" spans="1:4">
      <c r="A39" s="385" t="str">
        <f>Motpart!$X$43</f>
        <v/>
      </c>
      <c r="B39" t="s">
        <v>1815</v>
      </c>
      <c r="C39" t="str">
        <f t="shared" si="7"/>
        <v/>
      </c>
      <c r="D39">
        <f>Bidrag_o_transfer.</f>
        <v>0</v>
      </c>
    </row>
    <row r="40" spans="1:4">
      <c r="A40" s="385" t="str">
        <f>Motpart!$U$44</f>
        <v/>
      </c>
      <c r="B40" t="s">
        <v>1816</v>
      </c>
      <c r="C40" t="str">
        <f t="shared" si="7"/>
        <v/>
      </c>
      <c r="D40">
        <f>Bidrag_o_transfer.</f>
        <v>0</v>
      </c>
    </row>
    <row r="41" spans="1:4">
      <c r="A41" s="385" t="str">
        <f>Motpart!$AA$45</f>
        <v/>
      </c>
      <c r="B41" t="s">
        <v>1817</v>
      </c>
      <c r="C41" t="str">
        <f t="shared" si="7"/>
        <v/>
      </c>
      <c r="D41">
        <f t="shared" si="8"/>
        <v>0</v>
      </c>
    </row>
    <row r="42" spans="1:4">
      <c r="A42" s="385" t="str">
        <f>Motpart!$AB$45</f>
        <v/>
      </c>
      <c r="B42" t="s">
        <v>1818</v>
      </c>
      <c r="C42" t="str">
        <f t="shared" si="7"/>
        <v/>
      </c>
      <c r="D42">
        <f t="shared" si="8"/>
        <v>0</v>
      </c>
    </row>
    <row r="43" spans="1:4">
      <c r="A43" s="385" t="str">
        <f>Motpart!$AC$45</f>
        <v/>
      </c>
      <c r="B43" t="s">
        <v>1819</v>
      </c>
      <c r="C43" t="str">
        <f t="shared" si="7"/>
        <v/>
      </c>
      <c r="D43">
        <f t="shared" si="8"/>
        <v>0</v>
      </c>
    </row>
    <row r="44" spans="1:4">
      <c r="A44" s="385" t="str">
        <f>Motpart!V45</f>
        <v/>
      </c>
      <c r="B44" t="s">
        <v>1820</v>
      </c>
      <c r="C44" t="str">
        <f t="shared" si="7"/>
        <v/>
      </c>
      <c r="D44">
        <f t="shared" si="5"/>
        <v>0</v>
      </c>
    </row>
    <row r="45" spans="1:4">
      <c r="A45" s="385" t="str">
        <f>Motpart!$Y$45</f>
        <v/>
      </c>
      <c r="B45" t="s">
        <v>1821</v>
      </c>
      <c r="C45" t="str">
        <f t="shared" si="7"/>
        <v/>
      </c>
      <c r="D45">
        <f t="shared" si="8"/>
        <v>0</v>
      </c>
    </row>
    <row r="46" spans="1:4">
      <c r="A46" s="385" t="str">
        <f>Motpart!$Z$45</f>
        <v/>
      </c>
      <c r="B46" t="s">
        <v>1822</v>
      </c>
      <c r="C46" t="str">
        <f t="shared" si="7"/>
        <v/>
      </c>
      <c r="D46">
        <f t="shared" si="8"/>
        <v>0</v>
      </c>
    </row>
    <row r="47" spans="1:4">
      <c r="A47" s="385" t="str">
        <f>Motpart!D46</f>
        <v/>
      </c>
      <c r="B47" t="s">
        <v>1823</v>
      </c>
      <c r="C47" t="str">
        <f t="shared" ref="C47:C54" si="9">IF(AND(A47&lt;&gt;"",D47=0),A47,"")</f>
        <v/>
      </c>
      <c r="D47">
        <f t="shared" si="4"/>
        <v>0</v>
      </c>
    </row>
    <row r="48" spans="1:4">
      <c r="A48" s="385" t="str">
        <f>Motpart!D47</f>
        <v/>
      </c>
      <c r="B48" t="s">
        <v>1824</v>
      </c>
      <c r="C48" t="str">
        <f t="shared" si="9"/>
        <v/>
      </c>
      <c r="D48">
        <f t="shared" si="4"/>
        <v>0</v>
      </c>
    </row>
    <row r="49" spans="1:8">
      <c r="A49" s="385" t="str">
        <f>Motpart!I46</f>
        <v/>
      </c>
      <c r="B49" t="s">
        <v>1825</v>
      </c>
      <c r="C49" t="str">
        <f>IF(AND(A49&lt;&gt;"",D49=0),A49,"")</f>
        <v/>
      </c>
      <c r="D49">
        <f t="shared" si="4"/>
        <v>0</v>
      </c>
    </row>
    <row r="50" spans="1:8">
      <c r="A50" s="385" t="str">
        <f>Motpart!I47</f>
        <v/>
      </c>
      <c r="B50" t="s">
        <v>1826</v>
      </c>
      <c r="C50" t="str">
        <f>IF(AND(A50&lt;&gt;"",D50=0),A50,"")</f>
        <v/>
      </c>
      <c r="D50">
        <f t="shared" si="4"/>
        <v>0</v>
      </c>
    </row>
    <row r="51" spans="1:8">
      <c r="A51" s="385" t="str">
        <f>Motpart!O46</f>
        <v/>
      </c>
      <c r="B51" t="s">
        <v>1827</v>
      </c>
      <c r="C51" t="str">
        <f t="shared" si="9"/>
        <v/>
      </c>
      <c r="D51">
        <f t="shared" si="5"/>
        <v>0</v>
      </c>
    </row>
    <row r="52" spans="1:8">
      <c r="A52" s="385" t="str">
        <f>Motpart!O47</f>
        <v/>
      </c>
      <c r="B52" t="s">
        <v>1828</v>
      </c>
      <c r="C52" t="str">
        <f t="shared" si="9"/>
        <v/>
      </c>
      <c r="D52">
        <f t="shared" si="5"/>
        <v>0</v>
      </c>
    </row>
    <row r="53" spans="1:8">
      <c r="A53" s="385" t="str">
        <f>Motpart!S46</f>
        <v/>
      </c>
      <c r="B53" t="s">
        <v>1829</v>
      </c>
      <c r="C53" t="str">
        <f t="shared" si="9"/>
        <v/>
      </c>
      <c r="D53">
        <f t="shared" si="5"/>
        <v>0</v>
      </c>
    </row>
    <row r="54" spans="1:8">
      <c r="A54" s="385" t="str">
        <f>Motpart!S47</f>
        <v/>
      </c>
      <c r="B54" t="s">
        <v>1830</v>
      </c>
      <c r="C54" t="str">
        <f t="shared" si="9"/>
        <v/>
      </c>
      <c r="D54">
        <f t="shared" si="5"/>
        <v>0</v>
      </c>
    </row>
    <row r="55" spans="1:8">
      <c r="A55" s="2041" t="e">
        <f>'Pedagogisk verksamhet'!P9</f>
        <v>#DIV/0!</v>
      </c>
      <c r="B55" s="1817" t="s">
        <v>1323</v>
      </c>
      <c r="C55" t="e">
        <f t="shared" ref="C55:C71" si="10">IF(AND(A55&lt;&gt;"",D55=0),CONCATENATE(E55,F55),"")</f>
        <v>#DIV/0!</v>
      </c>
      <c r="D55">
        <f>Förskola</f>
        <v>0</v>
      </c>
      <c r="E55" t="e">
        <f>CONCATENATE(A55,H55)</f>
        <v>#DIV/0!</v>
      </c>
      <c r="F55" s="385"/>
      <c r="H55" t="s">
        <v>1408</v>
      </c>
    </row>
    <row r="56" spans="1:8">
      <c r="A56" t="e">
        <f>'Pedagogisk verksamhet'!P17</f>
        <v>#DIV/0!</v>
      </c>
      <c r="B56" s="1817" t="s">
        <v>1322</v>
      </c>
      <c r="C56" t="e">
        <f t="shared" si="10"/>
        <v>#DIV/0!</v>
      </c>
      <c r="D56">
        <f>Fritidshem</f>
        <v>0</v>
      </c>
      <c r="E56" t="e">
        <f>CONCATENATE(A56,H56)</f>
        <v>#DIV/0!</v>
      </c>
      <c r="F56" s="385"/>
      <c r="H56" t="s">
        <v>1409</v>
      </c>
    </row>
    <row r="57" spans="1:8">
      <c r="A57" t="e">
        <f>'Pedagogisk verksamhet'!P25</f>
        <v>#DIV/0!</v>
      </c>
      <c r="B57" s="1817" t="s">
        <v>1831</v>
      </c>
      <c r="C57" t="e">
        <f t="shared" si="10"/>
        <v>#DIV/0!</v>
      </c>
      <c r="D57">
        <f>Förskoleklass</f>
        <v>0</v>
      </c>
      <c r="E57" t="e">
        <f>CONCATENATE(A57,H57)</f>
        <v>#DIV/0!</v>
      </c>
      <c r="F57" s="385"/>
      <c r="H57" t="s">
        <v>1410</v>
      </c>
    </row>
    <row r="58" spans="1:8">
      <c r="A58" t="e">
        <f>'Pedagogisk verksamhet'!P31</f>
        <v>#DIV/0!</v>
      </c>
      <c r="B58" s="1817" t="s">
        <v>1316</v>
      </c>
      <c r="C58" t="e">
        <f t="shared" si="10"/>
        <v>#DIV/0!</v>
      </c>
      <c r="D58">
        <f>Grundskola</f>
        <v>0</v>
      </c>
      <c r="E58" t="e">
        <f>CONCATENATE(A58,H58)</f>
        <v>#DIV/0!</v>
      </c>
      <c r="F58" s="385"/>
      <c r="H58" t="s">
        <v>1411</v>
      </c>
    </row>
    <row r="59" spans="1:8">
      <c r="A59" t="str">
        <f>'Pedagogisk verksamhet'!$P$43</f>
        <v/>
      </c>
      <c r="B59" t="s">
        <v>1110</v>
      </c>
      <c r="C59" t="str">
        <f t="shared" si="10"/>
        <v/>
      </c>
      <c r="D59">
        <f>Grundskola</f>
        <v>0</v>
      </c>
      <c r="E59" s="385" t="s">
        <v>1324</v>
      </c>
      <c r="H59" s="385" t="s">
        <v>1324</v>
      </c>
    </row>
    <row r="60" spans="1:8">
      <c r="A60" t="e">
        <f>'Pedagogisk verksamhet'!P44</f>
        <v>#DIV/0!</v>
      </c>
      <c r="B60" s="1817" t="s">
        <v>1317</v>
      </c>
      <c r="C60" t="e">
        <f t="shared" si="10"/>
        <v>#DIV/0!</v>
      </c>
      <c r="D60">
        <f>Grundsärskola</f>
        <v>0</v>
      </c>
      <c r="E60" t="e">
        <f>CONCATENATE(A60,H60)</f>
        <v>#DIV/0!</v>
      </c>
      <c r="F60" s="385"/>
      <c r="H60" s="533" t="s">
        <v>1757</v>
      </c>
    </row>
    <row r="61" spans="1:8">
      <c r="A61" t="e">
        <f>'Pedagogisk verksamhet'!$P$53</f>
        <v>#DIV/0!</v>
      </c>
      <c r="B61" t="s">
        <v>1111</v>
      </c>
      <c r="C61" t="e">
        <f t="shared" si="10"/>
        <v>#DIV/0!</v>
      </c>
      <c r="D61">
        <f>Grundsärskola</f>
        <v>0</v>
      </c>
      <c r="E61" s="533" t="s">
        <v>1753</v>
      </c>
      <c r="F61" s="385"/>
      <c r="H61" s="533" t="s">
        <v>1753</v>
      </c>
    </row>
    <row r="62" spans="1:8">
      <c r="A62" t="str">
        <f>'Pedagogisk verksamhet'!P57</f>
        <v/>
      </c>
      <c r="B62" s="1817" t="s">
        <v>1325</v>
      </c>
      <c r="C62" t="str">
        <f t="shared" si="10"/>
        <v/>
      </c>
      <c r="D62">
        <f>Grundsärskola</f>
        <v>0</v>
      </c>
      <c r="E62" s="2735" t="s">
        <v>1754</v>
      </c>
      <c r="H62" s="2735" t="s">
        <v>1754</v>
      </c>
    </row>
    <row r="63" spans="1:8">
      <c r="A63" t="e">
        <f>'Pedagogisk verksamhet'!P58</f>
        <v>#DIV/0!</v>
      </c>
      <c r="B63" s="1817" t="s">
        <v>1318</v>
      </c>
      <c r="C63" t="e">
        <f t="shared" si="10"/>
        <v>#DIV/0!</v>
      </c>
      <c r="D63">
        <f>Gymnasieskola</f>
        <v>0</v>
      </c>
      <c r="E63" t="e">
        <f>CONCATENATE(A63,H63)</f>
        <v>#DIV/0!</v>
      </c>
      <c r="F63" s="385"/>
      <c r="H63" t="s">
        <v>1412</v>
      </c>
    </row>
    <row r="64" spans="1:8">
      <c r="A64" t="e">
        <f>'Pedagogisk verksamhet'!$P$67</f>
        <v>#DIV/0!</v>
      </c>
      <c r="B64" t="s">
        <v>1112</v>
      </c>
      <c r="C64" t="e">
        <f t="shared" si="10"/>
        <v>#DIV/0!</v>
      </c>
      <c r="D64" s="533">
        <f>Gymnasieskola</f>
        <v>0</v>
      </c>
      <c r="E64" t="s">
        <v>1415</v>
      </c>
      <c r="F64" s="385"/>
      <c r="H64" t="s">
        <v>1326</v>
      </c>
    </row>
    <row r="65" spans="1:8">
      <c r="A65" t="str">
        <f>'Pedagogisk verksamhet'!P71</f>
        <v/>
      </c>
      <c r="B65" s="1817" t="s">
        <v>1327</v>
      </c>
      <c r="C65" t="str">
        <f t="shared" si="10"/>
        <v/>
      </c>
      <c r="D65" s="533">
        <f>Gymnasieskola</f>
        <v>0</v>
      </c>
      <c r="E65" t="s">
        <v>1328</v>
      </c>
      <c r="F65" s="385"/>
      <c r="H65" t="s">
        <v>1328</v>
      </c>
    </row>
    <row r="66" spans="1:8">
      <c r="A66" t="e">
        <f>'Pedagogisk verksamhet'!P72</f>
        <v>#DIV/0!</v>
      </c>
      <c r="B66" s="1817" t="s">
        <v>1319</v>
      </c>
      <c r="C66" t="e">
        <f t="shared" si="10"/>
        <v>#DIV/0!</v>
      </c>
      <c r="D66" s="533">
        <f>Gymnasieskola</f>
        <v>0</v>
      </c>
      <c r="E66" s="533" t="s">
        <v>1755</v>
      </c>
      <c r="F66" s="385"/>
      <c r="H66" s="533" t="s">
        <v>1755</v>
      </c>
    </row>
    <row r="67" spans="1:8">
      <c r="A67" t="str">
        <f>'Pedagogisk verksamhet'!P85</f>
        <v/>
      </c>
      <c r="B67" s="1817" t="s">
        <v>1329</v>
      </c>
      <c r="C67" t="str">
        <f t="shared" si="10"/>
        <v/>
      </c>
      <c r="D67" s="533">
        <f>Gymnasieskola</f>
        <v>0</v>
      </c>
      <c r="E67" s="533" t="s">
        <v>1756</v>
      </c>
      <c r="F67" s="385"/>
      <c r="H67" s="533" t="s">
        <v>1756</v>
      </c>
    </row>
    <row r="68" spans="1:8">
      <c r="A68" t="e">
        <f>'Pedagogisk verksamhet'!P86</f>
        <v>#DIV/0!</v>
      </c>
      <c r="B68" s="1817" t="s">
        <v>1320</v>
      </c>
      <c r="C68" t="e">
        <f t="shared" si="10"/>
        <v>#DIV/0!</v>
      </c>
      <c r="D68" s="533">
        <f>Grundvux</f>
        <v>0</v>
      </c>
      <c r="E68" t="e">
        <f>CONCATENATE(A68,H68)</f>
        <v>#DIV/0!</v>
      </c>
      <c r="F68" s="385"/>
      <c r="H68" t="s">
        <v>1413</v>
      </c>
    </row>
    <row r="69" spans="1:8">
      <c r="A69" t="str">
        <f>'Pedagogisk verksamhet'!P93</f>
        <v/>
      </c>
      <c r="B69" s="1817" t="s">
        <v>1330</v>
      </c>
      <c r="C69" t="str">
        <f t="shared" si="10"/>
        <v/>
      </c>
      <c r="D69" s="533">
        <f>Grundvux</f>
        <v>0</v>
      </c>
      <c r="E69" t="s">
        <v>1331</v>
      </c>
      <c r="F69" s="385"/>
      <c r="H69" t="s">
        <v>1331</v>
      </c>
    </row>
    <row r="70" spans="1:8">
      <c r="A70" t="e">
        <f>'Pedagogisk verksamhet'!P95</f>
        <v>#DIV/0!</v>
      </c>
      <c r="B70" s="1817" t="s">
        <v>1321</v>
      </c>
      <c r="C70" t="e">
        <f t="shared" si="10"/>
        <v>#DIV/0!</v>
      </c>
      <c r="D70">
        <f>Gymnvux</f>
        <v>0</v>
      </c>
      <c r="E70" t="e">
        <f>CONCATENATE(A70,H70)</f>
        <v>#DIV/0!</v>
      </c>
      <c r="F70" s="385"/>
      <c r="H70" t="s">
        <v>1414</v>
      </c>
    </row>
    <row r="71" spans="1:8">
      <c r="A71" t="str">
        <f>'Pedagogisk verksamhet'!P102</f>
        <v/>
      </c>
      <c r="B71" s="1817" t="s">
        <v>1332</v>
      </c>
      <c r="C71" t="str">
        <f t="shared" si="10"/>
        <v/>
      </c>
      <c r="D71">
        <f>Gymnvux</f>
        <v>0</v>
      </c>
      <c r="E71" t="s">
        <v>1333</v>
      </c>
      <c r="F71" s="385"/>
      <c r="H71" t="s">
        <v>1333</v>
      </c>
    </row>
    <row r="72" spans="1:8">
      <c r="A72" s="385" t="str">
        <f>'Äldre o personer funktionsn'!$P$21</f>
        <v/>
      </c>
      <c r="B72" s="1817" t="s">
        <v>1832</v>
      </c>
      <c r="C72" t="str">
        <f t="shared" ref="C72:C79" si="11">IF(AND(A72&lt;&gt;"",D72=0),A72,"")</f>
        <v/>
      </c>
      <c r="D72">
        <f>Äldre</f>
        <v>0</v>
      </c>
    </row>
    <row r="73" spans="1:8">
      <c r="A73" s="385" t="str">
        <f>'Äldre o personer funktionsn'!$P$31</f>
        <v/>
      </c>
      <c r="B73" s="1817" t="s">
        <v>1833</v>
      </c>
      <c r="C73" t="str">
        <f t="shared" si="11"/>
        <v/>
      </c>
      <c r="D73">
        <f>Funktionsnedsättning</f>
        <v>0</v>
      </c>
    </row>
    <row r="74" spans="1:8">
      <c r="A74" s="385" t="str">
        <f>'Äldre o personer funktionsn'!$P$39</f>
        <v/>
      </c>
      <c r="B74" s="1817" t="s">
        <v>1834</v>
      </c>
      <c r="C74" t="str">
        <f t="shared" si="11"/>
        <v/>
      </c>
      <c r="D74">
        <f>LSS</f>
        <v>0</v>
      </c>
    </row>
    <row r="75" spans="1:8">
      <c r="A75" t="str">
        <f>'Äldre o personer funktionsn'!$D$61</f>
        <v/>
      </c>
      <c r="B75" s="1817" t="s">
        <v>1835</v>
      </c>
      <c r="C75" t="str">
        <f t="shared" si="11"/>
        <v/>
      </c>
      <c r="D75">
        <f>Spec_VoO</f>
        <v>0</v>
      </c>
    </row>
    <row r="76" spans="1:8">
      <c r="A76" s="385" t="str">
        <f>IFO!$L$20</f>
        <v/>
      </c>
      <c r="B76" t="s">
        <v>1432</v>
      </c>
      <c r="C76" t="str">
        <f t="shared" si="11"/>
        <v/>
      </c>
      <c r="D76">
        <f>Vuxna_missb.</f>
        <v>0</v>
      </c>
    </row>
    <row r="77" spans="1:8">
      <c r="A77" s="385" t="str">
        <f>IFO!$L$28</f>
        <v/>
      </c>
      <c r="B77" t="s">
        <v>1433</v>
      </c>
      <c r="C77" t="str">
        <f t="shared" si="11"/>
        <v/>
      </c>
      <c r="D77">
        <f>Barn_o_ungdomsvård</f>
        <v>0</v>
      </c>
    </row>
    <row r="78" spans="1:8">
      <c r="A78" s="385" t="str">
        <f>IFO!$L$30</f>
        <v>Belopp saknas</v>
      </c>
      <c r="B78" t="s">
        <v>1431</v>
      </c>
      <c r="C78" t="str">
        <f>IF(AND(A78&lt;&gt;"",D78=0),A78,"")</f>
        <v>Belopp saknas</v>
      </c>
      <c r="D78">
        <f>Övr._o_ek.bistånd</f>
        <v>0</v>
      </c>
    </row>
    <row r="79" spans="1:8">
      <c r="A79" s="385" t="str">
        <f>IFO!$L$36</f>
        <v/>
      </c>
      <c r="B79" t="s">
        <v>1434</v>
      </c>
      <c r="C79" t="str">
        <f t="shared" si="11"/>
        <v/>
      </c>
      <c r="D79">
        <f>Familjerätt</f>
        <v>0</v>
      </c>
    </row>
    <row r="80" spans="1:8">
      <c r="A80" s="385" t="str">
        <f>Kontrollblad!$F$14</f>
        <v/>
      </c>
      <c r="B80" t="s">
        <v>1602</v>
      </c>
      <c r="C80" t="str">
        <f>IF(AND(A80&lt;&gt;"",D80=0,E80=0),A80,"")</f>
        <v/>
      </c>
      <c r="D80">
        <f>Kontrollblad_1</f>
        <v>0</v>
      </c>
      <c r="E80">
        <f t="shared" ref="E80:E98" si="12">Drift</f>
        <v>0</v>
      </c>
    </row>
    <row r="81" spans="1:5">
      <c r="A81" s="385" t="str">
        <f>Kontrollblad!$F$25</f>
        <v/>
      </c>
      <c r="B81" t="s">
        <v>1603</v>
      </c>
      <c r="C81" t="str">
        <f>IF(AND(A81&lt;&gt;"",D81=0,E81=0),A81,"")</f>
        <v/>
      </c>
      <c r="D81">
        <f>Kontrollblad_2</f>
        <v>0</v>
      </c>
      <c r="E81">
        <f t="shared" si="12"/>
        <v>0</v>
      </c>
    </row>
    <row r="82" spans="1:5">
      <c r="A82" s="385" t="str">
        <f>Kontrollblad!$F$33</f>
        <v/>
      </c>
      <c r="B82" t="s">
        <v>1604</v>
      </c>
      <c r="C82" t="str">
        <f>IF(AND(A82&lt;&gt;"",D82=0,E82=0),A82,"")</f>
        <v/>
      </c>
      <c r="D82">
        <f>Kontrollblad_3</f>
        <v>0</v>
      </c>
      <c r="E82">
        <f t="shared" si="12"/>
        <v>0</v>
      </c>
    </row>
    <row r="83" spans="1:5">
      <c r="A83" s="385" t="str">
        <f>Kontrollblad!$F$50</f>
        <v/>
      </c>
      <c r="B83" t="s">
        <v>1605</v>
      </c>
      <c r="C83" t="str">
        <f>IF(AND(A83&lt;&gt;"",D83=0,E83=0),A83,"")</f>
        <v/>
      </c>
      <c r="D83">
        <f>Kontrollblad_4</f>
        <v>0</v>
      </c>
      <c r="E83">
        <f t="shared" si="12"/>
        <v>0</v>
      </c>
    </row>
    <row r="84" spans="1:5">
      <c r="A84" s="385" t="str">
        <f>Kontrollblad!$F$58</f>
        <v/>
      </c>
      <c r="B84" t="s">
        <v>1606</v>
      </c>
      <c r="C84" t="str">
        <f>IF(AND(A84&lt;&gt;"",D84=0,E84=0),A84,"")</f>
        <v/>
      </c>
      <c r="D84">
        <f>Kontrollblad_5</f>
        <v>0</v>
      </c>
      <c r="E84">
        <f t="shared" si="12"/>
        <v>0</v>
      </c>
    </row>
    <row r="85" spans="1:5">
      <c r="A85" s="385" t="str">
        <f>Kontrollblad!$F$66</f>
        <v/>
      </c>
      <c r="B85" t="s">
        <v>1607</v>
      </c>
      <c r="C85" t="str">
        <f t="shared" ref="C85:C93" si="13">IF(AND(A85&lt;&gt;"",D85=0,E85=0),A85,"")</f>
        <v/>
      </c>
      <c r="D85">
        <f>Kontrollblad_6</f>
        <v>0</v>
      </c>
      <c r="E85">
        <f t="shared" si="12"/>
        <v>0</v>
      </c>
    </row>
    <row r="86" spans="1:5">
      <c r="A86" s="385" t="str">
        <f>Kontrollblad!$F$74</f>
        <v/>
      </c>
      <c r="B86" t="s">
        <v>1608</v>
      </c>
      <c r="C86" t="str">
        <f t="shared" si="13"/>
        <v/>
      </c>
      <c r="D86">
        <f>Kontrollblad_7</f>
        <v>0</v>
      </c>
      <c r="E86">
        <f t="shared" si="12"/>
        <v>0</v>
      </c>
    </row>
    <row r="87" spans="1:5">
      <c r="A87" s="385" t="str">
        <f>Kontrollblad!$F$82</f>
        <v/>
      </c>
      <c r="B87" t="s">
        <v>1609</v>
      </c>
      <c r="C87" t="str">
        <f t="shared" si="13"/>
        <v/>
      </c>
      <c r="D87">
        <f>Kontrollblad_8</f>
        <v>0</v>
      </c>
      <c r="E87">
        <f t="shared" si="12"/>
        <v>0</v>
      </c>
    </row>
    <row r="88" spans="1:5">
      <c r="A88" s="385" t="str">
        <f>Kontrollblad!$F$95</f>
        <v/>
      </c>
      <c r="B88" t="s">
        <v>1610</v>
      </c>
      <c r="C88" t="str">
        <f t="shared" si="13"/>
        <v/>
      </c>
      <c r="D88">
        <f>Kontrollblad_9</f>
        <v>0</v>
      </c>
      <c r="E88">
        <f t="shared" si="12"/>
        <v>0</v>
      </c>
    </row>
    <row r="89" spans="1:5">
      <c r="A89" s="385" t="str">
        <f>Kontrollblad!$F$103</f>
        <v/>
      </c>
      <c r="B89" t="s">
        <v>1611</v>
      </c>
      <c r="C89" t="str">
        <f t="shared" si="13"/>
        <v/>
      </c>
      <c r="D89">
        <f>Kontrollblad_10</f>
        <v>0</v>
      </c>
      <c r="E89">
        <f t="shared" si="12"/>
        <v>0</v>
      </c>
    </row>
    <row r="90" spans="1:5">
      <c r="A90" s="385" t="str">
        <f>Kontrollblad!$F$112</f>
        <v/>
      </c>
      <c r="B90" t="s">
        <v>1612</v>
      </c>
      <c r="C90" t="str">
        <f t="shared" si="13"/>
        <v/>
      </c>
      <c r="D90">
        <f>Kontrollblad_11</f>
        <v>0</v>
      </c>
      <c r="E90">
        <f t="shared" si="12"/>
        <v>0</v>
      </c>
    </row>
    <row r="91" spans="1:5">
      <c r="A91" s="385" t="str">
        <f>Kontrollblad!$F$120</f>
        <v/>
      </c>
      <c r="B91" t="s">
        <v>1613</v>
      </c>
      <c r="C91" t="str">
        <f t="shared" si="13"/>
        <v/>
      </c>
      <c r="D91">
        <f>Kontrollblad_12</f>
        <v>0</v>
      </c>
      <c r="E91">
        <f t="shared" si="12"/>
        <v>0</v>
      </c>
    </row>
    <row r="92" spans="1:5">
      <c r="A92" s="385" t="str">
        <f>Kontrollblad!$F$128</f>
        <v/>
      </c>
      <c r="B92" t="s">
        <v>1113</v>
      </c>
      <c r="C92" t="str">
        <f t="shared" si="13"/>
        <v/>
      </c>
      <c r="D92">
        <f>Kontrollblad_13</f>
        <v>0</v>
      </c>
      <c r="E92">
        <f t="shared" si="12"/>
        <v>0</v>
      </c>
    </row>
    <row r="93" spans="1:5">
      <c r="A93" s="385" t="str">
        <f>Kontrollblad!$F$136</f>
        <v/>
      </c>
      <c r="B93" t="s">
        <v>1614</v>
      </c>
      <c r="C93" t="str">
        <f t="shared" si="13"/>
        <v/>
      </c>
      <c r="D93">
        <f>Kontrollblad_14</f>
        <v>0</v>
      </c>
      <c r="E93">
        <f t="shared" si="12"/>
        <v>0</v>
      </c>
    </row>
    <row r="94" spans="1:5">
      <c r="A94" s="385" t="str">
        <f>Kontrollblad!$F$145</f>
        <v/>
      </c>
      <c r="B94" t="s">
        <v>1615</v>
      </c>
      <c r="D94">
        <f>Kontrollblad_15</f>
        <v>0</v>
      </c>
      <c r="E94">
        <f t="shared" si="12"/>
        <v>0</v>
      </c>
    </row>
    <row r="95" spans="1:5">
      <c r="A95" s="385" t="str">
        <f>Kontrollblad!$F$153</f>
        <v/>
      </c>
      <c r="B95" t="s">
        <v>1616</v>
      </c>
      <c r="D95">
        <f>Kontrollblad_16</f>
        <v>0</v>
      </c>
      <c r="E95">
        <f t="shared" si="12"/>
        <v>0</v>
      </c>
    </row>
    <row r="96" spans="1:5">
      <c r="A96" s="385" t="str">
        <f>Kontrollblad!$F$162</f>
        <v/>
      </c>
      <c r="B96" t="s">
        <v>1617</v>
      </c>
      <c r="D96">
        <f>Kontrollblad_17</f>
        <v>0</v>
      </c>
      <c r="E96">
        <f t="shared" si="12"/>
        <v>0</v>
      </c>
    </row>
    <row r="97" spans="1:5">
      <c r="A97" s="385" t="str">
        <f>Kontrollblad!$F$170</f>
        <v/>
      </c>
      <c r="B97" t="s">
        <v>1618</v>
      </c>
      <c r="D97">
        <f>Kontrollblad_18</f>
        <v>0</v>
      </c>
      <c r="E97">
        <f t="shared" si="12"/>
        <v>0</v>
      </c>
    </row>
    <row r="98" spans="1:5">
      <c r="A98" s="385" t="str">
        <f>Kontrollblad!$F$183</f>
        <v/>
      </c>
      <c r="B98" t="s">
        <v>1836</v>
      </c>
      <c r="D98">
        <f>Kontrollblad_19</f>
        <v>0</v>
      </c>
      <c r="E98">
        <f t="shared" si="12"/>
        <v>0</v>
      </c>
    </row>
    <row r="100" spans="1:5">
      <c r="A100" t="str">
        <f>(IF(OR(Investeringar!C16&lt;&gt;"",Investeringar!D16&lt;&gt;"",Investeringar!E16&lt;&gt;"",Investeringar!F16&lt;&gt;""),"Differens",""))</f>
        <v/>
      </c>
      <c r="B100" t="s">
        <v>1872</v>
      </c>
      <c r="C100" t="str">
        <f>IF(A100&lt;&gt;"","Ni har differenser i investeringsfliken mot BR!","")</f>
        <v/>
      </c>
    </row>
    <row r="101" spans="1:5">
      <c r="A101" t="str">
        <f>IF(ABS(BR!D34-BR!D76)&gt;100,"Differens","")</f>
        <v/>
      </c>
      <c r="B101" t="s">
        <v>1873</v>
      </c>
      <c r="C101" t="str">
        <f>IF(A101&lt;&gt;"","Ni har ej balans i BR mellan tillgångar och skulder ","")</f>
        <v/>
      </c>
    </row>
    <row r="102" spans="1:5">
      <c r="A102" t="str">
        <f>IF(OR(Motpart!M43&lt;&gt;"",Motpart!X43&lt;&gt;""),"Differens","")</f>
        <v/>
      </c>
      <c r="B102" s="533" t="s">
        <v>1874</v>
      </c>
      <c r="C102" t="str">
        <f>IF(A102&lt;&gt;"","Ni har differenser mot driftredovisningen i motpartsfliken kolumn M och/eller kolumn X","")</f>
        <v/>
      </c>
    </row>
    <row r="103" spans="1:5">
      <c r="A103" t="str">
        <f>IF(OR('Äldre o personer funktionsn'!P21&lt;&gt;"",'Äldre o personer funktionsn'!P31&lt;&gt;"",'Äldre o personer funktionsn'!P39&lt;&gt;""),"Differenser","")</f>
        <v/>
      </c>
      <c r="B103" t="s">
        <v>1875</v>
      </c>
      <c r="C103" t="str">
        <f>IF(A103&lt;&gt;"","Ni har differenser mot motpartsredovisningen i äldre filken","")</f>
        <v/>
      </c>
    </row>
    <row r="104" spans="1:5">
      <c r="A104" t="str">
        <f>IF(OR(IFO!L20&lt;&gt;"",IFO!L28&lt;&gt;"",IFO!L36&lt;&gt;""),"Differenser","")</f>
        <v/>
      </c>
      <c r="B104" t="s">
        <v>1876</v>
      </c>
      <c r="C104" t="str">
        <f>IF(A104&lt;&gt;"","Ni har differenser mot motpartsredovisningen i IFO fliken","")</f>
        <v/>
      </c>
    </row>
    <row r="105" spans="1:5">
      <c r="A105" t="str">
        <f>IF('Verks int o kostn'!E21&lt;&gt;"","Differens","")</f>
        <v>Differens</v>
      </c>
      <c r="B105" t="s">
        <v>1877</v>
      </c>
      <c r="C105" t="str">
        <f>IF(AND(A105&lt;&gt;"",D105=0),"Kontrollera cell D21 (grön cell) i verks int o kostn-fliken och vänligen kommentera","")</f>
        <v>Kontrollera cell D21 (grön cell) i verks int o kostn-fliken och vänligen kommentera</v>
      </c>
      <c r="D105">
        <f>Vht_int</f>
        <v>0</v>
      </c>
    </row>
    <row r="106" spans="1:5">
      <c r="A106" t="str">
        <f>IF(Drift!AD78&lt;&gt;"","Differens","")</f>
        <v/>
      </c>
      <c r="B106" t="s">
        <v>1878</v>
      </c>
      <c r="C106" t="str">
        <f>IF(AND(A106&lt;&gt;"",D106=0),"Kontrollera gröna celler i drifts-fliken och vänligen kommentera","")</f>
        <v/>
      </c>
      <c r="D106">
        <f>ÄF_inkl_IFO</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sheetPr>
  <dimension ref="A1:L75"/>
  <sheetViews>
    <sheetView showGridLines="0" zoomScaleNormal="100" workbookViewId="0">
      <pane ySplit="1" topLeftCell="A2" activePane="bottomLeft" state="frozen"/>
      <selection activeCell="F36" sqref="F36"/>
      <selection pane="bottomLeft" activeCell="A2" sqref="A2"/>
    </sheetView>
  </sheetViews>
  <sheetFormatPr defaultColWidth="0" defaultRowHeight="0" customHeight="1" zeroHeight="1"/>
  <cols>
    <col min="1" max="1" width="4" style="183" customWidth="1"/>
    <col min="2" max="2" width="42.453125" style="183" customWidth="1"/>
    <col min="3" max="4" width="11.54296875" style="183" customWidth="1"/>
    <col min="5" max="5" width="12.453125" style="183" customWidth="1"/>
    <col min="6" max="6" width="5.54296875" style="183" customWidth="1"/>
    <col min="7" max="7" width="24" style="183" customWidth="1"/>
    <col min="8" max="8" width="15.81640625" style="183" customWidth="1"/>
    <col min="9" max="10" width="10" style="183" customWidth="1"/>
    <col min="11" max="11" width="10.453125" style="183" customWidth="1"/>
    <col min="12" max="12" width="0" style="183" hidden="1" customWidth="1"/>
    <col min="13" max="16384" width="9.453125" style="183" hidden="1"/>
  </cols>
  <sheetData>
    <row r="1" spans="1:11" ht="21">
      <c r="A1" s="84" t="str">
        <f>"Resultaträkning "&amp;År&amp;", 1 000 tal kr"</f>
        <v>Resultaträkning 2025, 1 000 tal kr</v>
      </c>
      <c r="B1" s="85"/>
      <c r="C1" s="85"/>
      <c r="D1" s="85"/>
      <c r="E1" s="85"/>
      <c r="F1" s="615">
        <f>Information!B3</f>
        <v>0</v>
      </c>
      <c r="G1" s="616">
        <f>Information!B2</f>
        <v>0</v>
      </c>
      <c r="H1" s="182"/>
      <c r="I1" s="182"/>
      <c r="J1" s="182"/>
      <c r="K1" s="182"/>
    </row>
    <row r="2" spans="1:11" ht="12.75" customHeight="1">
      <c r="A2" s="1454"/>
      <c r="C2" s="1667"/>
      <c r="D2" s="46" t="s">
        <v>1061</v>
      </c>
      <c r="G2" s="1451"/>
      <c r="H2" s="419"/>
      <c r="I2" s="46" t="s">
        <v>985</v>
      </c>
      <c r="J2" s="5"/>
      <c r="K2" s="184"/>
    </row>
    <row r="3" spans="1:11" ht="12.75" customHeight="1" thickBot="1">
      <c r="C3" s="2"/>
      <c r="D3" s="46" t="s">
        <v>1039</v>
      </c>
      <c r="G3" s="184"/>
      <c r="H3" s="105"/>
      <c r="I3" s="46" t="s">
        <v>622</v>
      </c>
      <c r="J3" s="184"/>
      <c r="K3" s="184"/>
    </row>
    <row r="4" spans="1:11" ht="12.75" customHeight="1">
      <c r="A4" s="727" t="s">
        <v>864</v>
      </c>
      <c r="B4" s="728"/>
      <c r="C4" s="738" t="s">
        <v>865</v>
      </c>
      <c r="D4" s="739" t="s">
        <v>968</v>
      </c>
      <c r="G4" s="5"/>
      <c r="H4" s="5"/>
      <c r="I4" s="2865" t="s">
        <v>509</v>
      </c>
      <c r="J4" s="2871"/>
      <c r="K4" s="184"/>
    </row>
    <row r="5" spans="1:11" ht="12.75" customHeight="1">
      <c r="A5" s="729" t="s">
        <v>866</v>
      </c>
      <c r="B5" s="730"/>
      <c r="C5" s="740"/>
      <c r="D5" s="741"/>
      <c r="E5" s="2"/>
      <c r="F5" s="5"/>
      <c r="G5" s="5"/>
      <c r="H5" s="5"/>
      <c r="I5" s="744" t="s">
        <v>865</v>
      </c>
      <c r="J5" s="745" t="s">
        <v>968</v>
      </c>
      <c r="K5" s="184"/>
    </row>
    <row r="6" spans="1:11" ht="12.75" customHeight="1">
      <c r="A6" s="729"/>
      <c r="B6" s="731"/>
      <c r="C6" s="730"/>
      <c r="D6" s="742"/>
      <c r="E6" s="2"/>
      <c r="F6" s="5"/>
      <c r="G6" s="5"/>
      <c r="H6" s="5"/>
      <c r="I6" s="746"/>
      <c r="J6" s="747"/>
      <c r="K6" s="184"/>
    </row>
    <row r="7" spans="1:11" ht="12.5">
      <c r="A7" s="712" t="s">
        <v>293</v>
      </c>
      <c r="B7" s="732" t="s">
        <v>978</v>
      </c>
      <c r="C7" s="188"/>
      <c r="D7" s="189"/>
      <c r="E7" s="193" t="str">
        <f>IF(OR(C7=0,D7=0),"Belopp saknas","")</f>
        <v>Belopp saknas</v>
      </c>
      <c r="F7" s="72"/>
      <c r="G7" s="72"/>
      <c r="H7" s="5"/>
      <c r="I7" s="748" t="e">
        <f>C7*1000/invanare</f>
        <v>#DIV/0!</v>
      </c>
      <c r="J7" s="749" t="e">
        <f t="shared" ref="I7:J12" si="0">D7*1000/invanare</f>
        <v>#DIV/0!</v>
      </c>
      <c r="K7" s="184"/>
    </row>
    <row r="8" spans="1:11" ht="12.5">
      <c r="A8" s="710" t="s">
        <v>294</v>
      </c>
      <c r="B8" s="732" t="s">
        <v>979</v>
      </c>
      <c r="C8" s="188"/>
      <c r="D8" s="189"/>
      <c r="E8" s="193" t="str">
        <f>IF(OR(C8=0,D8=0),"Belopp saknas","")</f>
        <v>Belopp saknas</v>
      </c>
      <c r="F8" s="72"/>
      <c r="G8" s="72"/>
      <c r="H8" s="5"/>
      <c r="I8" s="750" t="e">
        <f>C8*1000/invanare*-1</f>
        <v>#DIV/0!</v>
      </c>
      <c r="J8" s="749" t="e">
        <f>D8*1000/invanare*-1</f>
        <v>#DIV/0!</v>
      </c>
      <c r="K8" s="184"/>
    </row>
    <row r="9" spans="1:11" ht="13.5" customHeight="1">
      <c r="A9" s="710" t="s">
        <v>295</v>
      </c>
      <c r="B9" s="732" t="s">
        <v>1315</v>
      </c>
      <c r="C9" s="69"/>
      <c r="D9" s="190"/>
      <c r="E9" s="193" t="str">
        <f>IF(OR(C9=0,D9=0),"Belopp saknas","")</f>
        <v>Belopp saknas</v>
      </c>
      <c r="F9" s="72"/>
      <c r="G9" s="72"/>
      <c r="H9" s="5"/>
      <c r="I9" s="748" t="e">
        <f>C9*1000/invanare*-1</f>
        <v>#DIV/0!</v>
      </c>
      <c r="J9" s="749" t="e">
        <f>D9*1000/invanare*-1</f>
        <v>#DIV/0!</v>
      </c>
      <c r="K9" s="184"/>
    </row>
    <row r="10" spans="1:11" ht="13" thickBot="1">
      <c r="A10" s="704" t="s">
        <v>296</v>
      </c>
      <c r="B10" s="733" t="s">
        <v>867</v>
      </c>
      <c r="C10" s="410">
        <f>C7-SUM(C8:C9)</f>
        <v>0</v>
      </c>
      <c r="D10" s="411">
        <f>D7-SUM(D8:D9)</f>
        <v>0</v>
      </c>
      <c r="E10" s="194"/>
      <c r="F10" s="72"/>
      <c r="G10" s="72"/>
      <c r="H10" s="5"/>
      <c r="I10" s="751" t="e">
        <f t="shared" si="0"/>
        <v>#DIV/0!</v>
      </c>
      <c r="J10" s="749" t="e">
        <f t="shared" si="0"/>
        <v>#DIV/0!</v>
      </c>
      <c r="K10" s="184"/>
    </row>
    <row r="11" spans="1:11" ht="12.5">
      <c r="A11" s="734" t="s">
        <v>297</v>
      </c>
      <c r="B11" s="735" t="s">
        <v>868</v>
      </c>
      <c r="C11" s="104">
        <f>'Skatter, bidrag o fin poster'!D14</f>
        <v>0</v>
      </c>
      <c r="D11" s="1452">
        <f>C11</f>
        <v>0</v>
      </c>
      <c r="E11" s="194"/>
      <c r="F11" s="72"/>
      <c r="G11" s="72"/>
      <c r="H11" s="5"/>
      <c r="I11" s="752" t="e">
        <f t="shared" si="0"/>
        <v>#DIV/0!</v>
      </c>
      <c r="J11" s="753" t="e">
        <f t="shared" si="0"/>
        <v>#DIV/0!</v>
      </c>
      <c r="K11" s="184"/>
    </row>
    <row r="12" spans="1:11" ht="12.5">
      <c r="A12" s="710" t="s">
        <v>298</v>
      </c>
      <c r="B12" s="2472" t="s">
        <v>1490</v>
      </c>
      <c r="C12" s="105">
        <f>'Skatter, bidrag o fin poster'!D28-'Skatter, bidrag o fin poster'!D39+'Skatter, bidrag o fin poster'!D41</f>
        <v>0</v>
      </c>
      <c r="D12" s="1453">
        <f>C12</f>
        <v>0</v>
      </c>
      <c r="E12" s="194"/>
      <c r="F12" s="72"/>
      <c r="G12" s="72"/>
      <c r="H12" s="5"/>
      <c r="I12" s="748" t="e">
        <f t="shared" si="0"/>
        <v>#DIV/0!</v>
      </c>
      <c r="J12" s="754" t="e">
        <f t="shared" si="0"/>
        <v>#DIV/0!</v>
      </c>
      <c r="K12" s="184"/>
    </row>
    <row r="13" spans="1:11" ht="13" thickBot="1">
      <c r="A13" s="714" t="s">
        <v>311</v>
      </c>
      <c r="B13" s="2473" t="s">
        <v>1582</v>
      </c>
      <c r="C13" s="410">
        <f>SUM(C10:C12)</f>
        <v>0</v>
      </c>
      <c r="D13" s="411">
        <f>SUM(D10:D12)</f>
        <v>0</v>
      </c>
      <c r="E13" s="194"/>
      <c r="F13" s="72"/>
      <c r="G13" s="72"/>
      <c r="H13" s="5"/>
      <c r="I13" s="751" t="e">
        <f t="shared" ref="I13" si="1">C13*1000/invanare</f>
        <v>#DIV/0!</v>
      </c>
      <c r="J13" s="758" t="e">
        <f t="shared" ref="J13" si="2">D13*1000/invanare</f>
        <v>#DIV/0!</v>
      </c>
      <c r="K13" s="184"/>
    </row>
    <row r="14" spans="1:11" ht="13">
      <c r="A14" s="710" t="s">
        <v>299</v>
      </c>
      <c r="B14" s="732" t="s">
        <v>869</v>
      </c>
      <c r="C14" s="188"/>
      <c r="D14" s="2235"/>
      <c r="E14" s="193" t="str">
        <f>IF(OR(C14=0,D14=0),"Belopp saknas","")</f>
        <v>Belopp saknas</v>
      </c>
      <c r="F14" s="82"/>
      <c r="G14" s="72"/>
      <c r="H14" s="5"/>
      <c r="I14" s="2872" t="e">
        <f>(C14-C15)*1000/invanare</f>
        <v>#DIV/0!</v>
      </c>
      <c r="J14" s="2874" t="e">
        <f>(D14-D15)*1000/invanare</f>
        <v>#DIV/0!</v>
      </c>
      <c r="K14" s="184"/>
    </row>
    <row r="15" spans="1:11" ht="13">
      <c r="A15" s="712" t="s">
        <v>300</v>
      </c>
      <c r="B15" s="736" t="s">
        <v>870</v>
      </c>
      <c r="C15" s="188"/>
      <c r="D15" s="2235"/>
      <c r="E15" s="193" t="str">
        <f>IF(OR(C15=0,D15=0),"Belopp saknas","")</f>
        <v>Belopp saknas</v>
      </c>
      <c r="F15" s="82"/>
      <c r="G15" s="72"/>
      <c r="H15" s="5"/>
      <c r="I15" s="2873"/>
      <c r="J15" s="2875"/>
      <c r="K15" s="184"/>
    </row>
    <row r="16" spans="1:11" ht="13" thickBot="1">
      <c r="A16" s="666" t="s">
        <v>301</v>
      </c>
      <c r="B16" s="737" t="s">
        <v>1491</v>
      </c>
      <c r="C16" s="410">
        <f>SUM(C13:C14)-C15</f>
        <v>0</v>
      </c>
      <c r="D16" s="420">
        <f>SUM(D13:D14)-D15</f>
        <v>0</v>
      </c>
      <c r="E16" s="194"/>
      <c r="G16" s="195" t="s">
        <v>1193</v>
      </c>
      <c r="H16" s="5"/>
      <c r="I16" s="751" t="e">
        <f>C16*1000/invanare</f>
        <v>#DIV/0!</v>
      </c>
      <c r="J16" s="758" t="e">
        <f>D16*1000/invanare</f>
        <v>#DIV/0!</v>
      </c>
      <c r="K16" s="184"/>
    </row>
    <row r="17" spans="1:11" ht="12.5">
      <c r="A17" s="734" t="s">
        <v>337</v>
      </c>
      <c r="B17" s="735" t="s">
        <v>1492</v>
      </c>
      <c r="C17" s="188"/>
      <c r="D17" s="2235"/>
      <c r="E17" s="192" t="str">
        <f>IF(OR(C17&lt;&gt;0,D17&lt;&gt;0),"Kommentera belopp","")</f>
        <v/>
      </c>
      <c r="F17" s="184"/>
      <c r="G17" s="2876"/>
      <c r="H17" s="5"/>
      <c r="I17" s="2603" t="e">
        <f>(C17)*1000/invanare</f>
        <v>#DIV/0!</v>
      </c>
      <c r="J17" s="2604" t="e">
        <f>(D17)*1000/invanare</f>
        <v>#DIV/0!</v>
      </c>
      <c r="K17" s="184"/>
    </row>
    <row r="18" spans="1:11" ht="13" thickBot="1">
      <c r="A18" s="2620" t="s">
        <v>227</v>
      </c>
      <c r="B18" s="1537" t="s">
        <v>871</v>
      </c>
      <c r="C18" s="410">
        <f>SUM(C16:C17)</f>
        <v>0</v>
      </c>
      <c r="D18" s="420">
        <f>SUM(D16:D17)</f>
        <v>0</v>
      </c>
      <c r="E18" s="193"/>
      <c r="F18" s="184"/>
      <c r="G18" s="2863"/>
      <c r="H18" s="185"/>
      <c r="I18" s="756"/>
      <c r="J18" s="757"/>
      <c r="K18" s="184"/>
    </row>
    <row r="19" spans="1:11" ht="13" thickBot="1">
      <c r="A19" s="2618"/>
      <c r="B19" s="2619"/>
      <c r="E19" s="194"/>
      <c r="F19" s="184"/>
      <c r="G19" s="2864"/>
      <c r="H19" s="5"/>
      <c r="I19" s="751" t="e">
        <f>C18*1000/invanare</f>
        <v>#DIV/0!</v>
      </c>
      <c r="J19" s="758" t="e">
        <f>D18*1000/invanare</f>
        <v>#DIV/0!</v>
      </c>
      <c r="K19" s="184"/>
    </row>
    <row r="20" spans="1:11" ht="15.75" customHeight="1">
      <c r="A20" s="15"/>
      <c r="B20" s="3"/>
      <c r="C20" s="3"/>
      <c r="D20" s="3"/>
      <c r="E20" s="2"/>
      <c r="F20" s="186"/>
      <c r="G20" s="72"/>
      <c r="H20" s="5"/>
      <c r="I20" s="5"/>
      <c r="J20" s="5"/>
      <c r="K20" s="184"/>
    </row>
    <row r="21" spans="1:11" ht="15.75" customHeight="1" thickBot="1">
      <c r="A21" s="81" t="s">
        <v>1476</v>
      </c>
      <c r="B21" s="3"/>
      <c r="C21" s="3"/>
      <c r="D21" s="3"/>
      <c r="E21" s="2"/>
      <c r="F21" s="186"/>
      <c r="G21" s="72"/>
      <c r="H21" s="5"/>
      <c r="I21" s="5"/>
      <c r="J21" s="5"/>
      <c r="K21" s="184"/>
    </row>
    <row r="22" spans="1:11" ht="15.75" customHeight="1">
      <c r="A22" s="734"/>
      <c r="B22" s="2384"/>
      <c r="C22" s="2385"/>
      <c r="D22" s="3"/>
      <c r="E22" s="2"/>
      <c r="F22" s="186"/>
      <c r="G22" s="2387" t="s">
        <v>1480</v>
      </c>
      <c r="H22" s="5"/>
      <c r="I22" s="5"/>
      <c r="J22" s="5"/>
      <c r="K22" s="184"/>
    </row>
    <row r="23" spans="1:11" ht="15.75" customHeight="1">
      <c r="A23" s="712" t="s">
        <v>354</v>
      </c>
      <c r="B23" s="736" t="s">
        <v>1673</v>
      </c>
      <c r="C23" s="2390"/>
      <c r="D23" s="3"/>
      <c r="E23" s="2386"/>
      <c r="F23" s="186"/>
      <c r="G23" s="2877"/>
      <c r="H23" s="5"/>
      <c r="I23" s="5"/>
      <c r="J23" s="5"/>
      <c r="K23" s="184"/>
    </row>
    <row r="24" spans="1:11" ht="15.75" customHeight="1">
      <c r="A24" s="712" t="s">
        <v>884</v>
      </c>
      <c r="B24" s="736" t="s">
        <v>1674</v>
      </c>
      <c r="C24" s="2390"/>
      <c r="D24" s="3"/>
      <c r="E24" s="2386"/>
      <c r="F24" s="186"/>
      <c r="G24" s="2878"/>
      <c r="H24" s="5"/>
      <c r="I24" s="5"/>
      <c r="J24" s="5"/>
      <c r="K24" s="184"/>
    </row>
    <row r="25" spans="1:11" ht="15.75" customHeight="1">
      <c r="A25" s="712" t="s">
        <v>1477</v>
      </c>
      <c r="B25" s="736" t="s">
        <v>1675</v>
      </c>
      <c r="C25" s="2390"/>
      <c r="D25" s="3"/>
      <c r="E25" s="2386"/>
      <c r="F25" s="186"/>
      <c r="G25" s="2878"/>
      <c r="H25" s="5"/>
      <c r="I25" s="5"/>
      <c r="J25" s="5"/>
      <c r="K25" s="184"/>
    </row>
    <row r="26" spans="1:11" ht="15.75" customHeight="1">
      <c r="A26" s="712" t="s">
        <v>1478</v>
      </c>
      <c r="B26" s="736" t="s">
        <v>1677</v>
      </c>
      <c r="C26" s="2390"/>
      <c r="D26" s="3"/>
      <c r="E26" s="2386"/>
      <c r="F26" s="186"/>
      <c r="G26" s="2879"/>
      <c r="H26" s="5"/>
      <c r="I26" s="5"/>
      <c r="J26" s="5"/>
      <c r="K26" s="184"/>
    </row>
    <row r="27" spans="1:11" ht="15.75" customHeight="1" thickBot="1">
      <c r="A27" s="714" t="s">
        <v>1479</v>
      </c>
      <c r="B27" s="2702" t="s">
        <v>1676</v>
      </c>
      <c r="C27" s="2391"/>
      <c r="D27" s="3"/>
      <c r="E27" s="2386"/>
      <c r="F27" s="186"/>
      <c r="G27" s="72"/>
      <c r="H27" s="5"/>
      <c r="I27" s="5"/>
      <c r="J27" s="5"/>
      <c r="K27" s="184"/>
    </row>
    <row r="28" spans="1:11" ht="15.75" customHeight="1" thickBot="1">
      <c r="A28" s="15"/>
      <c r="B28" s="3"/>
      <c r="C28" s="3"/>
      <c r="D28" s="3"/>
      <c r="E28" s="2"/>
      <c r="F28" s="186"/>
      <c r="G28" s="72"/>
      <c r="H28" s="5"/>
      <c r="I28" s="5"/>
      <c r="J28" s="5"/>
      <c r="K28" s="184"/>
    </row>
    <row r="29" spans="1:11" ht="18" customHeight="1" thickBot="1">
      <c r="A29" s="81" t="s">
        <v>158</v>
      </c>
      <c r="B29" s="5"/>
      <c r="C29" s="5"/>
      <c r="D29" s="5"/>
      <c r="E29" s="5"/>
      <c r="F29" s="5"/>
      <c r="G29" s="195" t="s">
        <v>90</v>
      </c>
      <c r="H29" s="5"/>
      <c r="I29" s="759" t="s">
        <v>509</v>
      </c>
      <c r="J29" s="187"/>
      <c r="K29" s="184"/>
    </row>
    <row r="30" spans="1:11" ht="13" thickBot="1">
      <c r="A30" s="2764">
        <v>130</v>
      </c>
      <c r="B30" s="2766" t="s">
        <v>159</v>
      </c>
      <c r="C30" s="2769">
        <f>C18</f>
        <v>0</v>
      </c>
      <c r="D30" s="5"/>
      <c r="E30" s="5"/>
      <c r="F30" s="5"/>
      <c r="G30" s="2862"/>
      <c r="H30" s="5"/>
      <c r="I30" s="760" t="e">
        <f>C30*1000/invanare</f>
        <v>#DIV/0!</v>
      </c>
      <c r="J30" s="185"/>
      <c r="K30" s="184"/>
    </row>
    <row r="31" spans="1:11" ht="12.5">
      <c r="A31" s="1957">
        <v>131</v>
      </c>
      <c r="B31" s="743" t="str">
        <f>"- reducering av samtliga realisationsvinster"</f>
        <v>- reducering av samtliga realisationsvinster</v>
      </c>
      <c r="C31" s="106"/>
      <c r="D31" s="193"/>
      <c r="E31" s="5"/>
      <c r="F31" s="5"/>
      <c r="G31" s="2863"/>
      <c r="H31" s="5"/>
      <c r="I31" s="761"/>
      <c r="J31" s="185"/>
      <c r="K31" s="184"/>
    </row>
    <row r="32" spans="1:11" ht="12.5">
      <c r="A32" s="130">
        <v>132</v>
      </c>
      <c r="B32" s="743" t="str">
        <f>"+ justering för realisationsvinster enl. undantagsmöjlighet"</f>
        <v>+ justering för realisationsvinster enl. undantagsmöjlighet</v>
      </c>
      <c r="C32" s="106"/>
      <c r="D32" s="193"/>
      <c r="E32" s="5"/>
      <c r="G32" s="2863"/>
      <c r="H32" s="5"/>
      <c r="I32" s="763"/>
      <c r="J32" s="185"/>
      <c r="K32" s="184"/>
    </row>
    <row r="33" spans="1:11" ht="12.5">
      <c r="A33" s="130">
        <v>135</v>
      </c>
      <c r="B33" s="743" t="str">
        <f>"+ justering av realisationsförluster enl. undantagsmöjlighet"</f>
        <v>+ justering av realisationsförluster enl. undantagsmöjlighet</v>
      </c>
      <c r="C33" s="191"/>
      <c r="D33" s="193"/>
      <c r="E33" s="5"/>
      <c r="F33" s="5"/>
      <c r="G33" s="2864"/>
      <c r="H33" s="5"/>
      <c r="I33" s="1544"/>
      <c r="J33" s="185"/>
      <c r="K33" s="184"/>
    </row>
    <row r="34" spans="1:11" ht="13.5" customHeight="1">
      <c r="A34" s="2610">
        <v>136</v>
      </c>
      <c r="B34" s="743" t="str">
        <f>"-/+ orealiserade vinster och förluster i värdepapper"</f>
        <v>-/+ orealiserade vinster och förluster i värdepapper</v>
      </c>
      <c r="C34" s="191"/>
      <c r="D34" s="193"/>
      <c r="E34" s="5"/>
      <c r="F34" s="5"/>
      <c r="G34" s="230"/>
      <c r="H34" s="5"/>
      <c r="I34" s="763"/>
      <c r="J34" s="185"/>
      <c r="K34" s="184"/>
    </row>
    <row r="35" spans="1:11" ht="12.75" customHeight="1">
      <c r="A35" s="688">
        <v>140</v>
      </c>
      <c r="B35" s="2773" t="str">
        <f>"+/- återföring av orealiserade vinster och förluster i värdepapper"</f>
        <v>+/- återföring av orealiserade vinster och förluster i värdepapper</v>
      </c>
      <c r="C35" s="191"/>
      <c r="D35" s="193"/>
      <c r="E35" s="5"/>
      <c r="F35" s="5"/>
      <c r="H35" s="5"/>
      <c r="I35" s="763"/>
      <c r="J35" s="5"/>
      <c r="K35" s="184"/>
    </row>
    <row r="36" spans="1:11" ht="12.75" customHeight="1" thickBot="1">
      <c r="A36" s="2772">
        <v>141</v>
      </c>
      <c r="B36" s="1773" t="str">
        <f xml:space="preserve"> " = Årets resultat efter balanskravsjusteringar"</f>
        <v xml:space="preserve"> = Årets resultat efter balanskravsjusteringar</v>
      </c>
      <c r="C36" s="2768">
        <f>C30-C31+C32+C33+C34+C35</f>
        <v>0</v>
      </c>
      <c r="D36" s="193"/>
      <c r="E36" s="5"/>
      <c r="F36" s="5"/>
      <c r="G36" s="1493"/>
      <c r="H36" s="5"/>
      <c r="I36" s="763"/>
      <c r="J36" s="5"/>
      <c r="K36" s="184"/>
    </row>
    <row r="37" spans="1:11" ht="13.5" customHeight="1">
      <c r="A37" s="700">
        <v>138</v>
      </c>
      <c r="B37" s="732" t="str">
        <f>"- reservering av medel till resultatreserv"</f>
        <v>- reservering av medel till resultatreserv</v>
      </c>
      <c r="C37" s="2767"/>
      <c r="D37" s="193" t="str">
        <f>IF(AND(C36&lt;0,C37&lt;&gt;0),"Ni har reserverat medel till RER utan positivt resultat efter balanskravsjuteringar . Åtgärda eller kommentera!","")</f>
        <v/>
      </c>
      <c r="E37" s="5"/>
      <c r="F37" s="5"/>
      <c r="G37" s="1493"/>
      <c r="H37" s="5"/>
      <c r="I37" s="763"/>
      <c r="J37" s="5"/>
      <c r="K37" s="184"/>
    </row>
    <row r="38" spans="1:11" ht="13.5" customHeight="1">
      <c r="A38" s="700">
        <v>139</v>
      </c>
      <c r="B38" s="2773" t="str">
        <f>"+ användning av medel från resultatreserv"</f>
        <v>+ användning av medel från resultatreserv</v>
      </c>
      <c r="C38" s="191"/>
      <c r="D38" s="193" t="str">
        <f>IF(C38 &gt; BR!D43,"Ni har använt mer medel från RER än vad som finns angivet som ingående balans i balansräkningen. Åtgärda eller kommentera!",IF(AND(C36&gt;0,C38&lt;&gt;0),"Ni har använt medel från RER utan negativt resultat efter balanskravsjuteringar. Åtgärda eller kommentera!",""))</f>
        <v/>
      </c>
      <c r="E38" s="5"/>
      <c r="F38" s="5"/>
      <c r="G38" s="1493"/>
      <c r="H38" s="5"/>
      <c r="I38" s="763"/>
      <c r="J38" s="5"/>
      <c r="K38" s="184"/>
    </row>
    <row r="39" spans="1:11" ht="12.75" customHeight="1">
      <c r="A39" s="688">
        <v>143</v>
      </c>
      <c r="B39" s="736" t="str">
        <f>"+ användning av medel från resultatutjämningsreserv"</f>
        <v>+ användning av medel från resultatutjämningsreserv</v>
      </c>
      <c r="C39" s="191"/>
      <c r="D39" s="193" t="str">
        <f>IF(C39 &gt; BR!D44,"Ni har använt mer medel från RUR än vad som finns angivet som ingående balans i balansräkningen. Åtgärda eller kommentera!",IF(AND(C36&gt;0,C39&lt;&gt;0),"Ni har använt medel från RUR utan negativt resultat efter balanskravsjuteringar. Åtgärda eller kommentera!",""))</f>
        <v/>
      </c>
      <c r="E39" s="5"/>
      <c r="F39" s="5"/>
      <c r="G39" s="1493"/>
      <c r="H39" s="5"/>
      <c r="I39" s="763"/>
      <c r="J39" s="5"/>
      <c r="K39" s="184"/>
    </row>
    <row r="40" spans="1:11" ht="12.75" customHeight="1" thickBot="1">
      <c r="A40" s="2765">
        <v>133</v>
      </c>
      <c r="B40" s="1773" t="str">
        <f>"= Balanskravsresultat"</f>
        <v>= Balanskravsresultat</v>
      </c>
      <c r="C40" s="2768">
        <f>C36-C37+C38+C39</f>
        <v>0</v>
      </c>
      <c r="D40" s="193"/>
      <c r="E40" s="5"/>
      <c r="F40" s="5"/>
      <c r="G40" s="1494"/>
      <c r="H40" s="5"/>
      <c r="I40" s="2039" t="e">
        <f>C40*1000/invanare</f>
        <v>#DIV/0!</v>
      </c>
      <c r="J40" s="5"/>
      <c r="K40" s="184"/>
    </row>
    <row r="41" spans="1:11" ht="30" customHeight="1">
      <c r="A41" s="2794"/>
      <c r="B41" s="2793" t="s">
        <v>1851</v>
      </c>
      <c r="C41" s="2775"/>
      <c r="D41" s="5"/>
      <c r="E41" s="2777"/>
      <c r="F41" s="5"/>
      <c r="G41" s="1494"/>
      <c r="H41" s="5"/>
      <c r="I41" s="763"/>
      <c r="J41" s="5"/>
      <c r="K41" s="184"/>
    </row>
    <row r="42" spans="1:11" ht="21" customHeight="1">
      <c r="A42" s="681">
        <v>104</v>
      </c>
      <c r="B42" s="2795" t="s">
        <v>1847</v>
      </c>
      <c r="C42" s="2767"/>
      <c r="D42" s="1536" t="str">
        <f>IF(AND(C42&lt;0,C40&gt;=0),"Ni har åberopat synnerliga skäl utan negativt balanskravsresultat – Måste åtgärdas!",
IF(AND(C40&lt;0,C42&lt;C40),"Synnerliga skäl överstiger ert negativa balanskravsresultatet - Måste åtgärdas!",""))</f>
        <v/>
      </c>
      <c r="E42" s="5"/>
      <c r="F42" s="5"/>
      <c r="G42" s="1494"/>
      <c r="H42" s="5"/>
      <c r="I42" s="763"/>
      <c r="J42" s="5"/>
      <c r="K42" s="184"/>
    </row>
    <row r="43" spans="1:11" ht="21" customHeight="1">
      <c r="A43" s="688">
        <v>105</v>
      </c>
      <c r="B43" s="2796" t="s">
        <v>1849</v>
      </c>
      <c r="C43" s="191"/>
      <c r="D43" s="193"/>
      <c r="E43" s="5"/>
      <c r="F43" s="5"/>
      <c r="G43" s="1494"/>
      <c r="H43" s="5"/>
      <c r="I43" s="762"/>
      <c r="J43" s="5"/>
      <c r="K43" s="184"/>
    </row>
    <row r="44" spans="1:11" ht="12.75" customHeight="1" thickBot="1">
      <c r="A44" s="697">
        <v>106</v>
      </c>
      <c r="B44" s="2797" t="s">
        <v>1850</v>
      </c>
      <c r="C44" s="2771">
        <f>IF(C40&lt;0, IF(C42&gt;C40, C40-C42, 0), 0)</f>
        <v>0</v>
      </c>
      <c r="D44" s="1503"/>
      <c r="E44" s="5"/>
      <c r="F44" s="5"/>
      <c r="G44" s="1494"/>
      <c r="H44" s="5"/>
      <c r="I44" s="764" t="e">
        <f>C44*1000/invanare</f>
        <v>#DIV/0!</v>
      </c>
      <c r="J44" s="5"/>
      <c r="K44" s="184"/>
    </row>
    <row r="45" spans="1:11" ht="30" customHeight="1" thickBot="1">
      <c r="A45" s="2798"/>
      <c r="B45" s="2799" t="s">
        <v>1848</v>
      </c>
      <c r="C45" s="2775"/>
      <c r="D45" s="2776"/>
      <c r="E45" s="5"/>
      <c r="F45" s="5"/>
      <c r="G45" s="5"/>
      <c r="H45" s="5"/>
      <c r="I45" s="5"/>
      <c r="J45" s="5"/>
      <c r="K45" s="184"/>
    </row>
    <row r="46" spans="1:11" ht="12.75" customHeight="1">
      <c r="A46" s="2801">
        <v>107</v>
      </c>
      <c r="B46" s="2800" t="s">
        <v>1852</v>
      </c>
      <c r="C46" s="2767"/>
      <c r="D46" s="1536" t="str">
        <f>IF(C46&lt;&gt;K46, "Ni har justerat förifyllt belopp – Vad beror det på?", "")</f>
        <v/>
      </c>
      <c r="E46" s="5"/>
      <c r="F46" s="5"/>
      <c r="G46" s="765" t="s">
        <v>582</v>
      </c>
      <c r="H46" s="766"/>
      <c r="I46" s="2865" t="s">
        <v>154</v>
      </c>
      <c r="J46" s="2866"/>
      <c r="K46" s="2788"/>
    </row>
    <row r="47" spans="1:11" s="315" customFormat="1" ht="22" customHeight="1" thickBot="1">
      <c r="A47" s="2802">
        <v>108</v>
      </c>
      <c r="B47" s="2803" t="s">
        <v>1853</v>
      </c>
      <c r="C47" s="2782">
        <f>IF(AND(C40&gt;0, C46&lt;0), MIN(0, C40+C46), C44+C46)</f>
        <v>0</v>
      </c>
      <c r="D47" s="2136"/>
      <c r="E47" s="2136"/>
      <c r="F47" s="316"/>
      <c r="G47" s="2783"/>
      <c r="H47" s="2784"/>
      <c r="I47" s="2785" t="s">
        <v>865</v>
      </c>
      <c r="J47" s="2786" t="s">
        <v>968</v>
      </c>
      <c r="K47" s="316"/>
    </row>
    <row r="48" spans="1:11" ht="19.5" customHeight="1">
      <c r="A48" s="184"/>
      <c r="B48" s="2778"/>
      <c r="C48" s="184"/>
      <c r="D48" s="184"/>
      <c r="E48" s="184"/>
      <c r="F48" s="184"/>
      <c r="G48" s="2867" t="s">
        <v>1721</v>
      </c>
      <c r="H48" s="2868"/>
      <c r="I48" s="748">
        <f>IF(ISERROR(C10*100/SUM(C11:C12)*-1),0,C10*100/SUM(C11:C12)*-1)</f>
        <v>0</v>
      </c>
      <c r="J48" s="767">
        <f>IF(ISERROR(D10*100/SUM(D11:D12)*-1),0,D10*100/SUM(D11:D12)*-1)</f>
        <v>0</v>
      </c>
      <c r="K48" s="184"/>
    </row>
    <row r="49" spans="1:11" ht="15" customHeight="1">
      <c r="A49" s="184"/>
      <c r="B49" s="184"/>
      <c r="C49" s="184"/>
      <c r="D49" s="184"/>
      <c r="E49" s="184"/>
      <c r="F49" s="184"/>
      <c r="G49" s="768" t="s">
        <v>1722</v>
      </c>
      <c r="H49" s="769"/>
      <c r="I49" s="750">
        <f>IF(ISERROR((C14-C15)*100/SUM(C11:C12)),0,(C14-C15)*100/SUM(C11:C12))</f>
        <v>0</v>
      </c>
      <c r="J49" s="767">
        <f>IF(ISERROR((D14-D15)*100/SUM(D11:D12)),0,(D14-D15)*100/SUM(D11:D12))</f>
        <v>0</v>
      </c>
      <c r="K49" s="184"/>
    </row>
    <row r="50" spans="1:11" ht="19.5" customHeight="1">
      <c r="A50" s="184"/>
      <c r="B50" s="184"/>
      <c r="C50" s="184"/>
      <c r="D50" s="184"/>
      <c r="E50" s="184"/>
      <c r="F50" s="184"/>
      <c r="G50" s="2869" t="s">
        <v>1723</v>
      </c>
      <c r="H50" s="2870"/>
      <c r="I50" s="750">
        <f>IF(ISERROR(C16*100/SUM(C11:C12)),0,C16*100/SUM(C11:C12))</f>
        <v>0</v>
      </c>
      <c r="J50" s="767">
        <f>IF(ISERROR(D16*100/SUM(D11:D12)),0,D16*100/SUM(D11:D12))</f>
        <v>0</v>
      </c>
      <c r="K50" s="184"/>
    </row>
    <row r="51" spans="1:11" ht="19.5" customHeight="1">
      <c r="A51" s="5"/>
      <c r="B51" s="5"/>
      <c r="C51" s="5"/>
      <c r="D51" s="184"/>
      <c r="E51" s="184"/>
      <c r="F51" s="184"/>
      <c r="G51" s="768" t="s">
        <v>1724</v>
      </c>
      <c r="H51" s="769"/>
      <c r="I51" s="750">
        <f>IF(ISERROR(C18*100/SUM(C11:C12)),0,C18*100/SUM(C11:C12))</f>
        <v>0</v>
      </c>
      <c r="J51" s="767">
        <f>IF(ISERROR(D18*100/SUM(D11:D12)),0,D18*100/SUM(D11:D12))</f>
        <v>0</v>
      </c>
      <c r="K51" s="184"/>
    </row>
    <row r="52" spans="1:11" ht="13.5" customHeight="1">
      <c r="A52" s="5"/>
      <c r="B52" s="5"/>
      <c r="C52" s="5"/>
      <c r="D52" s="184"/>
      <c r="E52" s="184"/>
      <c r="F52" s="184"/>
      <c r="G52" s="770" t="s">
        <v>621</v>
      </c>
      <c r="H52" s="2584"/>
      <c r="I52" s="750">
        <f>IF(C8&gt;0,C7*100/(C8+C9),0)</f>
        <v>0</v>
      </c>
      <c r="J52" s="767">
        <f>IF(D8&gt;0,D7*100/(D8+D9),0)</f>
        <v>0</v>
      </c>
      <c r="K52" s="184"/>
    </row>
    <row r="53" spans="1:11" ht="14.25" customHeight="1">
      <c r="A53" s="184"/>
      <c r="B53" s="184"/>
      <c r="C53" s="184"/>
      <c r="D53" s="184"/>
      <c r="E53" s="184"/>
      <c r="F53" s="184"/>
      <c r="G53" s="770" t="s">
        <v>973</v>
      </c>
      <c r="H53" s="771"/>
      <c r="I53" s="750">
        <f>IF(ISERROR((Investeringar!C7+Investeringar!D7+Investeringar!E7-Investeringar!C78)*100/SUM(C11:C12)),0,(Investeringar!C7+Investeringar!D7+Investeringar!E7-Investeringar!C78)*100/SUM(C11:C12))</f>
        <v>0</v>
      </c>
      <c r="J53" s="772"/>
      <c r="K53" s="184"/>
    </row>
    <row r="54" spans="1:11" ht="12.75" customHeight="1">
      <c r="A54" s="184"/>
      <c r="B54" s="184"/>
      <c r="C54" s="184"/>
      <c r="D54" s="184"/>
      <c r="E54" s="184"/>
      <c r="F54" s="184"/>
      <c r="G54" s="770" t="s">
        <v>583</v>
      </c>
      <c r="H54" s="771"/>
      <c r="I54" s="750">
        <f>IF(ISERROR((Investeringar!C8+Investeringar!D8+Investeringar!E8)*100/SUM(C11:C12)*-1),0,(Investeringar!C8+Investeringar!D8+Investeringar!E8)*100/SUM(C11:C12)*-1)</f>
        <v>0</v>
      </c>
      <c r="J54" s="773"/>
      <c r="K54" s="184"/>
    </row>
    <row r="55" spans="1:11" ht="12.75" customHeight="1">
      <c r="A55" s="184"/>
      <c r="B55" s="184"/>
      <c r="C55" s="184"/>
      <c r="D55" s="184"/>
      <c r="E55" s="184"/>
      <c r="F55" s="184"/>
      <c r="G55" s="770" t="s">
        <v>584</v>
      </c>
      <c r="H55" s="771"/>
      <c r="I55" s="750">
        <f>IF(ISERROR(SUM(Investeringar!C8:E8)/(Investeringar!C66)*-1),0,(SUM(Investeringar!C8:E8)/(Investeringar!C66)*-1)*100)</f>
        <v>0</v>
      </c>
      <c r="J55" s="773"/>
      <c r="K55" s="184"/>
    </row>
    <row r="56" spans="1:11" ht="12.75" customHeight="1" thickBot="1">
      <c r="A56" s="184"/>
      <c r="B56" s="184"/>
      <c r="C56" s="184"/>
      <c r="D56" s="184"/>
      <c r="E56" s="184"/>
      <c r="F56" s="184"/>
      <c r="G56" s="774" t="s">
        <v>1563</v>
      </c>
      <c r="H56" s="2585"/>
      <c r="I56" s="775">
        <f>IF(ISERROR(BR!D32*100/RR!C8),0,BR!D32*100/RR!C8)</f>
        <v>0</v>
      </c>
      <c r="J56" s="776"/>
      <c r="K56" s="184"/>
    </row>
    <row r="57" spans="1:11" ht="12.75" customHeight="1">
      <c r="A57" s="184"/>
      <c r="B57" s="184"/>
      <c r="C57" s="184"/>
      <c r="D57" s="184"/>
      <c r="E57" s="184"/>
      <c r="F57" s="184"/>
      <c r="G57" s="156"/>
      <c r="H57" s="1541"/>
      <c r="I57" s="1542"/>
      <c r="J57" s="1543"/>
      <c r="K57" s="220"/>
    </row>
    <row r="58" spans="1:11" ht="12.75" customHeight="1">
      <c r="A58" s="184"/>
      <c r="B58" s="184"/>
      <c r="C58" s="184"/>
      <c r="D58" s="184"/>
      <c r="E58" s="184"/>
      <c r="F58" s="184"/>
      <c r="G58" s="156"/>
      <c r="H58" s="1541"/>
      <c r="I58" s="1542"/>
      <c r="J58" s="1543"/>
      <c r="K58" s="220"/>
    </row>
    <row r="59" spans="1:11" ht="19.5" customHeight="1">
      <c r="A59" s="184"/>
      <c r="B59" s="184"/>
      <c r="C59" s="184"/>
      <c r="D59" s="184"/>
      <c r="E59" s="184"/>
      <c r="F59" s="184"/>
      <c r="G59" s="156"/>
      <c r="H59" s="1541"/>
      <c r="I59" s="1542"/>
      <c r="J59" s="1543"/>
      <c r="K59" s="220"/>
    </row>
    <row r="60" spans="1:11" ht="12.5">
      <c r="A60" s="184"/>
      <c r="B60" s="184"/>
      <c r="C60" s="184"/>
      <c r="D60" s="184"/>
      <c r="E60" s="184"/>
      <c r="F60" s="184"/>
      <c r="G60" s="156"/>
      <c r="H60" s="1541"/>
      <c r="I60" s="1542"/>
      <c r="J60" s="1543"/>
      <c r="K60" s="184"/>
    </row>
    <row r="61" spans="1:11" ht="12.5" hidden="1">
      <c r="A61" s="184"/>
      <c r="B61" s="184"/>
      <c r="C61" s="184"/>
      <c r="G61" s="944"/>
      <c r="H61" s="1538"/>
      <c r="I61" s="1539"/>
      <c r="J61" s="1540"/>
      <c r="K61" s="184"/>
    </row>
    <row r="62" spans="1:11" ht="12.5" hidden="1">
      <c r="A62" s="184"/>
      <c r="B62" s="184"/>
      <c r="C62" s="184"/>
      <c r="G62" s="184"/>
      <c r="H62" s="184"/>
      <c r="I62" s="184"/>
      <c r="J62" s="184"/>
      <c r="K62" s="184"/>
    </row>
    <row r="63" spans="1:11" ht="12.5" hidden="1">
      <c r="A63" s="184"/>
      <c r="B63" s="184"/>
      <c r="C63" s="184"/>
    </row>
    <row r="64" spans="1:11" ht="12.5" hidden="1">
      <c r="A64" s="184"/>
      <c r="B64" s="184"/>
      <c r="C64" s="184"/>
    </row>
    <row r="65" spans="1:3" ht="12.5" hidden="1">
      <c r="A65" s="184"/>
      <c r="B65" s="184"/>
      <c r="C65" s="184"/>
    </row>
    <row r="66" spans="1:3" ht="12.5" hidden="1"/>
    <row r="67" spans="1:3" ht="12.5" hidden="1"/>
    <row r="68" spans="1:3" ht="12.5" hidden="1"/>
    <row r="69" spans="1:3" ht="12.5" hidden="1"/>
    <row r="70" spans="1:3" ht="12.5" hidden="1"/>
    <row r="71" spans="1:3" ht="12.5" hidden="1"/>
    <row r="72" spans="1:3" ht="12.5" hidden="1"/>
    <row r="73" spans="1:3" ht="12.5" hidden="1"/>
    <row r="74" spans="1:3" ht="12.5" hidden="1"/>
    <row r="75" spans="1:3" ht="12.75" customHeight="1"/>
  </sheetData>
  <mergeCells count="9">
    <mergeCell ref="G30:G33"/>
    <mergeCell ref="I46:J46"/>
    <mergeCell ref="G48:H48"/>
    <mergeCell ref="G50:H50"/>
    <mergeCell ref="I4:J4"/>
    <mergeCell ref="I14:I15"/>
    <mergeCell ref="J14:J15"/>
    <mergeCell ref="G17:G19"/>
    <mergeCell ref="G23:G26"/>
  </mergeCells>
  <conditionalFormatting sqref="C37:C39">
    <cfRule type="cellIs" dxfId="177" priority="2" stopIfTrue="1" operator="lessThan">
      <formula>-5</formula>
    </cfRule>
  </conditionalFormatting>
  <dataValidations count="13">
    <dataValidation type="decimal" operator="greaterThanOrEqual" allowBlank="1" showInputMessage="1" showErrorMessage="1" error="Belopp anges utan minustecken" sqref="C23:C24 C26 C27" xr:uid="{00000000-0002-0000-0100-000000000000}">
      <formula1>0</formula1>
    </dataValidation>
    <dataValidation type="decimal" operator="lessThan" allowBlank="1" showInputMessage="1" showErrorMessage="1" error="Beloppet ska vara i tusental kronor" sqref="C14:D15" xr:uid="{00000000-0002-0000-0100-000001000000}">
      <formula1>99999999</formula1>
    </dataValidation>
    <dataValidation type="decimal" operator="lessThan" allowBlank="1" showInputMessage="1" showErrorMessage="1" error="Beloppet ska vara i 1000 tal kronoer" sqref="C7:D9" xr:uid="{00000000-0002-0000-0100-000002000000}">
      <formula1>99999999</formula1>
    </dataValidation>
    <dataValidation type="decimal" operator="lessThan" allowBlank="1" showInputMessage="1" showErrorMessage="1" error="Beloppet ska vara i 1000 tal kronor" sqref="C34 C17:D17 C25" xr:uid="{00000000-0002-0000-0100-000003000000}">
      <formula1>99999999</formula1>
    </dataValidation>
    <dataValidation type="decimal" allowBlank="1" showInputMessage="1" showErrorMessage="1" error="Beloppet ska vara i 1000 tal kronor. Inget minusbelopp anges." sqref="C31" xr:uid="{00000000-0002-0000-0100-000004000000}">
      <formula1>0</formula1>
      <formula2>99999999</formula2>
    </dataValidation>
    <dataValidation type="decimal" allowBlank="1" showInputMessage="1" showErrorMessage="1" error="Beloppet ska vara i 1000 tal kronor_x000a_Inget minusbelopp anges." sqref="C32" xr:uid="{00000000-0002-0000-0100-000005000000}">
      <formula1>0</formula1>
      <formula2>99999999</formula2>
    </dataValidation>
    <dataValidation type="decimal" operator="greaterThanOrEqual" allowBlank="1" showInputMessage="1" showErrorMessage="1" error="Beloppet ska vara i 1000 tal kronor._x000a_Inget minustecken anges." sqref="C33" xr:uid="{00000000-0002-0000-0100-000006000000}">
      <formula1>0</formula1>
    </dataValidation>
    <dataValidation type="decimal" allowBlank="1" showInputMessage="1" showErrorMessage="1" error="Beloppet ska vara i 1000 tal kronor_x000a_Inget minustecken ska anges_x000a_" sqref="C37:C38" xr:uid="{00000000-0002-0000-0100-000007000000}">
      <formula1>0</formula1>
      <formula2>99999999</formula2>
    </dataValidation>
    <dataValidation type="decimal" allowBlank="1" showInputMessage="1" showErrorMessage="1" error="Beloppet ska vara i 1000 tal kronor_x000a_Inget minustecken ska anges." sqref="C39" xr:uid="{00000000-0002-0000-0100-000008000000}">
      <formula1>0</formula1>
      <formula2>99999999</formula2>
    </dataValidation>
    <dataValidation type="whole" operator="greaterThanOrEqual" allowBlank="1" showInputMessage="1" showErrorMessage="1" error="Enbart positiva heltal eller 0 är tillåtna." sqref="C43" xr:uid="{00000000-0002-0000-0100-000009000000}">
      <formula1>0</formula1>
    </dataValidation>
    <dataValidation type="decimal" operator="lessThanOrEqual" allowBlank="1" showInputMessage="1" showErrorMessage="1" error="Beloppet ska vara i 1000 tal kronor._x000a_Endast negativa värden eller 0 är tillåtna._x000a_" sqref="C46" xr:uid="{4EB6ED5A-FAB4-4D3D-84F1-D271B6A58B63}">
      <formula1>0</formula1>
    </dataValidation>
    <dataValidation operator="lessThan" allowBlank="1" showInputMessage="1" showErrorMessage="1" error="Beloppet ska vara i 1000 tal kronor" sqref="C44 C47" xr:uid="{047B7CD7-57C1-43FD-B267-DB5D42BA7849}"/>
    <dataValidation type="decimal" operator="lessThanOrEqual" allowBlank="1" showInputMessage="1" showErrorMessage="1" error="Beloppet ska vara i 1000 tal kronor._x000a_Endast negativa värden eller 0 är tillåtna." sqref="C42" xr:uid="{7773B4EE-C60E-43C8-9625-08CD6A7B94C0}">
      <formula1>0</formula1>
    </dataValidation>
  </dataValidations>
  <pageMargins left="0.70866141732283472" right="0.70866141732283472" top="0.74803149606299213" bottom="0.52" header="0.31496062992125984" footer="0.31496062992125984"/>
  <pageSetup paperSize="9" scale="85" orientation="landscape" r:id="rId1"/>
  <headerFooter>
    <oddHeader>&amp;L&amp;8Statistiska Centralbyrån
Offentlig ekonomi&amp;R&amp;P</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rgb="FFFFFF00"/>
  </sheetPr>
  <dimension ref="A1:U122"/>
  <sheetViews>
    <sheetView showGridLines="0" zoomScaleNormal="100" workbookViewId="0">
      <pane ySplit="1" topLeftCell="A2" activePane="bottomLeft" state="frozen"/>
      <selection activeCell="F36" sqref="F36"/>
      <selection pane="bottomLeft"/>
    </sheetView>
  </sheetViews>
  <sheetFormatPr defaultColWidth="0" defaultRowHeight="12.5" zeroHeight="1"/>
  <cols>
    <col min="1" max="1" width="5" style="153" customWidth="1"/>
    <col min="2" max="2" width="10.54296875" style="153" customWidth="1"/>
    <col min="3" max="3" width="36.1796875" style="153" customWidth="1"/>
    <col min="4" max="4" width="10.54296875" style="153" customWidth="1"/>
    <col min="5" max="5" width="10.453125" style="153" customWidth="1"/>
    <col min="6" max="6" width="23" style="183" customWidth="1"/>
    <col min="7" max="7" width="4.54296875" style="183" customWidth="1"/>
    <col min="8" max="8" width="7.453125" style="183" customWidth="1"/>
    <col min="9" max="9" width="31.54296875" style="183" customWidth="1"/>
    <col min="10" max="10" width="11.453125" style="183" customWidth="1"/>
    <col min="11" max="11" width="12.453125" style="183" customWidth="1"/>
    <col min="12" max="12" width="45.81640625" style="183" customWidth="1"/>
    <col min="13" max="14" width="9.54296875" style="183" customWidth="1"/>
    <col min="15" max="15" width="2.453125" style="183" customWidth="1"/>
    <col min="16" max="16" width="6" style="183" customWidth="1"/>
    <col min="17" max="17" width="10.54296875" style="153" customWidth="1"/>
    <col min="18" max="18" width="3.54296875" style="153" customWidth="1"/>
    <col min="19" max="20" width="6" style="183" customWidth="1"/>
    <col min="21" max="21" width="0" hidden="1" customWidth="1"/>
    <col min="22" max="16384" width="0" style="183" hidden="1"/>
  </cols>
  <sheetData>
    <row r="1" spans="1:20" ht="20">
      <c r="A1" s="97" t="str">
        <f>"Balansräkning "&amp;År&amp;", 1 000 tal kr"</f>
        <v>Balansräkning 2025, 1 000 tal kr</v>
      </c>
      <c r="B1" s="98"/>
      <c r="C1" s="98"/>
      <c r="D1" s="99"/>
      <c r="E1" s="617">
        <f>Information!B3</f>
        <v>0</v>
      </c>
      <c r="F1" s="618">
        <f>Information!B2</f>
        <v>0</v>
      </c>
      <c r="G1" s="618"/>
      <c r="H1" s="618"/>
      <c r="I1" s="618"/>
      <c r="J1" s="182"/>
      <c r="K1" s="182"/>
      <c r="L1" s="182"/>
      <c r="M1" s="182"/>
      <c r="N1" s="182"/>
      <c r="O1" s="209"/>
      <c r="P1" s="209"/>
      <c r="Q1" s="1830"/>
      <c r="R1" s="1830"/>
      <c r="S1" s="209"/>
      <c r="T1" s="182"/>
    </row>
    <row r="2" spans="1:20" ht="12.75" customHeight="1">
      <c r="A2" s="1454"/>
      <c r="E2" s="156" t="s">
        <v>1039</v>
      </c>
      <c r="I2" s="5"/>
      <c r="J2" s="419"/>
      <c r="K2" s="86" t="s">
        <v>985</v>
      </c>
      <c r="M2" s="46"/>
      <c r="N2" s="5"/>
      <c r="P2" s="185"/>
    </row>
    <row r="3" spans="1:20" ht="12.75" customHeight="1" thickBot="1">
      <c r="D3" s="1668"/>
      <c r="E3" s="156" t="s">
        <v>1062</v>
      </c>
      <c r="I3" s="220"/>
      <c r="J3" s="5"/>
      <c r="K3" s="5"/>
      <c r="L3" s="5"/>
      <c r="M3" s="5"/>
      <c r="N3" s="5"/>
      <c r="P3" s="185"/>
    </row>
    <row r="4" spans="1:20" s="197" customFormat="1" ht="13">
      <c r="A4" s="777" t="s">
        <v>872</v>
      </c>
      <c r="B4" s="2704" t="str">
        <f>"BAS "&amp;År-2000&amp;""</f>
        <v>BAS 25</v>
      </c>
      <c r="C4" s="778" t="s">
        <v>970</v>
      </c>
      <c r="D4" s="796" t="s">
        <v>865</v>
      </c>
      <c r="E4" s="797" t="s">
        <v>968</v>
      </c>
      <c r="H4" s="196"/>
      <c r="I4" s="196"/>
      <c r="J4" s="196"/>
      <c r="K4" s="196"/>
      <c r="L4" s="196"/>
      <c r="M4" s="2865" t="s">
        <v>509</v>
      </c>
      <c r="N4" s="2880"/>
      <c r="O4" s="1621"/>
      <c r="P4" s="1533"/>
      <c r="Q4" s="1831"/>
      <c r="R4" s="1620"/>
      <c r="S4" s="1534"/>
      <c r="T4" s="1534"/>
    </row>
    <row r="5" spans="1:20" s="197" customFormat="1" ht="32.25" customHeight="1">
      <c r="A5" s="1829" t="s">
        <v>866</v>
      </c>
      <c r="B5" s="2896"/>
      <c r="C5" s="780"/>
      <c r="D5" s="798"/>
      <c r="E5" s="799"/>
      <c r="F5" s="196"/>
      <c r="G5" s="196"/>
      <c r="H5" s="196"/>
      <c r="I5" s="196"/>
      <c r="J5" s="196"/>
      <c r="K5" s="196"/>
      <c r="L5" s="196"/>
      <c r="M5" s="807" t="s">
        <v>865</v>
      </c>
      <c r="N5" s="808" t="s">
        <v>968</v>
      </c>
      <c r="O5" s="1621"/>
      <c r="P5" s="1533"/>
      <c r="Q5" s="1534"/>
      <c r="R5" s="1534"/>
      <c r="S5" s="2894"/>
      <c r="T5" s="2892"/>
    </row>
    <row r="6" spans="1:20" ht="14">
      <c r="A6" s="781"/>
      <c r="B6" s="2897"/>
      <c r="C6" s="782"/>
      <c r="D6" s="800"/>
      <c r="E6" s="801"/>
      <c r="F6" s="5"/>
      <c r="G6" s="5"/>
      <c r="H6" s="5"/>
      <c r="I6" s="5"/>
      <c r="J6" s="5"/>
      <c r="K6" s="5"/>
      <c r="L6" s="5"/>
      <c r="M6" s="809"/>
      <c r="N6" s="810"/>
      <c r="O6" s="1622"/>
      <c r="P6" s="1533"/>
      <c r="Q6" s="1629"/>
      <c r="R6" s="1629"/>
      <c r="S6" s="2894"/>
      <c r="T6" s="2893"/>
    </row>
    <row r="7" spans="1:20" ht="14">
      <c r="A7" s="783"/>
      <c r="B7" s="784"/>
      <c r="C7" s="785" t="s">
        <v>873</v>
      </c>
      <c r="D7" s="802"/>
      <c r="E7" s="803"/>
      <c r="F7" s="74"/>
      <c r="G7" s="5"/>
      <c r="H7" s="5"/>
      <c r="I7" s="5"/>
      <c r="J7" s="5"/>
      <c r="K7" s="5"/>
      <c r="L7" s="5"/>
      <c r="M7" s="811"/>
      <c r="N7" s="812"/>
      <c r="O7" s="79"/>
      <c r="P7" s="263"/>
      <c r="Q7" s="1832"/>
      <c r="R7" s="263"/>
    </row>
    <row r="8" spans="1:20" ht="7.5" customHeight="1">
      <c r="A8" s="783"/>
      <c r="B8" s="784"/>
      <c r="C8" s="786"/>
      <c r="D8" s="804"/>
      <c r="E8" s="805"/>
      <c r="F8" s="74"/>
      <c r="G8" s="5"/>
      <c r="H8" s="5"/>
      <c r="I8" s="5"/>
      <c r="J8" s="5"/>
      <c r="K8" s="5"/>
      <c r="L8" s="5"/>
      <c r="M8" s="811"/>
      <c r="N8" s="812"/>
      <c r="O8" s="79"/>
      <c r="P8" s="263"/>
      <c r="Q8" s="1832"/>
      <c r="R8" s="263"/>
    </row>
    <row r="9" spans="1:20" ht="14.9" customHeight="1">
      <c r="A9" s="2548" t="s">
        <v>302</v>
      </c>
      <c r="B9" s="787">
        <v>10</v>
      </c>
      <c r="C9" s="788" t="s">
        <v>874</v>
      </c>
      <c r="D9" s="201"/>
      <c r="E9" s="545"/>
      <c r="F9" s="193" t="str">
        <f>IF(OR(D9="",E9=""),"Skriv belopp eller 0","")</f>
        <v>Skriv belopp eller 0</v>
      </c>
      <c r="G9" s="5"/>
      <c r="H9" s="5"/>
      <c r="I9" s="5"/>
      <c r="J9" s="5"/>
      <c r="K9" s="5"/>
      <c r="L9" s="5"/>
      <c r="M9" s="813"/>
      <c r="N9" s="814"/>
      <c r="O9" s="1584"/>
      <c r="P9" s="1630"/>
      <c r="Q9" s="1833"/>
      <c r="R9" s="1834"/>
    </row>
    <row r="10" spans="1:20" ht="14.9" customHeight="1">
      <c r="A10" s="2548" t="s">
        <v>303</v>
      </c>
      <c r="B10" s="2549">
        <v>11</v>
      </c>
      <c r="C10" s="682" t="s">
        <v>875</v>
      </c>
      <c r="D10" s="201"/>
      <c r="E10" s="806"/>
      <c r="F10" s="74"/>
      <c r="G10" s="5"/>
      <c r="H10" s="5"/>
      <c r="I10" s="5"/>
      <c r="J10" s="5"/>
      <c r="K10" s="5"/>
      <c r="L10" s="5"/>
      <c r="M10" s="815"/>
      <c r="N10" s="816"/>
      <c r="O10" s="1584"/>
      <c r="P10" s="1630"/>
      <c r="Q10" s="1630"/>
      <c r="R10" s="1630"/>
    </row>
    <row r="11" spans="1:20" ht="14.9" customHeight="1">
      <c r="A11" s="2548" t="s">
        <v>304</v>
      </c>
      <c r="B11" s="2549">
        <v>12</v>
      </c>
      <c r="C11" s="682" t="s">
        <v>876</v>
      </c>
      <c r="D11" s="201"/>
      <c r="E11" s="806"/>
      <c r="F11" s="74"/>
      <c r="G11" s="83" t="s">
        <v>510</v>
      </c>
      <c r="H11" s="5"/>
      <c r="I11" s="5"/>
      <c r="J11" s="5"/>
      <c r="K11" s="5"/>
      <c r="L11" s="5"/>
      <c r="M11" s="815"/>
      <c r="N11" s="816"/>
      <c r="O11" s="1584"/>
      <c r="P11" s="1630"/>
      <c r="Q11" s="1630"/>
      <c r="R11" s="1630"/>
    </row>
    <row r="12" spans="1:20" ht="14.9" customHeight="1">
      <c r="A12" s="2548" t="s">
        <v>295</v>
      </c>
      <c r="B12" s="2550">
        <v>11.12</v>
      </c>
      <c r="C12" s="904" t="s">
        <v>1678</v>
      </c>
      <c r="D12" s="412">
        <f>SUM(D10:D11)</f>
        <v>0</v>
      </c>
      <c r="E12" s="202"/>
      <c r="F12" s="193" t="str">
        <f>IF(D12&gt;E12,"konc. &lt; kom.",IF(OR(D12=0,E12=0),"Belopp saknas",""))</f>
        <v>Belopp saknas</v>
      </c>
      <c r="G12" s="1791" t="s">
        <v>644</v>
      </c>
      <c r="H12" s="2517" t="str">
        <f>"BAS "&amp;År-2000&amp;""</f>
        <v>BAS 25</v>
      </c>
      <c r="I12" s="1789"/>
      <c r="J12" s="1790"/>
      <c r="K12" s="185"/>
      <c r="L12" s="5"/>
      <c r="M12" s="748" t="e">
        <f>(D9+D12)*1000/invanare</f>
        <v>#DIV/0!</v>
      </c>
      <c r="N12" s="749" t="e">
        <f>(E9+E12)*1000/invanare</f>
        <v>#DIV/0!</v>
      </c>
      <c r="O12" s="1543"/>
      <c r="P12" s="1630"/>
      <c r="Q12" s="1834"/>
      <c r="R12" s="1834"/>
      <c r="S12" s="156"/>
      <c r="T12" s="156"/>
    </row>
    <row r="13" spans="1:20" ht="14.9" customHeight="1">
      <c r="A13" s="2548" t="s">
        <v>305</v>
      </c>
      <c r="B13" s="2551" t="s">
        <v>1076</v>
      </c>
      <c r="C13" s="736" t="s">
        <v>877</v>
      </c>
      <c r="D13" s="203"/>
      <c r="E13" s="806"/>
      <c r="F13" s="74"/>
      <c r="G13" s="823" t="s">
        <v>309</v>
      </c>
      <c r="H13" s="824" t="s">
        <v>643</v>
      </c>
      <c r="I13" s="825" t="s">
        <v>0</v>
      </c>
      <c r="J13" s="317"/>
      <c r="K13" s="2583"/>
      <c r="L13" s="5"/>
      <c r="M13" s="817"/>
      <c r="N13" s="818"/>
      <c r="O13" s="1543"/>
      <c r="P13" s="1630"/>
      <c r="Q13" s="1619"/>
      <c r="R13" s="1630"/>
      <c r="S13" s="360"/>
      <c r="T13" s="360"/>
    </row>
    <row r="14" spans="1:20" ht="14.9" customHeight="1">
      <c r="A14" s="2548" t="s">
        <v>306</v>
      </c>
      <c r="B14" s="2551" t="s">
        <v>1075</v>
      </c>
      <c r="C14" s="687" t="s">
        <v>9</v>
      </c>
      <c r="D14" s="203"/>
      <c r="E14" s="806"/>
      <c r="F14" s="74"/>
      <c r="G14" s="198"/>
      <c r="H14" s="5"/>
      <c r="I14" s="5"/>
      <c r="J14" s="151" t="str">
        <f>IF(AND(D13=0,J13=0),"",IF(SUM(J13)&gt;D13,"Däravrad 031 &gt; rad 036",IF(AND(D13&gt;10,J13=""),"Rad 031: skriv belopp eller 0","")))</f>
        <v/>
      </c>
      <c r="K14" s="151"/>
      <c r="L14" s="5"/>
      <c r="M14" s="817"/>
      <c r="N14" s="818"/>
      <c r="O14" s="1543"/>
      <c r="P14" s="1630"/>
      <c r="Q14" s="1619"/>
      <c r="R14" s="1630"/>
    </row>
    <row r="15" spans="1:20" ht="14.9" customHeight="1">
      <c r="A15" s="2548" t="s">
        <v>307</v>
      </c>
      <c r="B15" s="2552" t="s">
        <v>2</v>
      </c>
      <c r="C15" s="694" t="s">
        <v>878</v>
      </c>
      <c r="D15" s="201"/>
      <c r="E15" s="806"/>
      <c r="F15" s="74"/>
      <c r="G15" s="823" t="s">
        <v>310</v>
      </c>
      <c r="H15" s="824" t="s">
        <v>971</v>
      </c>
      <c r="I15" s="1556" t="s">
        <v>1</v>
      </c>
      <c r="J15" s="317"/>
      <c r="K15" s="2583"/>
      <c r="L15" s="5"/>
      <c r="M15" s="819"/>
      <c r="N15" s="820"/>
      <c r="O15" s="2469"/>
      <c r="P15" s="1630"/>
      <c r="Q15" s="1630"/>
      <c r="R15" s="1630"/>
      <c r="S15" s="360"/>
      <c r="T15" s="360"/>
    </row>
    <row r="16" spans="1:20" ht="14.9" customHeight="1">
      <c r="A16" s="2548" t="s">
        <v>308</v>
      </c>
      <c r="B16" s="2549" t="s">
        <v>1073</v>
      </c>
      <c r="C16" s="682" t="s">
        <v>1074</v>
      </c>
      <c r="D16" s="201"/>
      <c r="E16" s="806"/>
      <c r="F16" s="74"/>
      <c r="G16" s="198"/>
      <c r="H16" s="5"/>
      <c r="I16" s="5"/>
      <c r="J16" s="151" t="str">
        <f>IF(AND(D15=0,J15=0),"",IF(SUM(J15)&gt;D15,"Däravrad 034 &gt; rad 033",IF(AND(D15&gt;10,J15=""),"Rad 034: skriv belopp eller 0","")))</f>
        <v/>
      </c>
      <c r="K16" s="151"/>
      <c r="L16" s="5"/>
      <c r="M16" s="819"/>
      <c r="N16" s="820"/>
      <c r="O16" s="1543"/>
      <c r="P16" s="1630"/>
      <c r="Q16" s="1630"/>
      <c r="R16" s="1835"/>
    </row>
    <row r="17" spans="1:20" ht="14.9" customHeight="1">
      <c r="A17" s="2548" t="s">
        <v>311</v>
      </c>
      <c r="B17" s="2553" t="s">
        <v>5</v>
      </c>
      <c r="C17" s="703" t="s">
        <v>1679</v>
      </c>
      <c r="D17" s="412">
        <f>SUM(D13:D16)</f>
        <v>0</v>
      </c>
      <c r="E17" s="204"/>
      <c r="F17" s="193" t="str">
        <f>IF(OR(D17=0,E17=""),"Belopp saknas","")</f>
        <v>Belopp saknas</v>
      </c>
      <c r="G17" s="198"/>
      <c r="H17" s="5"/>
      <c r="I17" s="5"/>
      <c r="J17" s="5"/>
      <c r="K17" s="5"/>
      <c r="L17" s="5"/>
      <c r="M17" s="748" t="e">
        <f>D17*1000/invanare</f>
        <v>#DIV/0!</v>
      </c>
      <c r="N17" s="749" t="e">
        <f>E17*1000/invanare</f>
        <v>#DIV/0!</v>
      </c>
      <c r="O17" s="1543"/>
      <c r="P17" s="1630"/>
      <c r="Q17" s="1835"/>
      <c r="R17" s="1835"/>
    </row>
    <row r="18" spans="1:20" ht="14.9" customHeight="1" thickBot="1">
      <c r="A18" s="2554" t="s">
        <v>312</v>
      </c>
      <c r="B18" s="2555" t="s">
        <v>6</v>
      </c>
      <c r="C18" s="696" t="s">
        <v>879</v>
      </c>
      <c r="D18" s="413">
        <f>SUM(D9,D12,D17)</f>
        <v>0</v>
      </c>
      <c r="E18" s="414">
        <f>SUM(E9,E12,E17)</f>
        <v>0</v>
      </c>
      <c r="F18" s="74"/>
      <c r="G18" s="198"/>
      <c r="H18" s="5"/>
      <c r="I18" s="5"/>
      <c r="J18" s="5"/>
      <c r="K18" s="5"/>
      <c r="L18" s="5"/>
      <c r="M18" s="817"/>
      <c r="N18" s="818"/>
      <c r="O18" s="1543"/>
      <c r="P18" s="1630"/>
      <c r="Q18" s="1835"/>
      <c r="R18" s="1835"/>
    </row>
    <row r="19" spans="1:20" ht="14.9" customHeight="1" thickBot="1">
      <c r="A19" s="2556" t="s">
        <v>322</v>
      </c>
      <c r="B19" s="2703" t="s">
        <v>4</v>
      </c>
      <c r="C19" s="667" t="s">
        <v>1282</v>
      </c>
      <c r="D19" s="1635"/>
      <c r="E19" s="322"/>
      <c r="F19" s="193" t="str">
        <f>IF(D19&lt;0,"inga minusbelopp",IF(ABS(D19-E19)&gt;1,"koncernen och kommunens belopp borde vara lika",""))</f>
        <v/>
      </c>
      <c r="G19" s="5"/>
      <c r="H19" s="5"/>
      <c r="I19" s="5"/>
      <c r="J19" s="5"/>
      <c r="K19" s="5"/>
      <c r="L19" s="5"/>
      <c r="M19" s="748" t="e">
        <f>D19*1000/invanare</f>
        <v>#DIV/0!</v>
      </c>
      <c r="N19" s="755" t="e">
        <f>E19*1000/invanare</f>
        <v>#DIV/0!</v>
      </c>
      <c r="O19" s="1543"/>
      <c r="P19" s="1630"/>
      <c r="Q19" s="1630"/>
      <c r="R19" s="1630"/>
    </row>
    <row r="20" spans="1:20" ht="14.9" customHeight="1">
      <c r="A20" s="2557"/>
      <c r="B20" s="2558"/>
      <c r="C20" s="792" t="s">
        <v>824</v>
      </c>
      <c r="D20" s="833"/>
      <c r="E20" s="834"/>
      <c r="F20" s="74"/>
      <c r="G20" s="1719" t="s">
        <v>1177</v>
      </c>
      <c r="H20" s="1720" t="s">
        <v>1169</v>
      </c>
      <c r="I20" s="1556" t="s">
        <v>1682</v>
      </c>
      <c r="J20" s="2595"/>
      <c r="K20" s="2593"/>
      <c r="L20" s="5"/>
      <c r="M20" s="821"/>
      <c r="N20" s="822"/>
      <c r="O20" s="1623"/>
      <c r="P20" s="360"/>
      <c r="Q20" s="360"/>
      <c r="R20" s="360"/>
      <c r="S20" s="360"/>
    </row>
    <row r="21" spans="1:20" ht="14.9" customHeight="1">
      <c r="A21" s="2548" t="s">
        <v>297</v>
      </c>
      <c r="B21" s="787">
        <v>14</v>
      </c>
      <c r="C21" s="703" t="s">
        <v>1680</v>
      </c>
      <c r="D21" s="69"/>
      <c r="E21" s="205"/>
      <c r="F21" s="252" t="str">
        <f>IF(D21&gt;E21,"konc. &lt; kom.",IF(OR(D21="",E21=""),"Belopp saknas",IF(OR(D21&lt;-100,E21&lt;-100),"Kommentera varför minuspost","")))</f>
        <v>Belopp saknas</v>
      </c>
      <c r="G21" s="1774"/>
      <c r="H21" s="1775"/>
      <c r="I21" s="1776"/>
      <c r="J21" s="151" t="str">
        <f>IF(AND(D21=0,J20=0),"",IF(SUM(J20)&gt;D21,"Däravrad 042 &gt; rad040",IF(AND(D21&gt;10,J20=""),"Rad 042: skriv belopp eller 0","")))</f>
        <v/>
      </c>
      <c r="K21" s="151"/>
      <c r="L21" s="200"/>
      <c r="M21" s="821"/>
      <c r="N21" s="822"/>
      <c r="O21" s="1623"/>
      <c r="P21" s="1630"/>
      <c r="Q21" s="1834"/>
      <c r="R21" s="1834"/>
    </row>
    <row r="22" spans="1:20" ht="14.9" customHeight="1">
      <c r="A22" s="2548" t="s">
        <v>313</v>
      </c>
      <c r="B22" s="2549" t="s">
        <v>880</v>
      </c>
      <c r="C22" s="682" t="s">
        <v>881</v>
      </c>
      <c r="D22" s="56"/>
      <c r="E22" s="806"/>
      <c r="F22" s="1501"/>
      <c r="G22" s="2588" t="s">
        <v>314</v>
      </c>
      <c r="H22" s="2589" t="s">
        <v>995</v>
      </c>
      <c r="I22" s="2590" t="s">
        <v>1</v>
      </c>
      <c r="J22" s="2594"/>
      <c r="K22" s="151"/>
      <c r="L22" s="5"/>
      <c r="M22" s="821"/>
      <c r="N22" s="822"/>
      <c r="O22" s="1623"/>
      <c r="P22" s="1630"/>
      <c r="Q22" s="1630"/>
      <c r="R22" s="1630"/>
      <c r="S22" s="360"/>
      <c r="T22" s="360"/>
    </row>
    <row r="23" spans="1:20" ht="14.9" customHeight="1">
      <c r="A23" s="2548" t="s">
        <v>298</v>
      </c>
      <c r="B23" s="2549" t="s">
        <v>882</v>
      </c>
      <c r="C23" s="682" t="s">
        <v>883</v>
      </c>
      <c r="D23" s="56"/>
      <c r="E23" s="806"/>
      <c r="F23" s="1502"/>
      <c r="G23" s="1774"/>
      <c r="H23" s="1774"/>
      <c r="I23" s="2592"/>
      <c r="J23" s="151" t="str">
        <f>IF(AND(D22=0,J22=0),"",IF(SUM(J22)&gt;D22,"Däravrad 046 &gt; rad 045",IF(AND(D22&gt;10,J22=""),"Rad 046: skriv belopp eller 0","")))</f>
        <v/>
      </c>
      <c r="K23" s="151"/>
      <c r="L23" s="5"/>
      <c r="M23" s="821"/>
      <c r="N23" s="822"/>
      <c r="O23" s="1623"/>
      <c r="P23" s="1630"/>
      <c r="Q23" s="1630"/>
      <c r="R23" s="1630"/>
    </row>
    <row r="24" spans="1:20" ht="14.9" customHeight="1">
      <c r="A24" s="2548" t="s">
        <v>316</v>
      </c>
      <c r="B24" s="2549" t="s">
        <v>190</v>
      </c>
      <c r="C24" s="682" t="s">
        <v>1681</v>
      </c>
      <c r="D24" s="201"/>
      <c r="E24" s="806"/>
      <c r="F24" s="1502"/>
      <c r="G24" s="2591" t="s">
        <v>315</v>
      </c>
      <c r="H24" s="791" t="s">
        <v>884</v>
      </c>
      <c r="I24" s="867" t="s">
        <v>1623</v>
      </c>
      <c r="J24" s="1850"/>
      <c r="K24" s="151"/>
      <c r="M24" s="2596"/>
      <c r="N24" s="2597"/>
      <c r="O24" s="5"/>
      <c r="P24" s="1630"/>
      <c r="Q24" s="1630"/>
      <c r="R24" s="1630"/>
      <c r="S24" s="360"/>
      <c r="T24" s="360"/>
    </row>
    <row r="25" spans="1:20" ht="14.9" customHeight="1">
      <c r="A25" s="2548" t="s">
        <v>324</v>
      </c>
      <c r="B25" s="2549" t="s">
        <v>220</v>
      </c>
      <c r="C25" s="682" t="s">
        <v>536</v>
      </c>
      <c r="D25" s="201"/>
      <c r="E25" s="806"/>
      <c r="F25" s="1502"/>
      <c r="G25" s="831" t="s">
        <v>323</v>
      </c>
      <c r="H25" s="2448" t="s">
        <v>1482</v>
      </c>
      <c r="I25" s="832" t="s">
        <v>1</v>
      </c>
      <c r="J25" s="1850"/>
      <c r="L25" s="5"/>
      <c r="M25" s="821"/>
      <c r="N25" s="822"/>
      <c r="O25" s="1623"/>
      <c r="P25" s="1630"/>
      <c r="Q25" s="1630"/>
      <c r="R25" s="1630"/>
      <c r="S25" s="360"/>
      <c r="T25" s="360"/>
    </row>
    <row r="26" spans="1:20" ht="14.9" customHeight="1">
      <c r="A26" s="2548" t="s">
        <v>1347</v>
      </c>
      <c r="B26" s="787" t="s">
        <v>1348</v>
      </c>
      <c r="C26" s="703" t="s">
        <v>1349</v>
      </c>
      <c r="D26" s="412">
        <f>SUM(D22:D25)</f>
        <v>0</v>
      </c>
      <c r="E26" s="2390"/>
      <c r="F26" s="252" t="str">
        <f>IF(OR(D26=0,E26=""),"Belopp saknas","")</f>
        <v>Belopp saknas</v>
      </c>
      <c r="G26" s="1630"/>
      <c r="H26" s="1630"/>
      <c r="I26" s="1533"/>
      <c r="J26" s="2257" t="str">
        <f>IF(AND(D23=0,SUM(J24+J25)=0),"",IF(SUM(J24:J25)&gt;D23,"Däravr.051+ 052&gt;rad 050",IF(AND(D23&gt;10,J24=""),"Rad 051: skriv belopp eller 0",IF(AND(D23&gt;10,J25=""),"Rad 052: skriv belopp eller 0 ",""))))</f>
        <v/>
      </c>
      <c r="K26" s="151"/>
      <c r="L26" s="5"/>
      <c r="M26" s="821"/>
      <c r="N26" s="822"/>
      <c r="O26" s="1623"/>
      <c r="P26" s="1630"/>
      <c r="Q26" s="1630"/>
      <c r="R26" s="1630"/>
      <c r="S26" s="360"/>
      <c r="T26" s="360"/>
    </row>
    <row r="27" spans="1:20" ht="14.9" customHeight="1">
      <c r="A27" s="2548" t="s">
        <v>317</v>
      </c>
      <c r="B27" s="2551" t="s">
        <v>885</v>
      </c>
      <c r="C27" s="687" t="s">
        <v>1641</v>
      </c>
      <c r="D27" s="201"/>
      <c r="E27" s="806"/>
      <c r="F27" s="1502"/>
      <c r="G27" s="2491"/>
      <c r="H27" s="1848"/>
      <c r="I27" s="156"/>
      <c r="J27" s="151"/>
      <c r="K27" s="1771"/>
      <c r="L27" s="5"/>
      <c r="M27" s="821"/>
      <c r="N27" s="822"/>
      <c r="O27" s="1623"/>
      <c r="P27" s="1630"/>
      <c r="Q27" s="1619"/>
      <c r="R27" s="1630"/>
      <c r="S27" s="360"/>
      <c r="T27" s="360"/>
    </row>
    <row r="28" spans="1:20" ht="14.9" customHeight="1">
      <c r="A28" s="2548" t="s">
        <v>318</v>
      </c>
      <c r="B28" s="2551" t="s">
        <v>886</v>
      </c>
      <c r="C28" s="687" t="s">
        <v>1648</v>
      </c>
      <c r="D28" s="201"/>
      <c r="E28" s="806"/>
      <c r="F28" s="1502"/>
      <c r="G28" s="1848"/>
      <c r="H28" s="1848"/>
      <c r="I28" s="156"/>
      <c r="K28" s="151"/>
      <c r="L28" s="5"/>
      <c r="M28" s="821"/>
      <c r="N28" s="822"/>
      <c r="O28" s="1623"/>
      <c r="P28" s="1630"/>
      <c r="Q28" s="1619"/>
      <c r="R28" s="1630"/>
    </row>
    <row r="29" spans="1:20" ht="14.9" customHeight="1">
      <c r="A29" s="2548" t="s">
        <v>319</v>
      </c>
      <c r="B29" s="2551" t="s">
        <v>887</v>
      </c>
      <c r="C29" s="687" t="s">
        <v>888</v>
      </c>
      <c r="D29" s="201"/>
      <c r="E29" s="806"/>
      <c r="F29" s="1502"/>
      <c r="G29" s="2491"/>
      <c r="H29" s="1848"/>
      <c r="I29" s="156"/>
      <c r="J29" s="151"/>
      <c r="K29" s="5"/>
      <c r="L29" s="5"/>
      <c r="M29" s="821"/>
      <c r="N29" s="822"/>
      <c r="O29" s="1623"/>
      <c r="P29" s="1630"/>
      <c r="Q29" s="1619"/>
      <c r="R29" s="1630"/>
    </row>
    <row r="30" spans="1:20" ht="14.9" customHeight="1">
      <c r="A30" s="710" t="s">
        <v>1843</v>
      </c>
      <c r="B30" s="2549">
        <v>189</v>
      </c>
      <c r="C30" s="682" t="s">
        <v>1842</v>
      </c>
      <c r="D30" s="201"/>
      <c r="E30" s="2761"/>
      <c r="F30" s="1502"/>
      <c r="G30" s="2491"/>
      <c r="H30" s="1848"/>
      <c r="I30" s="156"/>
      <c r="J30" s="151"/>
      <c r="K30" s="5"/>
      <c r="L30" s="5"/>
      <c r="M30" s="821"/>
      <c r="N30" s="822"/>
      <c r="O30" s="1623"/>
      <c r="P30" s="1630"/>
      <c r="Q30" s="1619"/>
      <c r="R30" s="1630"/>
    </row>
    <row r="31" spans="1:20" ht="14.9" customHeight="1">
      <c r="A31" s="2548" t="s">
        <v>299</v>
      </c>
      <c r="B31" s="787" t="s">
        <v>1350</v>
      </c>
      <c r="C31" s="703" t="s">
        <v>1499</v>
      </c>
      <c r="D31" s="412">
        <f>SUM(D27:D30)</f>
        <v>0</v>
      </c>
      <c r="E31" s="205"/>
      <c r="F31" s="252" t="str">
        <f>IF(OR(D27="",D28="",D29="",D30=""),"Skriv belopp eller 0 på raderna 053-057 för kommunen",IF(E31="","Skriv belopp eller 0 för koncernen",""))</f>
        <v>Skriv belopp eller 0 på raderna 053-057 för kommunen</v>
      </c>
      <c r="G31" s="1848"/>
      <c r="H31" s="1848"/>
      <c r="I31" s="156"/>
      <c r="J31" s="1630"/>
      <c r="K31" s="5"/>
      <c r="L31" s="5"/>
      <c r="M31" s="821"/>
      <c r="N31" s="822"/>
      <c r="O31" s="1623"/>
      <c r="P31" s="1630"/>
      <c r="Q31" s="1834"/>
      <c r="R31" s="1834"/>
    </row>
    <row r="32" spans="1:20" ht="14.9" customHeight="1">
      <c r="A32" s="2548" t="s">
        <v>320</v>
      </c>
      <c r="B32" s="787">
        <v>19</v>
      </c>
      <c r="C32" s="703" t="s">
        <v>1500</v>
      </c>
      <c r="D32" s="201"/>
      <c r="E32" s="205"/>
      <c r="F32" s="252" t="str">
        <f>IF(D32&gt;E32,"konc. &lt; kom.",IF(OR(D32&lt;0,E32&lt;0),"Varför minusbelopp?",IF(OR(D32=0,E32=0),"Belopp saknas","")))</f>
        <v>Belopp saknas</v>
      </c>
      <c r="G32" s="1848"/>
      <c r="H32" s="1848"/>
      <c r="I32" s="156"/>
      <c r="K32" s="5"/>
      <c r="L32" s="5"/>
      <c r="M32" s="821"/>
      <c r="N32" s="822"/>
      <c r="O32" s="1623"/>
      <c r="P32" s="1630"/>
      <c r="Q32" s="1834"/>
      <c r="R32" s="1834"/>
    </row>
    <row r="33" spans="1:19" ht="14.9" customHeight="1" thickBot="1">
      <c r="A33" s="2559" t="s">
        <v>321</v>
      </c>
      <c r="B33" s="793" t="s">
        <v>889</v>
      </c>
      <c r="C33" s="667" t="s">
        <v>1683</v>
      </c>
      <c r="D33" s="415">
        <f>SUM(D21,D26,D31,D32)</f>
        <v>0</v>
      </c>
      <c r="E33" s="416">
        <f>SUM(E21,E26,E31,E32)</f>
        <v>0</v>
      </c>
      <c r="F33" s="1502"/>
      <c r="G33" s="185"/>
      <c r="H33" s="185"/>
      <c r="I33" s="185"/>
      <c r="J33" s="185"/>
      <c r="K33" s="5"/>
      <c r="L33" s="5"/>
      <c r="M33" s="751" t="e">
        <f>D33*1000/invanare</f>
        <v>#DIV/0!</v>
      </c>
      <c r="N33" s="758" t="e">
        <f>E33*1000/invanare</f>
        <v>#DIV/0!</v>
      </c>
      <c r="O33" s="1543"/>
      <c r="P33" s="1630"/>
      <c r="Q33" s="1834"/>
      <c r="R33" s="1834"/>
    </row>
    <row r="34" spans="1:19" ht="14.9" customHeight="1" thickBot="1">
      <c r="A34" s="2560" t="s">
        <v>300</v>
      </c>
      <c r="B34" s="794" t="s">
        <v>890</v>
      </c>
      <c r="C34" s="795" t="s">
        <v>891</v>
      </c>
      <c r="D34" s="418">
        <f>SUM(D18,D19,D33)</f>
        <v>0</v>
      </c>
      <c r="E34" s="417">
        <f>SUM(E18,E19,E33)</f>
        <v>0</v>
      </c>
      <c r="F34" s="1502"/>
      <c r="G34" s="185"/>
      <c r="H34" s="185"/>
      <c r="I34" s="185"/>
      <c r="J34" s="185"/>
      <c r="K34" s="5"/>
      <c r="L34" s="5"/>
      <c r="M34" s="5"/>
      <c r="N34" s="5"/>
      <c r="P34" s="1630"/>
      <c r="Q34" s="1834"/>
      <c r="R34" s="1834"/>
    </row>
    <row r="35" spans="1:19" customFormat="1" ht="14.9" customHeight="1"/>
    <row r="36" spans="1:19" customFormat="1" ht="14.9" customHeight="1"/>
    <row r="37" spans="1:19" customFormat="1" ht="14.9" customHeight="1"/>
    <row r="38" spans="1:19" customFormat="1" ht="14.9" customHeight="1"/>
    <row r="39" spans="1:19" customFormat="1" ht="14.9" customHeight="1"/>
    <row r="40" spans="1:19" ht="14.9" customHeight="1" thickBot="1">
      <c r="A40" s="1630"/>
      <c r="B40" s="1834"/>
      <c r="C40" s="17"/>
      <c r="D40" s="1584"/>
      <c r="E40" s="1584"/>
      <c r="F40" s="1502"/>
      <c r="G40" s="185"/>
      <c r="H40" s="185"/>
      <c r="I40" s="185"/>
      <c r="J40" s="185"/>
      <c r="K40" s="5"/>
      <c r="L40" s="5"/>
      <c r="M40" s="5"/>
      <c r="N40" s="5"/>
      <c r="P40" s="1630"/>
      <c r="Q40" s="1834"/>
      <c r="R40" s="1834"/>
    </row>
    <row r="41" spans="1:19" ht="22.5" customHeight="1" thickBot="1">
      <c r="A41" s="2754" t="s">
        <v>1789</v>
      </c>
      <c r="B41" s="2755" t="str">
        <f>"BAS "&amp;År-2000&amp;""</f>
        <v>BAS 25</v>
      </c>
      <c r="C41" s="2756" t="s">
        <v>371</v>
      </c>
      <c r="D41" s="2757" t="s">
        <v>865</v>
      </c>
      <c r="E41" s="2758" t="s">
        <v>968</v>
      </c>
      <c r="F41" s="1502"/>
      <c r="G41" s="185"/>
      <c r="H41" s="185"/>
      <c r="I41" s="185"/>
      <c r="J41" s="185"/>
      <c r="K41" s="5"/>
      <c r="L41" s="5"/>
      <c r="M41" s="5"/>
      <c r="N41" s="5"/>
      <c r="Q41" s="1629"/>
      <c r="R41" s="1533"/>
    </row>
    <row r="42" spans="1:19" ht="14.9" customHeight="1" thickBot="1">
      <c r="A42" s="704" t="s">
        <v>325</v>
      </c>
      <c r="B42" s="2753">
        <v>201</v>
      </c>
      <c r="C42" s="1643" t="s">
        <v>1845</v>
      </c>
      <c r="D42" s="2770"/>
      <c r="E42" s="2769"/>
      <c r="F42" s="1502"/>
      <c r="G42" s="185"/>
      <c r="H42" s="185"/>
      <c r="I42" s="185"/>
      <c r="J42" s="185"/>
      <c r="K42" s="5"/>
      <c r="L42" s="5"/>
      <c r="M42" s="5"/>
      <c r="N42" s="5"/>
      <c r="Q42" s="1629"/>
      <c r="R42" s="1533"/>
    </row>
    <row r="43" spans="1:19" ht="14.9" customHeight="1">
      <c r="A43" s="713" t="s">
        <v>1839</v>
      </c>
      <c r="B43" s="682"/>
      <c r="C43" s="682" t="s">
        <v>1844</v>
      </c>
      <c r="D43" s="56"/>
      <c r="E43" s="191"/>
      <c r="F43" s="2837" t="str">
        <f>IF(OR(D43="",E43=""),
"Skriv belopp eller 0",
_xlfn.TEXTJOIN(" ",TRUE,
IF(ABS(D43-E43)&gt;100,"Varför differens mellan kommun och koncern?",""),
IF(ABS(D43-O43)&gt;10,"Ni har justerat ert ingående värde av RER för kommunen, vad beror det på?",""),
IF(ABS(E43-P43)&gt;10,"Ni har justerat ert ingående värde av RER för koncernen, vad beror det på?","")
))</f>
        <v>Skriv belopp eller 0</v>
      </c>
      <c r="G43" s="185"/>
      <c r="H43" s="185"/>
      <c r="I43" s="185"/>
      <c r="J43" s="185"/>
      <c r="L43" s="5"/>
      <c r="M43" s="2881" t="s">
        <v>509</v>
      </c>
      <c r="N43" s="2882"/>
      <c r="O43" s="1624"/>
      <c r="P43" s="1533"/>
      <c r="Q43" s="1620"/>
      <c r="R43" s="1834"/>
      <c r="S43" s="1620"/>
    </row>
    <row r="44" spans="1:19" ht="14.9" customHeight="1">
      <c r="A44" s="713" t="s">
        <v>1840</v>
      </c>
      <c r="B44" s="682"/>
      <c r="C44" s="682" t="s">
        <v>1791</v>
      </c>
      <c r="D44" s="56"/>
      <c r="E44" s="191"/>
      <c r="F44" s="252" t="str">
        <f>IF(OR(D44="", E44=""),
    "Skriv belopp eller 0",
    _xlfn.TEXTJOIN(" ", TRUE,
        IF(ABS(D44 - E44) &gt; 100, "Varför differens mellan kommun och koncern?", ""),
        IF(ABS(D44 - O50) &gt; 10, "Ni har justerat ert ingående värde av RUR för kommunen, vad beror det på?", ""),
        IF(ABS(E44 - P50) &gt; 10, "Ni har justerat ert ingående värde av RUR för koncernen, vad beror det på?", "")
    )
)</f>
        <v>Skriv belopp eller 0</v>
      </c>
      <c r="G44" s="185"/>
      <c r="H44" s="185"/>
      <c r="I44" s="185"/>
      <c r="J44" s="185"/>
      <c r="K44" s="5"/>
      <c r="L44" s="5"/>
      <c r="M44" s="848" t="s">
        <v>865</v>
      </c>
      <c r="N44" s="849" t="s">
        <v>968</v>
      </c>
      <c r="O44" s="1625"/>
      <c r="P44" s="1533"/>
      <c r="Q44" s="1620"/>
      <c r="R44" s="1834"/>
      <c r="S44" s="1836"/>
    </row>
    <row r="45" spans="1:19" ht="14.9" customHeight="1">
      <c r="A45" s="710" t="s">
        <v>1556</v>
      </c>
      <c r="B45" s="789" t="s">
        <v>1489</v>
      </c>
      <c r="C45" s="682" t="s">
        <v>1685</v>
      </c>
      <c r="D45" s="56"/>
      <c r="E45" s="191"/>
      <c r="F45" s="1503" t="str">
        <f>IF(OR(D45&lt;-1000,E45&lt;-1000),"Kommentera i kommentarrutan nedan vad justering av IB Eget kapital avser",IF(OR(D45&gt;1000,E45&gt;1000),"Kommentera i kommentarrutan nedan vad justering av IB Eget kapital avser",""))</f>
        <v/>
      </c>
      <c r="G45" s="185"/>
      <c r="H45" s="185"/>
      <c r="I45" s="185"/>
      <c r="J45" s="185"/>
      <c r="K45" s="5"/>
      <c r="L45" s="5"/>
      <c r="M45" s="850"/>
      <c r="N45" s="851"/>
      <c r="O45" s="1584"/>
      <c r="P45" s="1630"/>
      <c r="Q45" s="1630"/>
      <c r="R45" s="1630"/>
      <c r="S45" s="1818"/>
    </row>
    <row r="46" spans="1:19" ht="14.9" customHeight="1">
      <c r="A46" s="710" t="s">
        <v>326</v>
      </c>
      <c r="B46" s="789">
        <v>202</v>
      </c>
      <c r="C46" s="682" t="s">
        <v>871</v>
      </c>
      <c r="D46" s="105">
        <f>RR!C18</f>
        <v>0</v>
      </c>
      <c r="E46" s="1453">
        <f>RR!D18</f>
        <v>0</v>
      </c>
      <c r="F46" s="1503"/>
      <c r="G46" s="185"/>
      <c r="H46" s="185"/>
      <c r="I46" s="185"/>
      <c r="J46" s="185"/>
      <c r="K46" s="5"/>
      <c r="L46" s="5"/>
      <c r="M46" s="850"/>
      <c r="N46" s="851"/>
      <c r="O46" s="1584"/>
      <c r="P46" s="1630"/>
      <c r="Q46" s="1630"/>
      <c r="R46" s="1630"/>
      <c r="S46" s="2470"/>
    </row>
    <row r="47" spans="1:19" ht="14.9" customHeight="1">
      <c r="A47" s="710" t="s">
        <v>1060</v>
      </c>
      <c r="B47" s="789"/>
      <c r="C47" s="687" t="s">
        <v>1854</v>
      </c>
      <c r="D47" s="56"/>
      <c r="E47" s="191"/>
      <c r="F47" s="1503" t="str">
        <f>IF(OR(D47&lt;-1000,E47&lt;-1000),"Kommentera i kommentarrutan nedan vad övrig justeringen i EK avser",IF(OR(D47&gt;1000,E47&gt;1000),"Kommentera i kommentarrutan nedan vad övrig justering i EK avser",""))</f>
        <v/>
      </c>
      <c r="G47" s="5"/>
      <c r="H47" s="5"/>
      <c r="I47" s="5"/>
      <c r="J47" s="5"/>
      <c r="K47" s="5"/>
      <c r="L47" s="5"/>
      <c r="M47" s="850"/>
      <c r="N47" s="851"/>
      <c r="O47" s="1584"/>
      <c r="P47" s="1630"/>
      <c r="Q47" s="1630"/>
      <c r="R47" s="1630"/>
    </row>
    <row r="48" spans="1:19" ht="14.9" customHeight="1">
      <c r="A48" s="712" t="s">
        <v>327</v>
      </c>
      <c r="B48" s="840" t="s">
        <v>1114</v>
      </c>
      <c r="C48" s="841" t="s">
        <v>1846</v>
      </c>
      <c r="D48" s="419">
        <f>SUM(D42,D45:D47)</f>
        <v>0</v>
      </c>
      <c r="E48" s="416">
        <f>SUM(E42,E45:E47)</f>
        <v>0</v>
      </c>
      <c r="F48" s="252" t="str">
        <f>_xlfn.TEXTJOIN(" ", TRUE,
    IF(ABS(SUM(D34-D48-D55-D75))&gt;100, (ROUND((D34-D48-D55-D75), 0)) &amp; " tkr differens mellan kommunens UB EK här och summan tillgångar - summa skulder och avsättningar - måste åtgärdas!", ""),
    IF(ABS(SUM(E34-E48-E55-E75))&gt;100, (ROUND((E34-E48-E55-E75), 1)) &amp; " tkr differens mellan koncernens UB EK här och summan tillgångar - summa skulder och avsättningar - måste åtgärdas!", "")
)</f>
        <v/>
      </c>
      <c r="G48" s="5"/>
      <c r="H48" s="5"/>
      <c r="I48" s="5"/>
      <c r="J48" s="5"/>
      <c r="K48" s="5"/>
      <c r="L48" s="5"/>
      <c r="M48" s="852" t="e">
        <f>D48*1000/invanare</f>
        <v>#DIV/0!</v>
      </c>
      <c r="N48" s="749" t="e">
        <f>E48*1000/invanare</f>
        <v>#DIV/0!</v>
      </c>
      <c r="O48" s="1584"/>
      <c r="P48" s="1630"/>
      <c r="Q48" s="1630"/>
      <c r="R48" s="1630"/>
    </row>
    <row r="49" spans="1:20" ht="17.25" customHeight="1">
      <c r="A49" s="713" t="s">
        <v>1838</v>
      </c>
      <c r="B49" s="682"/>
      <c r="C49" s="682" t="s">
        <v>1790</v>
      </c>
      <c r="D49" s="419">
        <f>IF(J49="Ja", 0, D43 + RR!C37 - RR!C38)</f>
        <v>0</v>
      </c>
      <c r="E49" s="191"/>
      <c r="F49" s="252" t="str">
        <f>IF(E49 = "",
      "Skriv 0 i kol.E om RER inte finns",
         IF(ABS(D49 - E49) &gt; 100,
             "Varför differens mellan kommun och koncernen?","")
)</f>
        <v>Skriv 0 i kol.E om RER inte finns</v>
      </c>
      <c r="G49" s="2835" t="s">
        <v>1889</v>
      </c>
      <c r="H49" s="2828"/>
      <c r="I49" s="2829" t="s">
        <v>1886</v>
      </c>
      <c r="J49" s="2830" t="s">
        <v>1884</v>
      </c>
      <c r="K49" s="5"/>
      <c r="L49" s="5"/>
      <c r="M49" s="853"/>
      <c r="N49" s="854"/>
      <c r="O49" s="1584"/>
      <c r="P49" s="1630"/>
      <c r="Q49" s="1834"/>
      <c r="R49" s="1630"/>
    </row>
    <row r="50" spans="1:20" ht="15" customHeight="1" thickBot="1">
      <c r="A50" s="713" t="s">
        <v>1059</v>
      </c>
      <c r="B50" s="2624"/>
      <c r="C50" s="1192" t="s">
        <v>1791</v>
      </c>
      <c r="D50" s="2763">
        <f>IF(J50="Ja",0,D44 - RR!C39)</f>
        <v>0</v>
      </c>
      <c r="E50" s="191"/>
      <c r="F50" s="252" t="str">
        <f>IF(E50 = "",
      "Skriv 0 i kol.E om RUR inte finns",
         IF(ABS(D50 - E50) &gt; 100,
             "Varför differens mellan kommun och koncernen?","")
)</f>
        <v>Skriv 0 i kol.E om RUR inte finns</v>
      </c>
      <c r="G50" s="2835" t="s">
        <v>1890</v>
      </c>
      <c r="H50" s="2828"/>
      <c r="I50" s="2829" t="s">
        <v>1887</v>
      </c>
      <c r="J50" s="2830" t="s">
        <v>1884</v>
      </c>
      <c r="K50" s="2790"/>
      <c r="L50" s="5"/>
      <c r="M50" s="853"/>
      <c r="N50" s="854"/>
      <c r="O50" s="2469"/>
      <c r="P50" s="2787"/>
      <c r="Q50" s="1630"/>
      <c r="R50" s="1630"/>
    </row>
    <row r="51" spans="1:20" ht="18.75" customHeight="1">
      <c r="A51" s="734" t="s">
        <v>328</v>
      </c>
      <c r="B51" s="1729" t="s">
        <v>892</v>
      </c>
      <c r="C51" s="907" t="s">
        <v>1071</v>
      </c>
      <c r="D51" s="201"/>
      <c r="E51" s="2671"/>
      <c r="F51" s="252" t="str">
        <f>IF(D51=0,"Varför saknas avsättningar för pensioner?","")</f>
        <v>Varför saknas avsättningar för pensioner?</v>
      </c>
      <c r="G51" s="2790"/>
      <c r="H51" s="2790"/>
      <c r="I51" s="2790"/>
      <c r="J51" s="2790"/>
      <c r="K51" s="2790"/>
      <c r="L51" s="5"/>
      <c r="M51" s="853"/>
      <c r="N51" s="854"/>
      <c r="O51" s="1543"/>
      <c r="P51" s="1630"/>
      <c r="Q51" s="1834"/>
      <c r="R51" s="1834"/>
    </row>
    <row r="52" spans="1:20" ht="14.9" customHeight="1">
      <c r="A52" s="710" t="s">
        <v>329</v>
      </c>
      <c r="B52" s="789" t="s">
        <v>893</v>
      </c>
      <c r="C52" s="682" t="s">
        <v>1072</v>
      </c>
      <c r="D52" s="201"/>
      <c r="E52" s="835"/>
      <c r="F52" s="252"/>
      <c r="G52" s="196" t="s">
        <v>1389</v>
      </c>
      <c r="H52" s="5"/>
      <c r="I52" s="5"/>
      <c r="J52" s="5"/>
      <c r="K52" s="5"/>
      <c r="L52" s="5"/>
      <c r="M52" s="853"/>
      <c r="N52" s="854"/>
      <c r="O52" s="1543"/>
      <c r="P52" s="1630"/>
      <c r="Q52" s="1630"/>
      <c r="R52" s="1630"/>
    </row>
    <row r="53" spans="1:20" ht="14.9" customHeight="1">
      <c r="A53" s="710" t="s">
        <v>330</v>
      </c>
      <c r="B53" s="836" t="s">
        <v>896</v>
      </c>
      <c r="C53" s="837" t="s">
        <v>1007</v>
      </c>
      <c r="D53" s="201"/>
      <c r="E53" s="835"/>
      <c r="F53" s="252" t="str">
        <f>IF(D53=0,"Varför saknas avsättningar för särskild löneskatt pens.?","")</f>
        <v>Varför saknas avsättningar för särskild löneskatt pens.?</v>
      </c>
      <c r="G53" s="83"/>
      <c r="H53" s="5"/>
      <c r="I53" s="5"/>
      <c r="J53" s="226"/>
      <c r="L53" s="5"/>
      <c r="M53" s="748" t="e">
        <f>SUM(D51:D53)*1000/invanare</f>
        <v>#DIV/0!</v>
      </c>
      <c r="N53" s="855"/>
      <c r="O53" s="1543"/>
      <c r="P53" s="1630"/>
      <c r="Q53" s="1630"/>
      <c r="R53" s="1630"/>
    </row>
    <row r="54" spans="1:20" ht="14.9" customHeight="1">
      <c r="A54" s="712" t="s">
        <v>331</v>
      </c>
      <c r="B54" s="2622" t="s">
        <v>897</v>
      </c>
      <c r="C54" s="2623" t="s">
        <v>898</v>
      </c>
      <c r="D54" s="201"/>
      <c r="E54" s="835"/>
      <c r="F54" s="252"/>
      <c r="G54" s="5"/>
      <c r="H54" s="5"/>
      <c r="I54" s="14"/>
      <c r="J54" s="2060" t="s">
        <v>865</v>
      </c>
      <c r="L54" s="2055"/>
      <c r="M54" s="856" t="e">
        <f>D54*1000/invanare</f>
        <v>#DIV/0!</v>
      </c>
      <c r="N54" s="2640"/>
      <c r="O54" s="1543"/>
      <c r="P54" s="1630"/>
      <c r="Q54" s="1630"/>
      <c r="R54" s="1630"/>
    </row>
    <row r="55" spans="1:20" ht="14.9" customHeight="1" thickBot="1">
      <c r="A55" s="2263" t="s">
        <v>332</v>
      </c>
      <c r="B55" s="2628" t="s">
        <v>1629</v>
      </c>
      <c r="C55" s="699" t="s">
        <v>900</v>
      </c>
      <c r="D55" s="2621">
        <f>SUM(D51:D54)</f>
        <v>0</v>
      </c>
      <c r="E55" s="2646"/>
      <c r="F55" s="252" t="str">
        <f>IF((D55-E55)&gt;1,"konc. &lt; komm.",IF(OR(D55=0,E55=0),"Belopp saknas",""))</f>
        <v>Belopp saknas</v>
      </c>
      <c r="G55" s="823" t="s">
        <v>301</v>
      </c>
      <c r="H55" s="824" t="s">
        <v>899</v>
      </c>
      <c r="I55" s="2051" t="s">
        <v>1687</v>
      </c>
      <c r="J55" s="2054"/>
      <c r="K55" s="2050"/>
      <c r="L55" s="2232"/>
      <c r="M55" s="748" t="e">
        <f>D55*1000/invanare</f>
        <v>#DIV/0!</v>
      </c>
      <c r="N55" s="2638" t="e">
        <f>E55*1000/invanare</f>
        <v>#DIV/0!</v>
      </c>
      <c r="O55" s="1543"/>
      <c r="P55" s="1630"/>
      <c r="Q55" s="1630"/>
      <c r="R55" s="1630"/>
      <c r="S55" s="360"/>
      <c r="T55" s="360"/>
    </row>
    <row r="56" spans="1:20" ht="14.9" customHeight="1">
      <c r="A56" s="2650" t="s">
        <v>1635</v>
      </c>
      <c r="B56" s="1729" t="s">
        <v>1630</v>
      </c>
      <c r="C56" s="682" t="s">
        <v>1784</v>
      </c>
      <c r="D56" s="2625"/>
      <c r="E56" s="2626"/>
      <c r="F56" s="2627" t="str">
        <f>IF(D56&gt;E56,"konc. &lt; komm.",IF(OR(D56="",E56=""),"Skriv belopp eller 0",""))</f>
        <v>Skriv belopp eller 0</v>
      </c>
      <c r="G56" s="1719" t="s">
        <v>1351</v>
      </c>
      <c r="H56" s="1720" t="s">
        <v>1785</v>
      </c>
      <c r="I56" s="2051" t="s">
        <v>1688</v>
      </c>
      <c r="J56" s="2054"/>
      <c r="K56" s="2050"/>
      <c r="M56" s="819"/>
      <c r="N56" s="2639"/>
      <c r="O56" s="2637"/>
      <c r="P56" s="1630"/>
      <c r="Q56" s="1834"/>
      <c r="R56" s="1834"/>
    </row>
    <row r="57" spans="1:20" ht="14.9" customHeight="1">
      <c r="A57" s="712" t="s">
        <v>333</v>
      </c>
      <c r="B57" s="789" t="s">
        <v>1662</v>
      </c>
      <c r="C57" s="682" t="s">
        <v>1684</v>
      </c>
      <c r="D57" s="201"/>
      <c r="E57" s="2390"/>
      <c r="F57" s="252" t="str">
        <f>IF(D57&gt;E57,"konc. &lt; komm.",IF(OR(D57="",E57=""),"Skriv belopp eller 0",""))</f>
        <v>Skriv belopp eller 0</v>
      </c>
      <c r="G57" s="198"/>
      <c r="H57" s="5"/>
      <c r="I57" s="185"/>
      <c r="J57" s="151" t="str">
        <f>IF(AND(D54=0,SUM(J55+J56)=0),"",IF(SUM(J55:J56)-D54&gt;1,"Däravr.080+ 131&gt;rad 078",IF(AND(D54&gt;10,J55=""),"Rad 080: skriv belopp eller 0",IF(AND(D54&gt;10,J56=""),"Rad 131: skriv belopp eller 0 ",""))))</f>
        <v/>
      </c>
      <c r="K57" s="185"/>
      <c r="L57" s="2232"/>
      <c r="M57" s="853"/>
      <c r="N57" s="854"/>
      <c r="O57" s="1543"/>
      <c r="P57" s="1630"/>
      <c r="Q57" s="1630"/>
      <c r="R57" s="1630"/>
    </row>
    <row r="58" spans="1:20" ht="14.9" customHeight="1">
      <c r="A58" s="710" t="s">
        <v>334</v>
      </c>
      <c r="B58" s="789" t="s">
        <v>1663</v>
      </c>
      <c r="C58" s="682" t="s">
        <v>1664</v>
      </c>
      <c r="D58" s="201"/>
      <c r="E58" s="2048"/>
      <c r="F58" s="252" t="str">
        <f>IF(OR(D58="",E58=""),"Skriv belopp eller 0","")</f>
        <v>Skriv belopp eller 0</v>
      </c>
      <c r="G58" s="198"/>
      <c r="H58" s="5"/>
      <c r="I58" s="185"/>
      <c r="J58" s="237"/>
      <c r="K58" s="2057"/>
      <c r="L58" s="2232"/>
      <c r="M58" s="853"/>
      <c r="N58" s="854"/>
      <c r="O58" s="1543"/>
      <c r="P58" s="1630"/>
      <c r="Q58" s="1630"/>
      <c r="R58" s="1630"/>
    </row>
    <row r="59" spans="1:20" ht="14.9" customHeight="1">
      <c r="A59" s="710" t="s">
        <v>335</v>
      </c>
      <c r="B59" s="789">
        <v>236</v>
      </c>
      <c r="C59" s="682" t="s">
        <v>901</v>
      </c>
      <c r="D59" s="201"/>
      <c r="E59" s="835"/>
      <c r="F59" s="1502"/>
      <c r="G59" s="198"/>
      <c r="H59" s="5"/>
      <c r="I59" s="2058"/>
      <c r="J59" s="2052" t="s">
        <v>865</v>
      </c>
      <c r="K59" s="2053" t="s">
        <v>968</v>
      </c>
      <c r="L59" s="220"/>
      <c r="M59" s="853"/>
      <c r="N59" s="854"/>
      <c r="O59" s="1543"/>
      <c r="P59" s="1630"/>
      <c r="Q59" s="1630"/>
      <c r="R59" s="1630"/>
    </row>
    <row r="60" spans="1:20" ht="14.9" customHeight="1">
      <c r="A60" s="710" t="s">
        <v>336</v>
      </c>
      <c r="B60" s="789" t="s">
        <v>1035</v>
      </c>
      <c r="C60" s="2818" t="s">
        <v>1879</v>
      </c>
      <c r="D60" s="206"/>
      <c r="E60" s="2048"/>
      <c r="F60" s="252" t="str">
        <f>IF(OR(D60="",E60=""),"Skriv belopp eller 0","")</f>
        <v>Skriv belopp eller 0</v>
      </c>
      <c r="G60" s="1719" t="s">
        <v>1352</v>
      </c>
      <c r="H60" s="1929" t="s">
        <v>1396</v>
      </c>
      <c r="I60" s="2051" t="s">
        <v>1689</v>
      </c>
      <c r="J60" s="2054"/>
      <c r="K60" s="2054"/>
      <c r="L60" s="2232"/>
      <c r="M60" s="819"/>
      <c r="N60" s="854"/>
      <c r="O60" s="1543"/>
      <c r="P60" s="1630"/>
      <c r="Q60" s="1630"/>
      <c r="R60" s="1630"/>
      <c r="S60" s="1533"/>
      <c r="T60" s="1533"/>
    </row>
    <row r="61" spans="1:20" ht="19.5" customHeight="1">
      <c r="A61" s="710" t="s">
        <v>1058</v>
      </c>
      <c r="B61" s="789" t="s">
        <v>1034</v>
      </c>
      <c r="C61" s="718" t="s">
        <v>1566</v>
      </c>
      <c r="D61" s="206"/>
      <c r="E61" s="2048"/>
      <c r="F61" s="252" t="str">
        <f>IF(D61&gt;E61,"konc. &lt; komm.",IF(OR(D61="",E61=""),"Skriv belopp eller 0",""))</f>
        <v>Skriv belopp eller 0</v>
      </c>
      <c r="G61" s="2059"/>
      <c r="H61" s="2059"/>
      <c r="I61" s="1776"/>
      <c r="J61" s="151" t="str">
        <f>IF(AND(D61=0,J60=0),"",IF(SUM(J60)&gt;D61,"Däravrad 132 &gt; rad 087",IF(AND(D61&gt;10,J60=""),"Rad 132: skriv belopp eller 0","")))</f>
        <v/>
      </c>
      <c r="K61" s="151" t="str">
        <f>IF(AND(E61=0,K60=0),"",IF(SUM(K60)&gt;E61,"Däravrad 132 &gt; rad 087",IF(AND(E61&gt;10,K60=""),"Rad 132: skriv belopp eller 0",IF(J60&gt;K60,"konc.&lt;kommun",""))))</f>
        <v/>
      </c>
      <c r="L61" s="200"/>
      <c r="M61" s="819"/>
      <c r="N61" s="854"/>
      <c r="O61" s="1543"/>
      <c r="P61" s="1630"/>
      <c r="Q61" s="1630"/>
      <c r="R61" s="1630"/>
      <c r="S61" s="1533"/>
      <c r="T61" s="1533"/>
    </row>
    <row r="62" spans="1:20" ht="14.9" customHeight="1">
      <c r="A62" s="710" t="s">
        <v>337</v>
      </c>
      <c r="B62" s="790" t="s">
        <v>902</v>
      </c>
      <c r="C62" s="736" t="s">
        <v>903</v>
      </c>
      <c r="D62" s="207"/>
      <c r="E62" s="2048"/>
      <c r="F62" s="252" t="str">
        <f>IF(OR(D62="",E62=""),"Skriv belopp eller 0","")</f>
        <v>Skriv belopp eller 0</v>
      </c>
      <c r="G62" s="1722" t="s">
        <v>1353</v>
      </c>
      <c r="H62" s="1723" t="s">
        <v>1397</v>
      </c>
      <c r="I62" s="2679" t="s">
        <v>1690</v>
      </c>
      <c r="J62" s="2278"/>
      <c r="K62" s="2279"/>
      <c r="L62" s="1503" t="str">
        <f>IF(AND(D63=0,J62=0,E63=0,K62=0),"",IF(SUM(J62)&gt;D63,"Däravrad 133 &gt; rad 089",IF(AND(D63&gt;10,J62=""),"Rad 133,kommun: skriv belopp eller 0",IF(AND(E63=0,K62=0),"",IF(SUM(K62)&gt;E63,"Koncern:Däravrad 133&gt;rad 089",IF(AND(E63&gt;10,K62=""),"Rad 133,koncern:skriv belopp eller 0",""))))))</f>
        <v/>
      </c>
      <c r="M62" s="819"/>
      <c r="N62" s="854"/>
      <c r="O62" s="1543"/>
      <c r="P62" s="1630"/>
      <c r="Q62" s="1619"/>
      <c r="R62" s="1630"/>
      <c r="S62" s="1533"/>
      <c r="T62" s="1533"/>
    </row>
    <row r="63" spans="1:20" ht="14.9" customHeight="1" thickBot="1">
      <c r="A63" s="714" t="s">
        <v>338</v>
      </c>
      <c r="B63" s="838">
        <v>23</v>
      </c>
      <c r="C63" s="699" t="s">
        <v>904</v>
      </c>
      <c r="D63" s="415">
        <f>SUM(D56:D62)</f>
        <v>0</v>
      </c>
      <c r="E63" s="2779">
        <f>SUM(E56:E58,E60:E62)</f>
        <v>0</v>
      </c>
      <c r="F63" s="2774"/>
      <c r="G63" s="2263" t="s">
        <v>355</v>
      </c>
      <c r="H63" s="2267" t="s">
        <v>1397</v>
      </c>
      <c r="I63" s="2264" t="s">
        <v>1695</v>
      </c>
      <c r="J63" s="2217"/>
      <c r="K63" s="2286"/>
      <c r="L63" s="1503" t="str">
        <f>IF(AND(D63=0,J63=0),"",IF(SUM(J63)&gt;D63,"Däravrad 088 &gt; rad 089",IF(AND(D63&gt;10,J63=""),"Rad 088,kommun: skriv belopp eller 0","")))</f>
        <v/>
      </c>
      <c r="M63" s="748" t="e">
        <f>D63*1000/invanare</f>
        <v>#DIV/0!</v>
      </c>
      <c r="N63" s="749" t="e">
        <f>E63*1000/invanare</f>
        <v>#DIV/0!</v>
      </c>
      <c r="O63" s="1543"/>
      <c r="P63" s="1630"/>
      <c r="Q63" s="1834"/>
      <c r="R63" s="1834"/>
    </row>
    <row r="64" spans="1:20" ht="18" customHeight="1">
      <c r="A64" s="710" t="s">
        <v>339</v>
      </c>
      <c r="B64" s="839" t="s">
        <v>905</v>
      </c>
      <c r="C64" s="682" t="s">
        <v>906</v>
      </c>
      <c r="D64" s="201"/>
      <c r="E64" s="835"/>
      <c r="F64" s="252"/>
      <c r="G64" s="1547" t="s">
        <v>341</v>
      </c>
      <c r="H64" s="2518" t="s">
        <v>972</v>
      </c>
      <c r="I64" s="2705" t="s">
        <v>1691</v>
      </c>
      <c r="J64" s="2519"/>
      <c r="K64" s="2268" t="s">
        <v>1400</v>
      </c>
      <c r="L64" s="151" t="str">
        <f>IF(AND(D64=0,J64=0),"",IF(SUM(J64)&gt;D64,"Däravrad 091 &gt; rad 090",IF(AND(D64&gt;10,J64=""),"Rad 091: skriv belopp eller 0","")))</f>
        <v/>
      </c>
      <c r="M64" s="853"/>
      <c r="N64" s="854"/>
      <c r="O64" s="1543"/>
      <c r="P64" s="1630"/>
      <c r="Q64" s="1619"/>
      <c r="R64" s="1630"/>
      <c r="S64" s="360"/>
      <c r="T64" s="360"/>
    </row>
    <row r="65" spans="1:20" ht="14.9" customHeight="1">
      <c r="A65" s="710" t="s">
        <v>340</v>
      </c>
      <c r="B65" s="790" t="s">
        <v>907</v>
      </c>
      <c r="C65" s="687" t="s">
        <v>908</v>
      </c>
      <c r="D65" s="201"/>
      <c r="E65" s="835"/>
      <c r="F65" s="1502"/>
      <c r="G65" s="1719" t="s">
        <v>1354</v>
      </c>
      <c r="H65" s="2642" t="s">
        <v>1355</v>
      </c>
      <c r="I65" s="2643" t="s">
        <v>1692</v>
      </c>
      <c r="J65" s="2644"/>
      <c r="K65" s="2477" t="s">
        <v>1399</v>
      </c>
      <c r="L65" s="2027" t="str">
        <f>IF(AND(D64=0,J65=0),"",IF(SUM(J65)&gt;D64,"Däravrad 134 &gt; rad 090",IF(J65="","skriv belopp eller 0","")))</f>
        <v/>
      </c>
      <c r="M65" s="853"/>
      <c r="N65" s="854"/>
      <c r="O65" s="1543"/>
      <c r="P65" s="1630"/>
      <c r="Q65" s="1619"/>
      <c r="R65" s="1630"/>
      <c r="S65" s="360"/>
      <c r="T65" s="360"/>
    </row>
    <row r="66" spans="1:20" ht="14.9" customHeight="1" thickBot="1">
      <c r="A66" s="710" t="s">
        <v>356</v>
      </c>
      <c r="B66" s="790">
        <v>271</v>
      </c>
      <c r="C66" s="687" t="s">
        <v>10</v>
      </c>
      <c r="D66" s="201"/>
      <c r="E66" s="835"/>
      <c r="F66" s="1502"/>
      <c r="G66" s="2645" t="s">
        <v>2</v>
      </c>
      <c r="H66" s="2652" t="s">
        <v>1624</v>
      </c>
      <c r="I66" s="2651" t="s">
        <v>1694</v>
      </c>
      <c r="J66" s="2520"/>
      <c r="K66" s="2477"/>
      <c r="L66" s="2027" t="str">
        <f>IF(AND(D64=0,J66=0),"",IF(SUM(J66)&gt;D64,"Däravrad 135 &gt; rad 090",IF(J65="","skriv belopp eller 0","")))</f>
        <v/>
      </c>
      <c r="M66" s="853"/>
      <c r="N66" s="854"/>
      <c r="O66" s="1543"/>
      <c r="P66" s="1630"/>
      <c r="Q66" s="1619"/>
      <c r="R66" s="1630"/>
    </row>
    <row r="67" spans="1:20" ht="14.9" customHeight="1">
      <c r="A67" s="710" t="s">
        <v>1671</v>
      </c>
      <c r="B67" s="790">
        <v>272</v>
      </c>
      <c r="C67" s="687" t="s">
        <v>1665</v>
      </c>
      <c r="D67" s="2687"/>
      <c r="E67" s="2688"/>
      <c r="F67" s="252" t="str">
        <f>IF(D67&lt;&gt;0,"","Belopp saknas för kommunen")</f>
        <v>Belopp saknas för kommunen</v>
      </c>
      <c r="G67" s="831" t="s">
        <v>342</v>
      </c>
      <c r="H67" s="1718" t="s">
        <v>996</v>
      </c>
      <c r="I67" s="2706" t="s">
        <v>1693</v>
      </c>
      <c r="J67" s="2520"/>
      <c r="K67" s="2694"/>
      <c r="L67" s="2027" t="str">
        <f>IF(AND(D65=0,J67=0),"",IF(SUM(J67)&gt;D65,"Däravrad 092 &gt; rad 086",IF(J67="","skriv belopp eller 0","")))</f>
        <v/>
      </c>
      <c r="M67" s="853"/>
      <c r="N67" s="854"/>
      <c r="O67" s="1543"/>
      <c r="P67" s="1630"/>
      <c r="Q67" s="1619"/>
      <c r="R67" s="1630"/>
    </row>
    <row r="68" spans="1:20" ht="14.9" customHeight="1">
      <c r="A68" s="710" t="s">
        <v>343</v>
      </c>
      <c r="B68" s="790">
        <v>281</v>
      </c>
      <c r="C68" s="687" t="s">
        <v>1622</v>
      </c>
      <c r="D68" s="208"/>
      <c r="E68" s="846"/>
      <c r="F68" s="1502"/>
      <c r="J68" s="2693"/>
      <c r="K68" s="2692"/>
      <c r="L68" s="1503"/>
      <c r="M68" s="853"/>
      <c r="N68" s="820"/>
      <c r="O68" s="1543"/>
      <c r="P68" s="1630"/>
      <c r="Q68" s="1619"/>
      <c r="R68" s="1630"/>
    </row>
    <row r="69" spans="1:20" ht="14.9" customHeight="1">
      <c r="A69" s="710" t="s">
        <v>344</v>
      </c>
      <c r="B69" s="790" t="s">
        <v>909</v>
      </c>
      <c r="C69" s="687" t="s">
        <v>910</v>
      </c>
      <c r="D69" s="207"/>
      <c r="E69" s="847"/>
      <c r="F69" s="252" t="str">
        <f>IF(D69&lt;&gt;0,"","Belopp saknas för kommunen")</f>
        <v>Belopp saknas för kommunen</v>
      </c>
      <c r="G69" s="5"/>
      <c r="H69" s="10"/>
      <c r="I69" s="185"/>
      <c r="J69" s="2060" t="s">
        <v>865</v>
      </c>
      <c r="K69" s="2030"/>
      <c r="L69" s="220"/>
      <c r="M69" s="853"/>
      <c r="N69" s="820"/>
      <c r="O69" s="1543"/>
      <c r="P69" s="1630"/>
      <c r="Q69" s="1619"/>
      <c r="R69" s="1630"/>
    </row>
    <row r="70" spans="1:20" ht="14.9" customHeight="1">
      <c r="A70" s="710" t="s">
        <v>1077</v>
      </c>
      <c r="B70" s="790">
        <v>293</v>
      </c>
      <c r="C70" s="687" t="s">
        <v>1036</v>
      </c>
      <c r="D70" s="206"/>
      <c r="E70" s="845"/>
      <c r="F70" s="252" t="str">
        <f>IF(D70&lt;&gt;0,"","Belopp saknas för kommunen")</f>
        <v>Belopp saknas för kommunen</v>
      </c>
      <c r="G70" s="1719" t="s">
        <v>345</v>
      </c>
      <c r="H70" s="1720" t="s">
        <v>911</v>
      </c>
      <c r="I70" s="2051" t="s">
        <v>1696</v>
      </c>
      <c r="J70" s="2054"/>
      <c r="K70" s="185"/>
      <c r="L70" s="220"/>
      <c r="M70" s="853"/>
      <c r="N70" s="820"/>
      <c r="O70" s="1543"/>
      <c r="P70" s="1630"/>
      <c r="Q70" s="1619"/>
      <c r="R70" s="1630"/>
      <c r="S70" s="360"/>
    </row>
    <row r="71" spans="1:20" ht="14.9" customHeight="1">
      <c r="A71" s="710" t="s">
        <v>346</v>
      </c>
      <c r="B71" s="790" t="s">
        <v>912</v>
      </c>
      <c r="C71" s="687" t="s">
        <v>1008</v>
      </c>
      <c r="D71" s="206"/>
      <c r="E71" s="845"/>
      <c r="F71" s="252" t="str">
        <f>IF(D71&lt;&gt;0,"","Belopp saknas för kommunen")</f>
        <v>Belopp saknas för kommunen</v>
      </c>
      <c r="J71" s="2695" t="str">
        <f>IF(AND(D70=0,J70=0),"",IF(SUM(J70)&gt;D70,"Däravrad 095 &gt; rad 104",IF(J70="","skriv belopp eller 0","")))</f>
        <v/>
      </c>
      <c r="K71" s="1771"/>
      <c r="L71" s="2027"/>
      <c r="M71" s="853"/>
      <c r="N71" s="820"/>
      <c r="O71" s="1543"/>
      <c r="P71" s="1630"/>
      <c r="Q71" s="1619"/>
      <c r="R71" s="1630"/>
    </row>
    <row r="72" spans="1:20" ht="14.9" customHeight="1">
      <c r="A72" s="710" t="s">
        <v>497</v>
      </c>
      <c r="B72" s="790" t="s">
        <v>11</v>
      </c>
      <c r="C72" s="687" t="s">
        <v>12</v>
      </c>
      <c r="D72" s="206"/>
      <c r="E72" s="845"/>
      <c r="F72" s="1502"/>
      <c r="G72" s="5"/>
      <c r="H72" s="5"/>
      <c r="I72" s="5"/>
      <c r="J72" s="151"/>
      <c r="K72" s="151"/>
      <c r="L72" s="220"/>
      <c r="M72" s="853"/>
      <c r="N72" s="820"/>
      <c r="O72" s="1543"/>
      <c r="P72" s="1630"/>
      <c r="Q72" s="1619"/>
      <c r="R72" s="1630"/>
    </row>
    <row r="73" spans="1:20" ht="14.9" customHeight="1">
      <c r="A73" s="710" t="s">
        <v>347</v>
      </c>
      <c r="B73" s="789" t="s">
        <v>913</v>
      </c>
      <c r="C73" s="682" t="s">
        <v>915</v>
      </c>
      <c r="D73" s="206"/>
      <c r="E73" s="845"/>
      <c r="F73" s="1502"/>
      <c r="G73" s="5"/>
      <c r="H73" s="199"/>
      <c r="I73" s="5"/>
      <c r="J73" s="197"/>
      <c r="K73" s="2060" t="s">
        <v>968</v>
      </c>
      <c r="L73" s="220"/>
      <c r="M73" s="853"/>
      <c r="N73" s="820"/>
      <c r="O73" s="1543"/>
      <c r="P73" s="1630"/>
      <c r="Q73" s="1630"/>
      <c r="R73" s="1630"/>
    </row>
    <row r="74" spans="1:20" ht="14.9" customHeight="1" thickBot="1">
      <c r="A74" s="712" t="s">
        <v>348</v>
      </c>
      <c r="B74" s="840" t="s">
        <v>916</v>
      </c>
      <c r="C74" s="841" t="s">
        <v>917</v>
      </c>
      <c r="D74" s="419">
        <f>SUM(D64:D73)</f>
        <v>0</v>
      </c>
      <c r="E74" s="204"/>
      <c r="F74" s="252" t="str">
        <f>IF(E74="","Skriv belopp eller 0 för koncernen","")</f>
        <v>Skriv belopp eller 0 för koncernen</v>
      </c>
      <c r="G74" s="823" t="s">
        <v>339</v>
      </c>
      <c r="H74" s="2707">
        <v>24</v>
      </c>
      <c r="I74" s="2480" t="s">
        <v>1698</v>
      </c>
      <c r="J74" s="2481"/>
      <c r="K74" s="2276"/>
      <c r="L74" s="2027" t="str">
        <f>IF(AND(E74=0,K74=0),"",IF(SUM(K74)&gt;E74,"Därav-rad 090&gt;rad 098 (Excel K68&gt;E68)",IF(AND(E74&gt;100,K74=""),"Rad 090: skriv belopp eller 0","")))</f>
        <v/>
      </c>
      <c r="M74" s="857" t="e">
        <f>D74*1000/invanare</f>
        <v>#DIV/0!</v>
      </c>
      <c r="N74" s="858" t="e">
        <f>E74*1000/invanare</f>
        <v>#DIV/0!</v>
      </c>
      <c r="O74" s="1543"/>
      <c r="P74" s="1630"/>
      <c r="Q74" s="1834"/>
      <c r="R74" s="1834"/>
    </row>
    <row r="75" spans="1:20" ht="14.25" customHeight="1" thickBot="1">
      <c r="A75" s="704" t="s">
        <v>349</v>
      </c>
      <c r="B75" s="793" t="s">
        <v>918</v>
      </c>
      <c r="C75" s="667" t="s">
        <v>919</v>
      </c>
      <c r="D75" s="410">
        <f>SUM(D63,D74)</f>
        <v>0</v>
      </c>
      <c r="E75" s="420">
        <f>SUM(E63,E74)</f>
        <v>0</v>
      </c>
      <c r="F75" s="1502"/>
      <c r="G75" s="1719" t="s">
        <v>1354</v>
      </c>
      <c r="H75" s="2322" t="s">
        <v>1355</v>
      </c>
      <c r="I75" s="2266" t="s">
        <v>1697</v>
      </c>
      <c r="J75" s="2265"/>
      <c r="K75" s="2277"/>
      <c r="L75" s="2027" t="str">
        <f>IF(AND(K74=0,K75=0),"",IF(SUM(K75)&gt;K74,"Varav-rad 134&gt;rad 090",IF(AND(K74&gt;100,K75=""),"Rad 134, skriv belopp eller 0","")))</f>
        <v/>
      </c>
      <c r="M75" s="1543"/>
      <c r="N75" s="1543"/>
      <c r="O75" s="1543"/>
      <c r="P75" s="1630"/>
      <c r="Q75" s="1834"/>
      <c r="R75" s="1834"/>
    </row>
    <row r="76" spans="1:20" ht="14.9" customHeight="1" thickBot="1">
      <c r="A76" s="842">
        <v>100</v>
      </c>
      <c r="B76" s="843" t="s">
        <v>920</v>
      </c>
      <c r="C76" s="844" t="s">
        <v>1686</v>
      </c>
      <c r="D76" s="421">
        <f>SUM(D48,D55,D63,D74)</f>
        <v>0</v>
      </c>
      <c r="E76" s="417">
        <f>SUM(E48,E55,E63,E74)</f>
        <v>0</v>
      </c>
      <c r="F76" s="5"/>
      <c r="G76" s="5"/>
      <c r="H76" s="5"/>
      <c r="I76" s="5"/>
      <c r="J76" s="5"/>
      <c r="K76" s="2027"/>
      <c r="L76" s="2027"/>
      <c r="M76" s="72"/>
      <c r="N76" s="72"/>
      <c r="O76" s="239"/>
      <c r="P76" s="1630"/>
      <c r="Q76" s="1834"/>
      <c r="R76" s="1834"/>
    </row>
    <row r="77" spans="1:20">
      <c r="A77" s="1636" t="s">
        <v>1666</v>
      </c>
      <c r="B77" s="154"/>
      <c r="C77" s="156"/>
      <c r="D77" s="11"/>
      <c r="E77" s="11"/>
      <c r="F77" s="5"/>
      <c r="G77" s="5"/>
      <c r="H77" s="5"/>
      <c r="I77" s="5"/>
      <c r="J77" s="5"/>
      <c r="L77" s="2480" t="s">
        <v>626</v>
      </c>
      <c r="M77" s="752" t="e">
        <f>J63*1000/invanare</f>
        <v>#DIV/0!</v>
      </c>
      <c r="N77" s="859"/>
      <c r="O77" s="1584"/>
      <c r="P77" s="1837"/>
      <c r="Q77" s="1838"/>
      <c r="R77" s="1838"/>
    </row>
    <row r="78" spans="1:20">
      <c r="A78" s="1636"/>
      <c r="B78" s="154"/>
      <c r="C78" s="156"/>
      <c r="D78" s="11"/>
      <c r="E78" s="11"/>
      <c r="F78" s="5"/>
      <c r="G78" s="5"/>
      <c r="H78" s="5"/>
      <c r="I78" s="5"/>
      <c r="J78" s="5"/>
      <c r="L78" s="2266" t="s">
        <v>619</v>
      </c>
      <c r="M78" s="2231" t="e">
        <f>SUM(D63-J63)*1000/invanare</f>
        <v>#DIV/0!</v>
      </c>
      <c r="N78" s="816"/>
      <c r="O78" s="1584"/>
      <c r="Q78" s="2895"/>
      <c r="R78" s="2895"/>
      <c r="S78" s="2895"/>
    </row>
    <row r="79" spans="1:20" ht="15" customHeight="1">
      <c r="A79" s="184"/>
      <c r="B79" s="9"/>
      <c r="C79" s="8"/>
      <c r="D79" s="11"/>
      <c r="E79" s="11"/>
      <c r="F79" s="5"/>
      <c r="G79" s="5"/>
      <c r="H79" s="5"/>
      <c r="I79" s="5"/>
      <c r="J79" s="5"/>
      <c r="L79" s="2480" t="s">
        <v>603</v>
      </c>
      <c r="M79" s="748" t="str">
        <f>IF(D34=0,"",D48*100/D34)</f>
        <v/>
      </c>
      <c r="N79" s="749" t="str">
        <f>IF(E34=0,"",E48*100/E34)</f>
        <v/>
      </c>
      <c r="O79" s="1543"/>
      <c r="Q79" s="2895"/>
      <c r="R79" s="2895"/>
      <c r="S79" s="2895"/>
    </row>
    <row r="80" spans="1:20" ht="18" customHeight="1" thickBot="1">
      <c r="A80" s="2502" t="s">
        <v>984</v>
      </c>
      <c r="D80" s="11"/>
      <c r="E80" s="11"/>
      <c r="F80" s="5"/>
      <c r="G80" s="5"/>
      <c r="H80" s="5"/>
      <c r="I80" s="5"/>
      <c r="J80" s="5"/>
      <c r="K80" s="315"/>
      <c r="L80" s="2266" t="s">
        <v>618</v>
      </c>
      <c r="M80" s="751" t="str">
        <f>IF(D34=0,"",(D48-E86)*100/D34)</f>
        <v/>
      </c>
      <c r="N80" s="858" t="str">
        <f>IF(E34=0,"",(E48-E86)*100/E34)</f>
        <v/>
      </c>
      <c r="O80" s="1543"/>
      <c r="Q80" s="154"/>
      <c r="R80" s="154"/>
    </row>
    <row r="81" spans="1:18" ht="27">
      <c r="A81" s="2781" t="s">
        <v>1669</v>
      </c>
      <c r="B81" s="2497"/>
      <c r="C81" s="2498"/>
      <c r="D81" s="2690" t="str">
        <f>"Kommunen  "&amp;År-1&amp;"  "</f>
        <v xml:space="preserve">Kommunen  2024  </v>
      </c>
      <c r="E81" s="2780" t="s">
        <v>865</v>
      </c>
      <c r="F81" s="5"/>
      <c r="G81" s="5"/>
      <c r="H81" s="5"/>
      <c r="I81" s="5"/>
      <c r="J81" s="5"/>
      <c r="K81" s="5"/>
      <c r="L81" s="184"/>
      <c r="M81" s="860" t="str">
        <f>"Föränd. %  "&amp;År-1&amp;" - "&amp;År&amp;" "</f>
        <v xml:space="preserve">Föränd. %  2024 - 2025 </v>
      </c>
      <c r="N81" s="860" t="s">
        <v>1668</v>
      </c>
    </row>
    <row r="82" spans="1:18" ht="17.25" customHeight="1">
      <c r="A82" s="710" t="s">
        <v>350</v>
      </c>
      <c r="B82" s="865" t="s">
        <v>921</v>
      </c>
      <c r="C82" s="2499"/>
      <c r="D82" s="866"/>
      <c r="E82" s="106"/>
      <c r="F82" s="2271" t="str">
        <f>IF(E82="","Skriv belopp eller 0","")</f>
        <v>Skriv belopp eller 0</v>
      </c>
      <c r="G82" s="5"/>
      <c r="H82" s="5"/>
      <c r="I82" s="5"/>
      <c r="J82" s="5"/>
      <c r="K82" s="5"/>
      <c r="L82" s="5"/>
      <c r="M82" s="861" t="str">
        <f t="shared" ref="M82:M87" si="0">IF(AND(D82=0,E82=0),"",IF(E82=0,1,IF(D82=0,-1,E82/D82-1)))</f>
        <v/>
      </c>
      <c r="N82" s="862" t="e">
        <f t="shared" ref="N82:N87" si="1">E82*1000/invanare</f>
        <v>#DIV/0!</v>
      </c>
      <c r="O82" s="1626"/>
      <c r="Q82" s="1533"/>
      <c r="R82" s="1533"/>
    </row>
    <row r="83" spans="1:18" ht="15.75" customHeight="1">
      <c r="A83" s="710" t="s">
        <v>351</v>
      </c>
      <c r="B83" s="867" t="s">
        <v>1699</v>
      </c>
      <c r="C83" s="694"/>
      <c r="D83" s="868"/>
      <c r="E83" s="106"/>
      <c r="F83" s="2271" t="str">
        <f t="shared" ref="F83:F85" si="2">IF(E83="","Skriv belopp eller 0","")</f>
        <v>Skriv belopp eller 0</v>
      </c>
      <c r="G83" s="5"/>
      <c r="H83" s="5"/>
      <c r="I83" s="5"/>
      <c r="J83" s="5"/>
      <c r="K83" s="5"/>
      <c r="L83" s="5"/>
      <c r="M83" s="863" t="str">
        <f t="shared" si="0"/>
        <v/>
      </c>
      <c r="N83" s="862" t="e">
        <f t="shared" si="1"/>
        <v>#DIV/0!</v>
      </c>
      <c r="O83" s="1543"/>
      <c r="Q83" s="1533"/>
      <c r="R83" s="1533"/>
    </row>
    <row r="84" spans="1:18" ht="18.75" customHeight="1">
      <c r="A84" s="710" t="s">
        <v>228</v>
      </c>
      <c r="B84" s="867" t="s">
        <v>922</v>
      </c>
      <c r="C84" s="694"/>
      <c r="D84" s="868"/>
      <c r="E84" s="106"/>
      <c r="F84" s="2271" t="str">
        <f t="shared" si="2"/>
        <v>Skriv belopp eller 0</v>
      </c>
      <c r="G84" s="5"/>
      <c r="H84" s="5"/>
      <c r="I84" s="5"/>
      <c r="J84" s="5"/>
      <c r="K84" s="5"/>
      <c r="L84" s="5"/>
      <c r="M84" s="863" t="str">
        <f t="shared" si="0"/>
        <v/>
      </c>
      <c r="N84" s="862" t="e">
        <f t="shared" si="1"/>
        <v>#DIV/0!</v>
      </c>
      <c r="O84" s="1543"/>
      <c r="Q84" s="1533"/>
      <c r="R84" s="1533"/>
    </row>
    <row r="85" spans="1:18" ht="18">
      <c r="A85" s="710" t="s">
        <v>352</v>
      </c>
      <c r="B85" s="2500" t="s">
        <v>1700</v>
      </c>
      <c r="C85" s="2501" t="s">
        <v>1338</v>
      </c>
      <c r="D85" s="868"/>
      <c r="E85" s="106"/>
      <c r="F85" s="2271" t="str">
        <f t="shared" si="2"/>
        <v>Skriv belopp eller 0</v>
      </c>
      <c r="G85" s="5"/>
      <c r="H85" s="5"/>
      <c r="I85" s="5"/>
      <c r="J85" s="5"/>
      <c r="K85" s="5"/>
      <c r="L85" s="5"/>
      <c r="M85" s="863" t="str">
        <f t="shared" si="0"/>
        <v/>
      </c>
      <c r="N85" s="862" t="e">
        <f t="shared" si="1"/>
        <v>#DIV/0!</v>
      </c>
      <c r="O85" s="1543"/>
      <c r="Q85" s="1533"/>
      <c r="R85" s="1533"/>
    </row>
    <row r="86" spans="1:18" ht="18.75" customHeight="1">
      <c r="A86" s="710" t="s">
        <v>353</v>
      </c>
      <c r="B86" s="2478" t="s">
        <v>1339</v>
      </c>
      <c r="C86" s="2479" t="s">
        <v>1340</v>
      </c>
      <c r="D86" s="868"/>
      <c r="E86" s="202">
        <v>0</v>
      </c>
      <c r="F86" s="252" t="str">
        <f>IF(E86=0,"Belopp saknas","")</f>
        <v>Belopp saknas</v>
      </c>
      <c r="G86" s="5"/>
      <c r="H86" s="5"/>
      <c r="I86" s="5"/>
      <c r="J86" s="5"/>
      <c r="K86" s="220"/>
      <c r="L86" s="5"/>
      <c r="M86" s="863" t="str">
        <f t="shared" si="0"/>
        <v/>
      </c>
      <c r="N86" s="862" t="e">
        <f t="shared" si="1"/>
        <v>#DIV/0!</v>
      </c>
      <c r="O86" s="1543"/>
      <c r="Q86" s="1533"/>
      <c r="R86" s="1533"/>
    </row>
    <row r="87" spans="1:18" ht="15" customHeight="1" thickBot="1">
      <c r="A87" s="714" t="s">
        <v>354</v>
      </c>
      <c r="B87" s="869" t="s">
        <v>923</v>
      </c>
      <c r="C87" s="870"/>
      <c r="D87" s="871">
        <f>SUM(D82:D86)</f>
        <v>0</v>
      </c>
      <c r="E87" s="422">
        <f>SUM(E82:E86)</f>
        <v>0</v>
      </c>
      <c r="F87" s="252"/>
      <c r="G87" s="1722" t="s">
        <v>1180</v>
      </c>
      <c r="H87" s="1723"/>
      <c r="I87" s="865" t="s">
        <v>1176</v>
      </c>
      <c r="J87" s="319"/>
      <c r="K87" s="151" t="str">
        <f>IF(AND(E87=0,J87=0),"",IF(J87="","rad 161: skriv belopp eller 0",IF(SUM(E82:E85)-J87&gt;1, "Raderna 121-140 summerar inte till därav-rad 161. Kontrollera så att allt som avser lån är specificerat",IF(SUM(J87)&gt;(SUM(E82:E85)),"Däravrad 161 &gt; Summa av raderna 121, 122, 130 och 140",""))))</f>
        <v/>
      </c>
      <c r="L87" s="5"/>
      <c r="M87" s="864" t="str">
        <f t="shared" si="0"/>
        <v/>
      </c>
      <c r="N87" s="764" t="e">
        <f t="shared" si="1"/>
        <v>#DIV/0!</v>
      </c>
      <c r="O87" s="1543"/>
      <c r="Q87" s="1533"/>
      <c r="R87" s="1533"/>
    </row>
    <row r="88" spans="1:18">
      <c r="A88" s="12"/>
      <c r="B88" s="1"/>
      <c r="C88" s="1"/>
      <c r="D88" s="1"/>
      <c r="E88" s="1"/>
      <c r="F88" s="1502"/>
      <c r="G88" s="1822" t="s">
        <v>1181</v>
      </c>
      <c r="H88" s="1718"/>
      <c r="I88" s="1781" t="s">
        <v>1178</v>
      </c>
      <c r="J88" s="318"/>
      <c r="K88" s="151" t="str">
        <f>IF(AND(J87=0,J88=0),"",IF(J88="","rad 162: skriv belopp eller 0",IF(SUM(J88)&gt;J87,"Varav-rad 162 &gt; rad 161 ",IF(J88&gt;SUM(E82+E84),"varför är rad 162   " &amp;" "&amp;(ROUND(J88-SUM(E82+E84),0))&amp; "tkr större än summan av raderna 121 och 130 (offentligt ägda bolag)?",""))))</f>
        <v/>
      </c>
      <c r="L88" s="5"/>
      <c r="M88" s="5"/>
      <c r="N88" s="5"/>
      <c r="O88" s="1543"/>
      <c r="Q88" s="152"/>
      <c r="R88" s="152"/>
    </row>
    <row r="89" spans="1:18">
      <c r="A89" s="12"/>
      <c r="B89" s="1"/>
      <c r="C89" s="1"/>
      <c r="D89" s="1"/>
      <c r="E89" s="1"/>
      <c r="F89" s="1502"/>
      <c r="G89" s="1630"/>
      <c r="H89" s="1843"/>
      <c r="I89" s="1533"/>
      <c r="J89" s="1771"/>
      <c r="K89" s="151"/>
      <c r="L89" s="5"/>
      <c r="M89" s="5"/>
      <c r="N89" s="5"/>
      <c r="O89" s="1543"/>
      <c r="Q89" s="152"/>
      <c r="R89" s="152"/>
    </row>
    <row r="90" spans="1:18"/>
    <row r="91" spans="1:18" ht="15" customHeight="1">
      <c r="A91" s="35"/>
      <c r="B91" s="185"/>
      <c r="C91" s="185"/>
      <c r="D91" s="185"/>
      <c r="E91" s="185"/>
      <c r="F91" s="1502"/>
      <c r="G91" s="5"/>
      <c r="H91" s="5"/>
      <c r="I91" s="5"/>
      <c r="J91" s="151"/>
      <c r="K91" s="2050"/>
      <c r="L91" s="397"/>
      <c r="M91" s="5"/>
      <c r="N91" s="5"/>
    </row>
    <row r="92" spans="1:18">
      <c r="A92" s="1630"/>
      <c r="B92" s="156"/>
      <c r="C92" s="156"/>
      <c r="E92" s="2050"/>
      <c r="F92" s="252"/>
      <c r="G92" s="5"/>
      <c r="H92" s="5"/>
      <c r="I92" s="5"/>
      <c r="J92" s="5"/>
      <c r="K92" s="5"/>
      <c r="L92" s="5"/>
      <c r="M92" s="5"/>
      <c r="N92" s="5"/>
      <c r="Q92" s="1533"/>
      <c r="R92" s="1533"/>
    </row>
    <row r="93" spans="1:18">
      <c r="A93" s="140" t="s">
        <v>627</v>
      </c>
      <c r="B93" s="1"/>
      <c r="C93" s="1"/>
      <c r="D93" s="1"/>
      <c r="E93" s="1"/>
      <c r="F93" s="220"/>
      <c r="G93" s="5"/>
      <c r="H93" s="5"/>
      <c r="I93" s="5"/>
      <c r="J93" s="5"/>
      <c r="K93" s="5"/>
      <c r="L93" s="5"/>
      <c r="M93" s="5"/>
      <c r="N93" s="5"/>
      <c r="Q93" s="183"/>
      <c r="R93" s="183"/>
    </row>
    <row r="94" spans="1:18">
      <c r="A94" s="2883"/>
      <c r="B94" s="2884"/>
      <c r="C94" s="2884"/>
      <c r="D94" s="2884"/>
      <c r="E94" s="2885"/>
      <c r="F94" s="220"/>
      <c r="G94" s="5"/>
      <c r="H94" s="5"/>
      <c r="I94" s="5"/>
      <c r="J94" s="5"/>
      <c r="K94" s="5"/>
      <c r="L94" s="5"/>
      <c r="M94" s="5"/>
      <c r="N94" s="5"/>
    </row>
    <row r="95" spans="1:18">
      <c r="A95" s="2886"/>
      <c r="B95" s="2887"/>
      <c r="C95" s="2887"/>
      <c r="D95" s="2887"/>
      <c r="E95" s="2888"/>
      <c r="F95" s="220"/>
      <c r="G95" s="5"/>
      <c r="H95" s="5"/>
      <c r="I95" s="5"/>
      <c r="J95" s="5"/>
      <c r="K95" s="5"/>
      <c r="L95" s="5"/>
      <c r="M95" s="5"/>
      <c r="N95" s="5"/>
      <c r="P95" s="185"/>
      <c r="Q95" s="183"/>
      <c r="R95" s="183"/>
    </row>
    <row r="96" spans="1:18">
      <c r="A96" s="2886"/>
      <c r="B96" s="2887"/>
      <c r="C96" s="2887"/>
      <c r="D96" s="2887"/>
      <c r="E96" s="2888"/>
      <c r="F96" s="220"/>
      <c r="G96" s="5"/>
      <c r="H96" s="5"/>
      <c r="I96" s="5"/>
      <c r="J96" s="5"/>
      <c r="K96" s="5"/>
      <c r="L96" s="5"/>
      <c r="M96" s="5"/>
      <c r="N96" s="5"/>
      <c r="P96" s="185"/>
      <c r="Q96" s="183"/>
      <c r="R96" s="183"/>
    </row>
    <row r="97" spans="1:18">
      <c r="A97" s="2889"/>
      <c r="B97" s="2890"/>
      <c r="C97" s="2890"/>
      <c r="D97" s="2890"/>
      <c r="E97" s="2891"/>
      <c r="K97" s="5"/>
      <c r="L97" s="5"/>
      <c r="P97" s="185"/>
      <c r="Q97" s="183"/>
      <c r="R97" s="183"/>
    </row>
    <row r="98" spans="1:18">
      <c r="L98" s="5"/>
      <c r="Q98" s="183"/>
      <c r="R98" s="183"/>
    </row>
    <row r="99" spans="1:18"/>
    <row r="102" spans="1:18"/>
    <row r="103" spans="1:18"/>
    <row r="113"/>
    <row r="114"/>
    <row r="115"/>
    <row r="116"/>
    <row r="117"/>
    <row r="118"/>
    <row r="120"/>
    <row r="121"/>
    <row r="122"/>
  </sheetData>
  <customSheetViews>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1"/>
      <headerFooter alignWithMargins="0">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3"/>
      <headerFooter>
        <oddHeader>&amp;L&amp;8Statistiska Centralbyrån
Offentlig ekonomi&amp;R&amp;P</oddHeader>
      </headerFooter>
    </customSheetView>
  </customSheetViews>
  <mergeCells count="7">
    <mergeCell ref="M4:N4"/>
    <mergeCell ref="M43:N43"/>
    <mergeCell ref="A94:E97"/>
    <mergeCell ref="T5:T6"/>
    <mergeCell ref="S5:S6"/>
    <mergeCell ref="Q78:S79"/>
    <mergeCell ref="B5:B6"/>
  </mergeCells>
  <phoneticPr fontId="96" type="noConversion"/>
  <conditionalFormatting sqref="D22:D25">
    <cfRule type="cellIs" dxfId="176" priority="25" stopIfTrue="1" operator="lessThan">
      <formula>-500</formula>
    </cfRule>
  </conditionalFormatting>
  <conditionalFormatting sqref="D51:D54">
    <cfRule type="cellIs" dxfId="175" priority="5" stopIfTrue="1" operator="lessThan">
      <formula>-500</formula>
    </cfRule>
  </conditionalFormatting>
  <conditionalFormatting sqref="D56:D62">
    <cfRule type="cellIs" dxfId="174" priority="6" stopIfTrue="1" operator="lessThan">
      <formula>-500</formula>
    </cfRule>
  </conditionalFormatting>
  <conditionalFormatting sqref="D19:E19 E92 E9 D9:D11 E12 J13:K13 D13:D15 J15:K15 E17 D21:E21 J22 J27:K27 D27:D30 E31:E32 D32 E56 D64:D73 J70 K71 E74 E82:E86">
    <cfRule type="cellIs" dxfId="173" priority="27" stopIfTrue="1" operator="lessThan">
      <formula>-500</formula>
    </cfRule>
  </conditionalFormatting>
  <conditionalFormatting sqref="D19:E19">
    <cfRule type="cellIs" dxfId="172" priority="22" stopIfTrue="1" operator="lessThan">
      <formula>0</formula>
    </cfRule>
  </conditionalFormatting>
  <conditionalFormatting sqref="E51">
    <cfRule type="cellIs" dxfId="171" priority="3" stopIfTrue="1" operator="lessThan">
      <formula>-500</formula>
    </cfRule>
  </conditionalFormatting>
  <conditionalFormatting sqref="E92">
    <cfRule type="cellIs" dxfId="170" priority="21" stopIfTrue="1" operator="lessThan">
      <formula>0</formula>
    </cfRule>
  </conditionalFormatting>
  <conditionalFormatting sqref="J24:J26">
    <cfRule type="cellIs" dxfId="169" priority="7" stopIfTrue="1" operator="lessThan">
      <formula>-500</formula>
    </cfRule>
  </conditionalFormatting>
  <conditionalFormatting sqref="J49:J50">
    <cfRule type="cellIs" dxfId="168" priority="1" stopIfTrue="1" operator="lessThan">
      <formula>-500</formula>
    </cfRule>
  </conditionalFormatting>
  <conditionalFormatting sqref="J87:J89 K91">
    <cfRule type="cellIs" dxfId="167" priority="20" stopIfTrue="1" operator="lessThan">
      <formula>0</formula>
    </cfRule>
    <cfRule type="cellIs" dxfId="166" priority="24" stopIfTrue="1" operator="lessThan">
      <formula>-500</formula>
    </cfRule>
  </conditionalFormatting>
  <conditionalFormatting sqref="J20:K20">
    <cfRule type="cellIs" dxfId="165" priority="23" stopIfTrue="1" operator="lessThan">
      <formula>-500</formula>
    </cfRule>
  </conditionalFormatting>
  <conditionalFormatting sqref="J55:K56">
    <cfRule type="cellIs" dxfId="164" priority="19" stopIfTrue="1" operator="lessThan">
      <formula>-500</formula>
    </cfRule>
  </conditionalFormatting>
  <conditionalFormatting sqref="J60:K60">
    <cfRule type="cellIs" dxfId="163" priority="16" stopIfTrue="1" operator="lessThan">
      <formula>-500</formula>
    </cfRule>
  </conditionalFormatting>
  <conditionalFormatting sqref="J62:K68">
    <cfRule type="cellIs" dxfId="162" priority="14" stopIfTrue="1" operator="lessThan">
      <formula>-500</formula>
    </cfRule>
  </conditionalFormatting>
  <conditionalFormatting sqref="M24:N24">
    <cfRule type="cellIs" dxfId="161" priority="10" stopIfTrue="1" operator="lessThan">
      <formula>-500</formula>
    </cfRule>
  </conditionalFormatting>
  <dataValidations count="6">
    <dataValidation type="decimal" operator="lessThan" allowBlank="1" showInputMessage="1" showErrorMessage="1" error="Beloppet ska vara i 1000 tal kronor" sqref="D9:E9 E82:E86 J55:K56 J13 J20 E74 J15 D56:D62 E56:E58 J22 D64:D73 D32 E31:E32 D21:E21 D19:E19 E17 D13:D16 E12 D10:D11 D22:D30 K62:K63 K68 K74:K75 J87:J89 E26 E60:E62 J62:J68 M24 J24 E91:E92 J70 K71 E49:E51 D49:D54 D42:E47" xr:uid="{00000000-0002-0000-0200-000000000000}">
      <formula1>999999999</formula1>
    </dataValidation>
    <dataValidation type="decimal" operator="lessThan" allowBlank="1" showInputMessage="1" showErrorMessage="1" error="Beloppet ska vara i 1000-tal kronor" sqref="J60:K60" xr:uid="{00000000-0002-0000-0200-000001000000}">
      <formula1>999999999</formula1>
    </dataValidation>
    <dataValidation type="decimal" operator="lessThan" allowBlank="1" showInputMessage="1" error="Beloppet ska vara i 1000 tal kronor" sqref="K13" xr:uid="{00000000-0002-0000-0200-000002000000}">
      <formula1>999999</formula1>
    </dataValidation>
    <dataValidation type="decimal" operator="lessThan" allowBlank="1" showInputMessage="1" error="Beloppet ska vara i 1000 tal kronor" sqref="K15" xr:uid="{00000000-0002-0000-0200-000003000000}">
      <formula1>999999999</formula1>
    </dataValidation>
    <dataValidation allowBlank="1" showInputMessage="1" sqref="K20:K21 N24 K23:K24 K26:K32" xr:uid="{00000000-0002-0000-0200-000004000000}"/>
    <dataValidation type="list" operator="lessThan" allowBlank="1" showDropDown="1" showInputMessage="1" showErrorMessage="1" error="Skriv endast &quot;Ja&quot; eller &quot;Nej&quot;. Notera stor bokstav." sqref="J49:J50" xr:uid="{9240E849-7284-4E4E-A8CF-B56CF6371BC4}">
      <formula1>"Ja,Nej"</formula1>
    </dataValidation>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56" max="16383" man="1"/>
  </rowBreaks>
  <ignoredErrors>
    <ignoredError sqref="B15:B16 A22:B23 A9:A21 B19 B25 B31 A31:A34 H13 G15:H15 G20:H20 G22 A50 A57:A66 B61:B62 B64:B65 A68:A75 B69 B71:B72 G55:H55 G60 H64:H65 G74:G75 H75 A82:A87 G62:G66 A24:A30 B27:B29" numberStoredAsText="1"/>
  </ignoredError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93"/>
  <sheetViews>
    <sheetView showGridLines="0" zoomScale="96" zoomScaleNormal="96" workbookViewId="0">
      <pane ySplit="1" topLeftCell="A2" activePane="bottomLeft" state="frozen"/>
      <selection activeCell="F36" sqref="F36"/>
      <selection pane="bottomLeft"/>
    </sheetView>
  </sheetViews>
  <sheetFormatPr defaultColWidth="0" defaultRowHeight="0" customHeight="1" zeroHeight="1"/>
  <cols>
    <col min="1" max="1" width="4" style="183" customWidth="1"/>
    <col min="2" max="2" width="14.453125" style="183" customWidth="1"/>
    <col min="3" max="3" width="40.453125" style="183" customWidth="1"/>
    <col min="4" max="4" width="11.54296875" style="183" customWidth="1"/>
    <col min="5" max="5" width="26.26953125" style="183" customWidth="1"/>
    <col min="6" max="6" width="4" style="183" customWidth="1"/>
    <col min="7" max="7" width="8.453125" style="183" customWidth="1"/>
    <col min="8" max="8" width="30.54296875" style="183" customWidth="1"/>
    <col min="9" max="9" width="9.453125" style="183" customWidth="1"/>
    <col min="10" max="10" width="29.453125" style="183" customWidth="1"/>
    <col min="11" max="11" width="1.54296875" style="183" customWidth="1"/>
    <col min="12" max="12" width="4.453125" style="183" customWidth="1"/>
    <col min="13" max="13" width="9.453125" style="183" customWidth="1"/>
    <col min="14" max="14" width="9.1796875" style="183" customWidth="1"/>
    <col min="15" max="15" width="15" style="183" customWidth="1"/>
    <col min="16" max="16" width="1.54296875" style="183" customWidth="1"/>
    <col min="17" max="17" width="3.54296875" style="183" customWidth="1"/>
    <col min="18" max="18" width="13.54296875" style="508" customWidth="1"/>
    <col min="19" max="19" width="4.453125" style="508" customWidth="1"/>
    <col min="20" max="20" width="8.453125" style="183" customWidth="1"/>
    <col min="21" max="21" width="8" style="183" customWidth="1"/>
    <col min="22" max="22" width="16" style="183" customWidth="1"/>
    <col min="23" max="25" width="9.453125" style="183" customWidth="1"/>
    <col min="26" max="16384" width="0" style="183" hidden="1"/>
  </cols>
  <sheetData>
    <row r="1" spans="1:20" s="220" customFormat="1" ht="20">
      <c r="A1" s="100" t="str">
        <f>"Verksamhetens intäkter och kostnader "&amp;År&amp;", 1 000 tal kr"</f>
        <v>Verksamhetens intäkter och kostnader 2025, 1 000 tal kr</v>
      </c>
      <c r="B1" s="182"/>
      <c r="C1" s="182"/>
      <c r="D1" s="182"/>
      <c r="E1" s="182"/>
      <c r="F1" s="182"/>
      <c r="G1" s="182"/>
      <c r="H1" s="619"/>
      <c r="I1" s="615">
        <f>Information!B3</f>
        <v>0</v>
      </c>
      <c r="J1" s="616">
        <f>Information!B2</f>
        <v>0</v>
      </c>
      <c r="K1" s="616"/>
      <c r="L1" s="616"/>
      <c r="M1" s="616"/>
      <c r="N1" s="616"/>
      <c r="O1" s="616"/>
      <c r="P1" s="1615"/>
      <c r="Q1" s="183"/>
      <c r="R1" s="183"/>
      <c r="S1" s="183"/>
      <c r="T1" s="183"/>
    </row>
    <row r="2" spans="1:20" s="220" customFormat="1" ht="12.75" customHeight="1">
      <c r="A2" s="1456"/>
      <c r="D2" s="424"/>
      <c r="E2" s="46" t="s">
        <v>623</v>
      </c>
      <c r="F2" s="5"/>
      <c r="G2" s="5"/>
      <c r="I2" s="419"/>
      <c r="J2" s="86" t="s">
        <v>985</v>
      </c>
      <c r="K2" s="46"/>
      <c r="Q2" s="183"/>
      <c r="R2" s="183"/>
      <c r="S2" s="183"/>
      <c r="T2" s="183"/>
    </row>
    <row r="3" spans="1:20" s="220" customFormat="1" ht="12.75" customHeight="1">
      <c r="D3" s="1669"/>
      <c r="E3" s="86" t="s">
        <v>1062</v>
      </c>
      <c r="F3" s="5"/>
      <c r="G3" s="5"/>
      <c r="I3" s="105"/>
      <c r="J3" s="46" t="s">
        <v>622</v>
      </c>
      <c r="K3" s="46"/>
      <c r="Q3" s="183"/>
      <c r="R3" s="183"/>
      <c r="S3" s="183"/>
      <c r="T3" s="183"/>
    </row>
    <row r="4" spans="1:20" s="220" customFormat="1" ht="16.5" customHeight="1" thickBot="1">
      <c r="A4" s="81" t="s">
        <v>372</v>
      </c>
      <c r="B4" s="5"/>
      <c r="C4" s="5"/>
      <c r="D4" s="5"/>
      <c r="E4" s="86" t="s">
        <v>1039</v>
      </c>
      <c r="H4" s="5"/>
      <c r="I4" s="5"/>
      <c r="J4" s="5"/>
      <c r="K4" s="5"/>
      <c r="L4" s="1535" t="str">
        <f>"Kontroller av förändring mellan "&amp;År-1&amp;" och "&amp;År&amp;""</f>
        <v>Kontroller av förändring mellan 2024 och 2025</v>
      </c>
      <c r="Q4" s="183"/>
      <c r="R4" s="183"/>
      <c r="S4" s="183"/>
      <c r="T4" s="183"/>
    </row>
    <row r="5" spans="1:20" s="220" customFormat="1" ht="12.75" customHeight="1">
      <c r="A5" s="727" t="s">
        <v>864</v>
      </c>
      <c r="B5" s="2712" t="str">
        <f>"BAS "&amp;År-2000&amp;""</f>
        <v>BAS 25</v>
      </c>
      <c r="C5" s="726"/>
      <c r="D5" s="886"/>
      <c r="E5" s="5"/>
      <c r="H5" s="5"/>
      <c r="I5" s="5"/>
      <c r="J5" s="5"/>
      <c r="K5" s="5"/>
      <c r="L5" s="727" t="s">
        <v>864</v>
      </c>
      <c r="M5" s="888" t="s">
        <v>511</v>
      </c>
      <c r="N5" s="888" t="s">
        <v>981</v>
      </c>
      <c r="O5" s="889" t="s">
        <v>40</v>
      </c>
      <c r="P5" s="1616"/>
      <c r="Q5" s="96"/>
      <c r="R5" s="515"/>
      <c r="S5" s="96"/>
      <c r="T5" s="1534"/>
    </row>
    <row r="6" spans="1:20" s="220" customFormat="1" ht="15.75" customHeight="1">
      <c r="A6" s="872" t="s">
        <v>866</v>
      </c>
      <c r="B6" s="2898"/>
      <c r="C6" s="874"/>
      <c r="D6" s="887"/>
      <c r="E6" s="5"/>
      <c r="H6" s="72"/>
      <c r="I6" s="72"/>
      <c r="J6" s="5"/>
      <c r="K6" s="5"/>
      <c r="L6" s="872" t="s">
        <v>866</v>
      </c>
      <c r="M6" s="890">
        <f>År-1</f>
        <v>2024</v>
      </c>
      <c r="N6" s="890" t="str">
        <f>År-1&amp;-År</f>
        <v>2024-2025</v>
      </c>
      <c r="O6" s="891"/>
      <c r="P6" s="1616"/>
      <c r="Q6" s="1839"/>
      <c r="R6" s="1619"/>
      <c r="S6" s="287"/>
      <c r="T6" s="2503"/>
    </row>
    <row r="7" spans="1:20" s="220" customFormat="1" ht="15" customHeight="1">
      <c r="A7" s="875"/>
      <c r="B7" s="2899"/>
      <c r="C7" s="876"/>
      <c r="D7" s="810"/>
      <c r="E7" s="5"/>
      <c r="H7" s="72"/>
      <c r="I7" s="72"/>
      <c r="J7" s="5"/>
      <c r="K7" s="5"/>
      <c r="L7" s="875"/>
      <c r="M7" s="892"/>
      <c r="N7" s="893" t="s">
        <v>982</v>
      </c>
      <c r="O7" s="894"/>
      <c r="P7" s="1616"/>
      <c r="Q7" s="94"/>
      <c r="R7" s="1840"/>
      <c r="S7" s="1572"/>
      <c r="T7" s="1841"/>
    </row>
    <row r="8" spans="1:20" s="220" customFormat="1" ht="13" thickBot="1">
      <c r="A8" s="677">
        <v>130</v>
      </c>
      <c r="B8" s="2709" t="s">
        <v>997</v>
      </c>
      <c r="C8" s="2708" t="s">
        <v>1705</v>
      </c>
      <c r="D8" s="240"/>
      <c r="E8" s="193"/>
      <c r="F8" s="5"/>
      <c r="G8" s="5"/>
      <c r="H8" s="72"/>
      <c r="I8" s="72"/>
      <c r="J8" s="5"/>
      <c r="K8" s="5"/>
      <c r="L8" s="677">
        <v>130</v>
      </c>
      <c r="M8" s="1511"/>
      <c r="N8" s="895">
        <f>IF(ISERROR((D8-M8)/M8),0,((D8-M8)/M8))</f>
        <v>0</v>
      </c>
      <c r="O8" s="2728" t="str">
        <f>IF(AND(ABS(N8)&gt;50%,ABS(D8-M8)&gt;50000),"Kommentera förändringen",IF(AND(ABS(N8)&gt;40%,ABS(D8-M8)&gt;20000),"Kontrollera förändringen",""))</f>
        <v/>
      </c>
      <c r="P8" s="1617"/>
      <c r="Q8" s="1619"/>
      <c r="R8" s="1619"/>
      <c r="S8" s="1619"/>
      <c r="T8" s="183"/>
    </row>
    <row r="9" spans="1:20" s="220" customFormat="1" ht="12.5">
      <c r="A9" s="878">
        <v>200</v>
      </c>
      <c r="B9" s="879">
        <v>311</v>
      </c>
      <c r="C9" s="880" t="s">
        <v>924</v>
      </c>
      <c r="D9" s="190"/>
      <c r="E9" s="193"/>
      <c r="F9" s="5"/>
      <c r="G9" s="5"/>
      <c r="H9" s="72"/>
      <c r="I9" s="72"/>
      <c r="J9" s="5"/>
      <c r="K9" s="5"/>
      <c r="L9" s="1464"/>
      <c r="M9" s="1512"/>
      <c r="N9" s="1461"/>
      <c r="O9" s="1469"/>
      <c r="P9" s="1617"/>
      <c r="Q9" s="1557"/>
      <c r="R9" s="1557"/>
      <c r="S9" s="1557"/>
      <c r="T9" s="183"/>
    </row>
    <row r="10" spans="1:20" s="220" customFormat="1" ht="12.5">
      <c r="A10" s="881">
        <v>210</v>
      </c>
      <c r="B10" s="790">
        <v>312</v>
      </c>
      <c r="C10" s="884" t="s">
        <v>1567</v>
      </c>
      <c r="D10" s="190"/>
      <c r="E10" s="193"/>
      <c r="F10" s="5"/>
      <c r="G10" s="5"/>
      <c r="H10" s="72"/>
      <c r="I10" s="72"/>
      <c r="J10" s="5"/>
      <c r="K10" s="5"/>
      <c r="L10" s="1465"/>
      <c r="M10" s="1207"/>
      <c r="N10" s="1462"/>
      <c r="O10" s="1470"/>
      <c r="P10" s="1617"/>
      <c r="Q10" s="1557"/>
      <c r="R10" s="1557"/>
      <c r="S10" s="1557"/>
      <c r="T10" s="183"/>
    </row>
    <row r="11" spans="1:20" s="220" customFormat="1" ht="19.5" customHeight="1">
      <c r="A11" s="881">
        <v>280</v>
      </c>
      <c r="B11" s="2471">
        <v>313</v>
      </c>
      <c r="C11" s="880" t="s">
        <v>925</v>
      </c>
      <c r="D11" s="190"/>
      <c r="E11" s="193"/>
      <c r="F11" s="5"/>
      <c r="G11" s="5"/>
      <c r="H11" s="72"/>
      <c r="I11" s="72"/>
      <c r="J11" s="5"/>
      <c r="K11" s="5"/>
      <c r="L11" s="878"/>
      <c r="M11" s="1432"/>
      <c r="N11" s="1485"/>
      <c r="O11" s="1471"/>
      <c r="P11" s="1617"/>
      <c r="Q11" s="1557"/>
      <c r="R11" s="1842"/>
      <c r="S11" s="1842"/>
      <c r="T11" s="183"/>
    </row>
    <row r="12" spans="1:20" s="220" customFormat="1" ht="13" thickBot="1">
      <c r="A12" s="882">
        <v>290</v>
      </c>
      <c r="B12" s="2710"/>
      <c r="C12" s="883" t="s">
        <v>926</v>
      </c>
      <c r="D12" s="425">
        <f>SUM(D9:D11)</f>
        <v>0</v>
      </c>
      <c r="E12" s="193"/>
      <c r="F12" s="184"/>
      <c r="G12" s="5"/>
      <c r="H12" s="72"/>
      <c r="I12" s="72"/>
      <c r="J12" s="5"/>
      <c r="K12" s="5"/>
      <c r="L12" s="882">
        <v>290</v>
      </c>
      <c r="M12" s="1440">
        <v>0</v>
      </c>
      <c r="N12" s="1484">
        <f>IF(ISERROR((D12-M12)/M12),0,((D12-M12)/M12))</f>
        <v>0</v>
      </c>
      <c r="O12" s="2729" t="str">
        <f>IF(AND(ABS(N12)&gt;50%,ABS(D12-M12)&gt;50000),"Kommentera förändringen",IF(AND(ABS(N12)&gt;20%,ABS(D12-M12)&gt;20000),"Kontrollera förändringen",""))</f>
        <v/>
      </c>
      <c r="P12" s="1617"/>
      <c r="Q12" s="1557"/>
      <c r="R12" s="1557"/>
      <c r="S12" s="1557"/>
      <c r="T12" s="183"/>
    </row>
    <row r="13" spans="1:20" s="220" customFormat="1" ht="12.5">
      <c r="A13" s="681">
        <v>400</v>
      </c>
      <c r="B13" s="676">
        <v>341</v>
      </c>
      <c r="C13" s="884" t="s">
        <v>927</v>
      </c>
      <c r="D13" s="190"/>
      <c r="E13" s="193"/>
      <c r="F13" s="5"/>
      <c r="G13" s="5"/>
      <c r="H13" s="72"/>
      <c r="I13" s="72"/>
      <c r="J13" s="5"/>
      <c r="K13" s="5"/>
      <c r="L13" s="681">
        <v>400</v>
      </c>
      <c r="M13" s="1432"/>
      <c r="N13" s="897">
        <f>IF(ISERROR((D13-M13)/M13),0,((D13-M13)/M13))</f>
        <v>0</v>
      </c>
      <c r="O13" s="1471" t="str">
        <f>IF(AND(ABS(N13)&gt;20%,ABS(D13-M13)&gt;20000),"Kommentera förändringen","")</f>
        <v/>
      </c>
      <c r="P13" s="1617"/>
      <c r="Q13" s="1619"/>
      <c r="R13" s="1619"/>
      <c r="S13" s="1619"/>
      <c r="T13" s="183"/>
    </row>
    <row r="14" spans="1:20" s="220" customFormat="1" ht="12.5">
      <c r="A14" s="679">
        <v>420</v>
      </c>
      <c r="B14" s="790">
        <v>342</v>
      </c>
      <c r="C14" s="884" t="s">
        <v>928</v>
      </c>
      <c r="D14" s="190"/>
      <c r="E14" s="193"/>
      <c r="F14" s="5"/>
      <c r="G14" s="5"/>
      <c r="H14" s="72"/>
      <c r="I14" s="72"/>
      <c r="J14" s="5"/>
      <c r="K14" s="5"/>
      <c r="L14" s="683"/>
      <c r="M14" s="1216"/>
      <c r="N14" s="1466"/>
      <c r="O14" s="1472"/>
      <c r="P14" s="1617"/>
      <c r="Q14" s="1619"/>
      <c r="R14" s="1619"/>
      <c r="S14" s="1619"/>
      <c r="T14" s="183"/>
    </row>
    <row r="15" spans="1:20" s="220" customFormat="1" ht="12.5">
      <c r="A15" s="679">
        <v>480</v>
      </c>
      <c r="B15" s="790" t="s">
        <v>929</v>
      </c>
      <c r="C15" s="884" t="s">
        <v>998</v>
      </c>
      <c r="D15" s="190"/>
      <c r="E15" s="193"/>
      <c r="G15" s="185"/>
      <c r="H15" s="236"/>
      <c r="I15" s="236"/>
      <c r="J15" s="5"/>
      <c r="K15" s="5"/>
      <c r="L15" s="906"/>
      <c r="M15" s="1207"/>
      <c r="N15" s="1462"/>
      <c r="O15" s="1470"/>
      <c r="P15" s="1617"/>
      <c r="Q15" s="1619"/>
      <c r="R15" s="1619"/>
      <c r="S15" s="1619"/>
      <c r="T15" s="183"/>
    </row>
    <row r="16" spans="1:20" s="220" customFormat="1" ht="13.5" thickBot="1">
      <c r="A16" s="690">
        <v>490</v>
      </c>
      <c r="B16" s="877"/>
      <c r="C16" s="885" t="s">
        <v>930</v>
      </c>
      <c r="D16" s="425">
        <f>SUM(D13:D15)</f>
        <v>0</v>
      </c>
      <c r="E16" s="193"/>
      <c r="F16" s="82" t="s">
        <v>999</v>
      </c>
      <c r="G16" s="46"/>
      <c r="H16" s="359"/>
      <c r="I16" s="236"/>
      <c r="J16" s="5"/>
      <c r="K16" s="5"/>
      <c r="L16" s="677">
        <v>490</v>
      </c>
      <c r="M16" s="1513"/>
      <c r="N16" s="1463">
        <f>IF(ISERROR((D16-M16)/M16),0,((D16-M16)/M16))</f>
        <v>0</v>
      </c>
      <c r="O16" s="1473" t="str">
        <f>IF(AND(ABS(N16)&gt;50%,ABS(D16-M16)&gt;50000),"Kommentera förändringen",IF(AND(ABS(N16)&gt;20%,ABS(D16-M16)&gt;20000),"Kontrollera förändringen",""))</f>
        <v/>
      </c>
      <c r="P16" s="1617"/>
      <c r="Q16" s="1619"/>
      <c r="R16" s="1619"/>
      <c r="S16" s="1619"/>
      <c r="T16" s="183"/>
    </row>
    <row r="17" spans="1:22" s="220" customFormat="1" ht="12.5">
      <c r="A17" s="878">
        <v>500</v>
      </c>
      <c r="B17" s="879">
        <v>351</v>
      </c>
      <c r="C17" s="884" t="s">
        <v>1600</v>
      </c>
      <c r="D17" s="190"/>
      <c r="E17" s="251" t="str">
        <f>IF(ABS(Motpart!AA44)&gt;100,"Differens i Motpart kol.AA, kontrollera differensen där","")</f>
        <v/>
      </c>
      <c r="F17" s="1630"/>
      <c r="G17" s="1630"/>
      <c r="H17" s="1631"/>
      <c r="I17" s="79"/>
      <c r="J17" s="311"/>
      <c r="K17" s="5"/>
      <c r="L17" s="1464"/>
      <c r="M17" s="1512"/>
      <c r="N17" s="1461"/>
      <c r="O17" s="1469"/>
      <c r="P17" s="1617"/>
      <c r="Q17" s="1557"/>
      <c r="R17" s="1557"/>
      <c r="S17" s="1557"/>
      <c r="T17" s="183"/>
    </row>
    <row r="18" spans="1:22" s="220" customFormat="1" ht="12.5">
      <c r="A18" s="881">
        <v>510</v>
      </c>
      <c r="B18" s="672">
        <v>351</v>
      </c>
      <c r="C18" s="884" t="s">
        <v>1598</v>
      </c>
      <c r="D18" s="190"/>
      <c r="E18" s="193"/>
      <c r="G18" s="1628"/>
      <c r="H18" s="96"/>
      <c r="I18" s="157"/>
      <c r="J18" s="5"/>
      <c r="K18" s="5"/>
      <c r="L18" s="1465"/>
      <c r="M18" s="1207"/>
      <c r="N18" s="1462"/>
      <c r="O18" s="1470"/>
      <c r="P18" s="1617"/>
      <c r="Q18" s="1557"/>
      <c r="R18" s="1557"/>
      <c r="S18" s="1557"/>
      <c r="T18" s="183"/>
    </row>
    <row r="19" spans="1:22" s="220" customFormat="1" ht="12.5">
      <c r="A19" s="881">
        <v>520</v>
      </c>
      <c r="B19" s="672">
        <v>351</v>
      </c>
      <c r="C19" s="884" t="s">
        <v>1599</v>
      </c>
      <c r="D19" s="190"/>
      <c r="E19" s="193" t="str">
        <f>IF((D19-I19)&gt;10000, "Vad ingår på rad 520? Kommentera beloppet", "")</f>
        <v/>
      </c>
      <c r="F19" s="1719" t="s">
        <v>1557</v>
      </c>
      <c r="G19" s="1720" t="s">
        <v>425</v>
      </c>
      <c r="H19" s="1556" t="s">
        <v>1715</v>
      </c>
      <c r="I19" s="317"/>
      <c r="J19" s="1503" t="str">
        <f>IF(SUM(I19)&gt;D19,"Däravrad 524 &gt; rad 520",IF(D19=0,"",IF(I19="","Skriv belopp eller 0","")))</f>
        <v/>
      </c>
      <c r="K19" s="5"/>
      <c r="L19" s="1465"/>
      <c r="M19" s="1207"/>
      <c r="N19" s="1462"/>
      <c r="O19" s="1470"/>
      <c r="P19" s="1617"/>
      <c r="Q19" s="1557"/>
      <c r="R19" s="1557"/>
      <c r="S19" s="1557"/>
      <c r="T19" s="183"/>
    </row>
    <row r="20" spans="1:22" s="220" customFormat="1" ht="12.5">
      <c r="A20" s="881">
        <v>521</v>
      </c>
      <c r="B20" s="672">
        <v>351</v>
      </c>
      <c r="C20" s="884" t="s">
        <v>1672</v>
      </c>
      <c r="D20" s="190"/>
      <c r="E20" s="193"/>
      <c r="F20" s="1630"/>
      <c r="G20" s="1630"/>
      <c r="H20" s="1533"/>
      <c r="I20" s="1771"/>
      <c r="J20" s="1503"/>
      <c r="K20" s="5"/>
      <c r="L20" s="1465"/>
      <c r="M20" s="1207"/>
      <c r="N20" s="1462"/>
      <c r="O20" s="1470"/>
      <c r="P20" s="1617"/>
      <c r="Q20" s="1557"/>
      <c r="R20" s="1557"/>
      <c r="S20" s="1557"/>
      <c r="T20" s="183"/>
    </row>
    <row r="21" spans="1:22" s="220" customFormat="1" ht="12.5">
      <c r="A21" s="881">
        <v>525</v>
      </c>
      <c r="B21" s="672">
        <v>354</v>
      </c>
      <c r="C21" s="884" t="s">
        <v>1642</v>
      </c>
      <c r="D21" s="423"/>
      <c r="E21" s="193" t="str">
        <f>IF(D21="","Ange belopp eller 0",IF(D21=0,"Stämmer det att ni inte har erhållit några ersättningar från Försäkringskassan?",""))</f>
        <v>Ange belopp eller 0</v>
      </c>
      <c r="F21" s="1619"/>
      <c r="G21" s="1628"/>
      <c r="H21" s="1629"/>
      <c r="I21" s="157"/>
      <c r="J21" s="5"/>
      <c r="K21" s="5"/>
      <c r="L21" s="878"/>
      <c r="M21" s="1432"/>
      <c r="N21" s="897"/>
      <c r="O21" s="1471"/>
      <c r="P21" s="1617"/>
      <c r="Q21" s="1557"/>
      <c r="R21" s="1557"/>
      <c r="S21" s="1557"/>
      <c r="T21" s="183"/>
      <c r="V21" s="183"/>
    </row>
    <row r="22" spans="1:22" s="220" customFormat="1" ht="12.5">
      <c r="A22" s="881">
        <v>527</v>
      </c>
      <c r="B22" s="672">
        <v>356</v>
      </c>
      <c r="C22" s="2819" t="s">
        <v>1880</v>
      </c>
      <c r="D22" s="241"/>
      <c r="E22" s="193" t="str">
        <f>IF(D22="","Ange belopp eller 0","")</f>
        <v>Ange belopp eller 0</v>
      </c>
      <c r="F22" s="5"/>
      <c r="G22" s="72"/>
      <c r="H22" s="72"/>
      <c r="I22" s="72"/>
      <c r="J22" s="5"/>
      <c r="K22" s="5"/>
      <c r="L22" s="881">
        <v>527</v>
      </c>
      <c r="M22" s="1420">
        <v>0</v>
      </c>
      <c r="N22" s="898">
        <f>IF(ISERROR((D22-M22)/M22),0,((D22-M22)/M22))</f>
        <v>0</v>
      </c>
      <c r="O22" s="1504" t="str">
        <f>IF(AND(ABS(N22)&gt;20%,ABS(D22-M22)&gt;20000),"Kommentera förändringen","")</f>
        <v/>
      </c>
      <c r="P22" s="1617"/>
      <c r="Q22" s="1557"/>
      <c r="R22" s="1557"/>
      <c r="S22" s="1557"/>
      <c r="T22" s="183"/>
      <c r="V22" s="183"/>
    </row>
    <row r="23" spans="1:22" s="220" customFormat="1" ht="12.5">
      <c r="A23" s="881">
        <v>550</v>
      </c>
      <c r="B23" s="672">
        <v>358</v>
      </c>
      <c r="C23" s="884" t="s">
        <v>206</v>
      </c>
      <c r="D23" s="241"/>
      <c r="E23" s="252"/>
      <c r="F23" s="5"/>
      <c r="G23" s="5"/>
      <c r="H23" s="72"/>
      <c r="I23" s="72"/>
      <c r="J23" s="5"/>
      <c r="K23" s="5"/>
      <c r="L23" s="1467"/>
      <c r="M23" s="1216"/>
      <c r="N23" s="1466"/>
      <c r="O23" s="1472"/>
      <c r="P23" s="1617"/>
      <c r="Q23" s="1557"/>
      <c r="R23" s="1557"/>
      <c r="S23" s="1557"/>
      <c r="T23" s="183"/>
      <c r="V23" s="183"/>
    </row>
    <row r="24" spans="1:22" s="220" customFormat="1" ht="15" customHeight="1">
      <c r="A24" s="881">
        <v>560</v>
      </c>
      <c r="B24" s="672">
        <v>357</v>
      </c>
      <c r="C24" s="2546" t="s">
        <v>1568</v>
      </c>
      <c r="D24" s="241"/>
      <c r="E24" s="252"/>
      <c r="F24" s="1630"/>
      <c r="G24" s="1628"/>
      <c r="H24" s="1629"/>
      <c r="I24" s="157"/>
      <c r="J24" s="1536"/>
      <c r="K24" s="5"/>
      <c r="L24" s="878"/>
      <c r="M24" s="1432"/>
      <c r="N24" s="897"/>
      <c r="O24" s="1471"/>
      <c r="P24" s="1617"/>
      <c r="Q24" s="1557"/>
      <c r="R24" s="1843"/>
      <c r="S24" s="1844"/>
      <c r="T24" s="1845"/>
      <c r="V24" s="1619"/>
    </row>
    <row r="25" spans="1:22" s="220" customFormat="1" ht="12.5">
      <c r="A25" s="1467">
        <v>570</v>
      </c>
      <c r="B25" s="790" t="s">
        <v>1626</v>
      </c>
      <c r="C25" s="2653" t="s">
        <v>1701</v>
      </c>
      <c r="D25" s="108"/>
      <c r="E25" s="2598" t="str">
        <f>IF(D25=0,"",IF(OR(SUM(D25-I25)&gt;2000,SUM(D25-I25)/D26&gt;2%),"Kommentera övriga bidrag.",IF(ABS(Motpart!AC44)&gt;100,"Differens i Motpart kol.AC, kontrollera","")))</f>
        <v/>
      </c>
      <c r="F25" s="1719" t="s">
        <v>1562</v>
      </c>
      <c r="G25" s="1720" t="s">
        <v>1625</v>
      </c>
      <c r="H25" s="1556" t="s">
        <v>1637</v>
      </c>
      <c r="I25" s="2641"/>
      <c r="J25" s="1503" t="str">
        <f>IF(SUM(I25)&gt;D25,"Däravrad 577 &gt; rad 570",IF(D25=0,"",IF(I25="","Skriv belopp eller 0","")))</f>
        <v/>
      </c>
      <c r="K25" s="5"/>
      <c r="L25" s="1465"/>
      <c r="M25" s="1207"/>
      <c r="N25" s="1462"/>
      <c r="O25" s="1470"/>
      <c r="P25" s="1617"/>
      <c r="Q25" s="1557"/>
      <c r="R25" s="1843"/>
      <c r="S25" s="1844"/>
      <c r="T25" s="1845"/>
      <c r="V25" s="1619"/>
    </row>
    <row r="26" spans="1:22" s="220" customFormat="1" ht="15.75" customHeight="1" thickBot="1">
      <c r="A26" s="882">
        <v>590</v>
      </c>
      <c r="B26" s="678"/>
      <c r="C26" s="2696" t="s">
        <v>931</v>
      </c>
      <c r="D26" s="425">
        <f>SUM(D17:D25)</f>
        <v>0</v>
      </c>
      <c r="E26" s="2598" t="str">
        <f>IF(D25=0,"",IF(OR(SUM(D25-I25)&gt;2000,SUM(D25-I25)/D26&gt;2%),"OBS! Kostn.ers./bidrag från stat. myndigheter, t.ex. Migrationsverket eller Skolverket redovisas på rad 500!",""))</f>
        <v/>
      </c>
      <c r="F26" s="5"/>
      <c r="G26" s="46"/>
      <c r="H26" s="72"/>
      <c r="I26" s="72"/>
      <c r="J26" s="5"/>
      <c r="K26" s="5"/>
      <c r="L26" s="882">
        <v>590</v>
      </c>
      <c r="M26" s="1440">
        <v>0</v>
      </c>
      <c r="N26" s="899">
        <f>IF(ISERROR((D26-M26)/M26),0,((D26-M26)/M26))</f>
        <v>0</v>
      </c>
      <c r="O26" s="1473" t="str">
        <f>IF(AND(ABS(N26)&gt;50%,ABS(D26-M26)&gt;100000),"Kommentera förändringen",IF(AND(ABS(N26)&gt;30%,ABS(D26-M26)&gt;40000),"Kontrollera förändringen",""))</f>
        <v/>
      </c>
      <c r="P26" s="1617"/>
      <c r="Q26" s="1557"/>
      <c r="R26" s="1557"/>
      <c r="S26" s="1557"/>
      <c r="T26" s="183"/>
      <c r="V26" s="1619"/>
    </row>
    <row r="27" spans="1:22" s="220" customFormat="1" ht="12.5">
      <c r="A27" s="681">
        <v>310</v>
      </c>
      <c r="B27" s="676" t="s">
        <v>1049</v>
      </c>
      <c r="C27" s="884" t="s">
        <v>1496</v>
      </c>
      <c r="D27" s="241"/>
      <c r="E27" s="252"/>
      <c r="F27" s="1722" t="s">
        <v>1056</v>
      </c>
      <c r="G27" s="1723" t="s">
        <v>1051</v>
      </c>
      <c r="H27" s="865" t="s">
        <v>1000</v>
      </c>
      <c r="I27" s="319"/>
      <c r="J27" s="1503" t="str">
        <f>IF(SUM(I27)&gt;D27,"Däravrad 317 &gt; rad 310",IF(D27=0,"",IF(I27="","Skriv belopp eller 0","")))</f>
        <v/>
      </c>
      <c r="K27" s="5"/>
      <c r="L27" s="1468"/>
      <c r="M27" s="1512"/>
      <c r="N27" s="1461"/>
      <c r="O27" s="1469"/>
      <c r="P27" s="1617"/>
      <c r="Q27" s="1619"/>
      <c r="R27" s="1619"/>
      <c r="S27" s="1619"/>
      <c r="T27" s="1628"/>
      <c r="V27" s="1619"/>
    </row>
    <row r="28" spans="1:22" s="220" customFormat="1" ht="12.5">
      <c r="A28" s="681">
        <v>320</v>
      </c>
      <c r="B28" s="839" t="s">
        <v>1049</v>
      </c>
      <c r="C28" s="884" t="s">
        <v>1559</v>
      </c>
      <c r="D28" s="241"/>
      <c r="E28" s="252"/>
      <c r="F28" s="2513" t="s">
        <v>1057</v>
      </c>
      <c r="G28" s="686">
        <v>361</v>
      </c>
      <c r="H28" s="2514" t="s">
        <v>1498</v>
      </c>
      <c r="I28" s="2475"/>
      <c r="J28" s="1503" t="str">
        <f>IF(SUM(I28)&gt;D28,"Däravrad 327 &gt; rad 320",IF(D28=0,"",IF(I28="","Skriv belopp eller 0","")))</f>
        <v/>
      </c>
      <c r="K28" s="5"/>
      <c r="L28" s="906"/>
      <c r="M28" s="1207"/>
      <c r="N28" s="1462"/>
      <c r="O28" s="1470"/>
      <c r="P28" s="1617"/>
      <c r="Q28" s="1619"/>
      <c r="R28" s="1619"/>
      <c r="S28" s="1619"/>
      <c r="T28" s="1628"/>
      <c r="V28" s="1619"/>
    </row>
    <row r="29" spans="1:22" s="220" customFormat="1" ht="12.5">
      <c r="A29" s="681">
        <v>321</v>
      </c>
      <c r="B29" s="839" t="s">
        <v>1049</v>
      </c>
      <c r="C29" s="884" t="s">
        <v>1497</v>
      </c>
      <c r="D29" s="241"/>
      <c r="E29" s="252"/>
      <c r="F29" s="1823" t="s">
        <v>1558</v>
      </c>
      <c r="G29" s="2631">
        <v>361</v>
      </c>
      <c r="H29" s="2629" t="s">
        <v>1704</v>
      </c>
      <c r="I29" s="2635"/>
      <c r="J29" s="1503" t="str">
        <f>IF(SUM(I29)&gt;D29,"Däravrad 328 &gt; rad 321",IF(D29=0,"",IF(I29="","Skriv belopp eller 0","")))</f>
        <v/>
      </c>
      <c r="K29" s="5"/>
      <c r="L29" s="906"/>
      <c r="M29" s="1207"/>
      <c r="N29" s="1462"/>
      <c r="O29" s="1470"/>
      <c r="P29" s="1617"/>
      <c r="Q29" s="1619"/>
      <c r="R29" s="1619"/>
      <c r="S29" s="1619"/>
      <c r="T29" s="1628"/>
      <c r="V29" s="183"/>
    </row>
    <row r="30" spans="1:22" s="220" customFormat="1" ht="16.5" customHeight="1">
      <c r="A30" s="679">
        <v>380</v>
      </c>
      <c r="B30" s="1721" t="s">
        <v>1040</v>
      </c>
      <c r="C30" s="884" t="s">
        <v>1706</v>
      </c>
      <c r="D30" s="241"/>
      <c r="E30" s="252"/>
      <c r="F30" s="1823" t="s">
        <v>1634</v>
      </c>
      <c r="G30" s="2654">
        <v>365</v>
      </c>
      <c r="H30" s="2655" t="s">
        <v>1627</v>
      </c>
      <c r="I30" s="2636"/>
      <c r="J30" s="1536" t="str">
        <f>IF(SUM(I30)&gt;D30,"Däravrad 329 &gt; rad 380",IF(D30=0,"",IF(I30="","Skriv belopp eller 0","")))</f>
        <v/>
      </c>
      <c r="K30" s="5"/>
      <c r="L30" s="681"/>
      <c r="M30" s="1432"/>
      <c r="N30" s="897"/>
      <c r="O30" s="1471"/>
      <c r="P30" s="1617"/>
      <c r="Q30" s="1619"/>
      <c r="R30" s="1619"/>
      <c r="S30" s="1619"/>
      <c r="T30" s="183"/>
    </row>
    <row r="31" spans="1:22" s="220" customFormat="1" ht="13" thickBot="1">
      <c r="A31" s="683">
        <v>390</v>
      </c>
      <c r="B31" s="673"/>
      <c r="C31" s="885" t="s">
        <v>1002</v>
      </c>
      <c r="D31" s="426">
        <f>SUM(D27:D30)</f>
        <v>0</v>
      </c>
      <c r="E31" s="252"/>
      <c r="F31" s="2633"/>
      <c r="G31" s="5"/>
      <c r="H31" s="2634"/>
      <c r="I31" s="2634"/>
      <c r="J31" s="5"/>
      <c r="K31" s="5"/>
      <c r="L31" s="690">
        <v>390</v>
      </c>
      <c r="M31" s="1440">
        <v>0</v>
      </c>
      <c r="N31" s="899">
        <f>IF(ISERROR((D31-M31)/M31),0,((D31-M31)/M31))</f>
        <v>0</v>
      </c>
      <c r="O31" s="2701" t="str">
        <f>IF(AND(ABS(N31)&gt;50%,ABS(D31-M31)&gt;50000),"Kommentera förändringen",IF(AND(ABS(N31)&gt;30%,ABS(D31-M31)&gt;20000),"Kontrollera förändringen",""))</f>
        <v/>
      </c>
      <c r="P31" s="1617"/>
      <c r="Q31" s="1619"/>
      <c r="R31" s="1619"/>
      <c r="S31" s="1619"/>
      <c r="T31" s="183"/>
    </row>
    <row r="32" spans="1:22" s="220" customFormat="1" ht="13.5" customHeight="1" thickBot="1">
      <c r="A32" s="669">
        <v>891</v>
      </c>
      <c r="B32" s="670">
        <v>37</v>
      </c>
      <c r="C32" s="2657" t="s">
        <v>1628</v>
      </c>
      <c r="D32" s="242"/>
      <c r="E32" s="252" t="str">
        <f>IF(ABS(D32-Drift!W117)&gt;50,ROUND(D32-Drift!W117,0)&amp;" tkr differens mot Drift.","")</f>
        <v/>
      </c>
      <c r="F32" s="1719" t="s">
        <v>244</v>
      </c>
      <c r="G32" s="2656">
        <v>373</v>
      </c>
      <c r="H32" s="1070" t="s">
        <v>1631</v>
      </c>
      <c r="I32" s="2594"/>
      <c r="J32" s="1536" t="str">
        <f>IF(SUM(I32)&gt;D32,"Däravrad 330 &gt; rad 891",IF(D32=0,"",IF(I32="","Skriv belopp eller 0","")))</f>
        <v/>
      </c>
      <c r="K32" s="5"/>
      <c r="L32" s="1468"/>
      <c r="M32" s="1512"/>
      <c r="N32" s="1461"/>
      <c r="O32" s="1469"/>
      <c r="P32" s="1617"/>
      <c r="Q32" s="1843"/>
      <c r="R32" s="1846"/>
      <c r="S32" s="1846"/>
      <c r="T32" s="183"/>
    </row>
    <row r="33" spans="1:25" s="220" customFormat="1" ht="19.5" customHeight="1">
      <c r="A33" s="671">
        <v>892</v>
      </c>
      <c r="B33" s="2680">
        <v>38</v>
      </c>
      <c r="C33" s="884" t="s">
        <v>1171</v>
      </c>
      <c r="D33" s="242"/>
      <c r="E33" s="252" t="str">
        <f>IF(ABS(D33-Drift!W118)&gt;50,ROUND(D33-Drift!W118,0)&amp; " tkr differens mot beloppet på rad 985, kol. W i Driften - rätta eller kommentera","")</f>
        <v/>
      </c>
      <c r="F33" s="2632"/>
      <c r="G33" s="2632"/>
      <c r="H33" s="2630"/>
      <c r="I33" s="72"/>
      <c r="J33" s="5"/>
      <c r="K33" s="5"/>
      <c r="L33" s="906"/>
      <c r="M33" s="1207"/>
      <c r="N33" s="1462"/>
      <c r="O33" s="1470"/>
      <c r="P33" s="1617"/>
      <c r="Q33" s="1843"/>
      <c r="R33" s="1847"/>
      <c r="S33" s="1847"/>
      <c r="T33" s="183"/>
    </row>
    <row r="34" spans="1:25" s="220" customFormat="1" ht="13" thickBot="1">
      <c r="A34" s="668">
        <v>894</v>
      </c>
      <c r="B34" s="678"/>
      <c r="C34" s="674" t="s">
        <v>501</v>
      </c>
      <c r="D34" s="361"/>
      <c r="E34" s="252" t="str">
        <f>IF(D34&lt;50,"","Vad avser övr.periodiseringar?")</f>
        <v/>
      </c>
      <c r="F34" s="250" t="s">
        <v>96</v>
      </c>
      <c r="G34" s="1498"/>
      <c r="H34" s="1498"/>
      <c r="I34" s="1498"/>
      <c r="J34" s="1498"/>
      <c r="K34" s="5"/>
      <c r="L34" s="906"/>
      <c r="M34" s="1207"/>
      <c r="N34" s="1462"/>
      <c r="O34" s="1470"/>
      <c r="P34" s="1617"/>
      <c r="Q34" s="1843"/>
      <c r="R34" s="1619"/>
      <c r="S34" s="1619"/>
      <c r="T34" s="183"/>
    </row>
    <row r="35" spans="1:25" s="220" customFormat="1" ht="16.5" customHeight="1" thickBot="1">
      <c r="A35" s="675">
        <v>886</v>
      </c>
      <c r="B35" s="676"/>
      <c r="C35" s="2711" t="s">
        <v>1702</v>
      </c>
      <c r="D35" s="427">
        <f>SUM(D8+D12+D16+D26+D31+D32+D33+D34)</f>
        <v>0</v>
      </c>
      <c r="E35" s="2474"/>
      <c r="F35" s="2883"/>
      <c r="G35" s="2912"/>
      <c r="H35" s="2912"/>
      <c r="I35" s="2912"/>
      <c r="J35" s="2913"/>
      <c r="K35" s="5"/>
      <c r="L35" s="677"/>
      <c r="M35" s="1513"/>
      <c r="N35" s="1463"/>
      <c r="O35" s="1473"/>
      <c r="P35" s="1617"/>
      <c r="Q35" s="1619"/>
      <c r="R35" s="1619"/>
      <c r="S35" s="1619"/>
      <c r="T35" s="183"/>
    </row>
    <row r="36" spans="1:25" s="220" customFormat="1" ht="13" thickBot="1">
      <c r="A36" s="677">
        <v>896</v>
      </c>
      <c r="B36" s="678"/>
      <c r="C36" s="733" t="s">
        <v>92</v>
      </c>
      <c r="D36" s="362">
        <f>RR!C7</f>
        <v>0</v>
      </c>
      <c r="F36" s="2914"/>
      <c r="G36" s="2915"/>
      <c r="H36" s="2915"/>
      <c r="I36" s="2915"/>
      <c r="J36" s="2916"/>
      <c r="K36" s="5"/>
      <c r="M36" s="18"/>
      <c r="N36" s="183"/>
      <c r="Q36" s="1619"/>
      <c r="R36" s="1557"/>
      <c r="S36" s="1557"/>
      <c r="T36" s="183"/>
    </row>
    <row r="37" spans="1:25" s="220" customFormat="1" ht="45" customHeight="1" thickBot="1">
      <c r="A37" s="2476" t="s">
        <v>373</v>
      </c>
      <c r="B37" s="5"/>
      <c r="C37" s="5"/>
      <c r="D37" s="2521" t="str">
        <f>IF(ABS(D35-D36)&lt;50,"",IF(OR(D35=0,D36=0),"",IF((SUM(D35)/(D36))&lt;&gt;1,(ROUND(D35-D36,0))&amp;" tkr diff. mellan verks. intäkter i RR och verks.intäkter här - måste rättas!","")))</f>
        <v/>
      </c>
      <c r="E37" s="252"/>
      <c r="F37" s="184"/>
      <c r="G37" s="185"/>
      <c r="H37" s="236"/>
      <c r="I37" s="72"/>
      <c r="J37" s="5"/>
      <c r="K37" s="5"/>
      <c r="L37" s="1535" t="str">
        <f>"Kontroller av förändring mellan "&amp;År-1&amp;" och "&amp;År&amp;""</f>
        <v>Kontroller av förändring mellan 2024 och 2025</v>
      </c>
      <c r="Q37" s="183"/>
      <c r="R37" s="183"/>
      <c r="S37" s="183"/>
      <c r="T37" s="183"/>
    </row>
    <row r="38" spans="1:25" s="220" customFormat="1" ht="45" customHeight="1" thickBot="1">
      <c r="A38" s="2715" t="s">
        <v>1360</v>
      </c>
      <c r="B38" s="2712" t="str">
        <f>"BAS "&amp;År-2000&amp;""</f>
        <v>BAS 25</v>
      </c>
      <c r="C38" s="2713"/>
      <c r="D38" s="886"/>
      <c r="E38" s="252"/>
      <c r="F38" s="82" t="s">
        <v>980</v>
      </c>
      <c r="G38" s="226"/>
      <c r="H38" s="227"/>
      <c r="I38" s="238"/>
      <c r="J38" s="196"/>
      <c r="K38" s="196"/>
      <c r="L38" s="2733" t="s">
        <v>1360</v>
      </c>
      <c r="M38" s="2732" t="str">
        <f>"Värde tkr "&amp;År-1&amp;""</f>
        <v>Värde tkr 2024</v>
      </c>
      <c r="N38" s="2732" t="str">
        <f>"Förändring "&amp;År-1&amp;" - "&amp;År&amp;" procent"</f>
        <v>Förändring 2024 - 2025 procent</v>
      </c>
      <c r="O38" s="2731" t="s">
        <v>40</v>
      </c>
      <c r="P38" s="1616"/>
      <c r="Q38" s="96"/>
      <c r="R38" s="1620"/>
      <c r="S38" s="96"/>
      <c r="T38" s="1534"/>
      <c r="U38" s="219"/>
      <c r="V38" s="219"/>
      <c r="W38" s="219"/>
      <c r="X38" s="219"/>
      <c r="Y38" s="219"/>
    </row>
    <row r="39" spans="1:25" s="219" customFormat="1" ht="13.5" hidden="1" thickBot="1">
      <c r="A39" s="902" t="s">
        <v>866</v>
      </c>
      <c r="B39" s="2678"/>
      <c r="C39" s="904"/>
      <c r="D39" s="887"/>
      <c r="E39" s="252"/>
      <c r="F39" s="228"/>
      <c r="G39" s="7"/>
      <c r="H39" s="2482"/>
      <c r="I39" s="236"/>
      <c r="J39" s="196"/>
      <c r="K39" s="196"/>
      <c r="L39" s="908" t="s">
        <v>866</v>
      </c>
      <c r="M39" s="909">
        <f>År-1</f>
        <v>2024</v>
      </c>
      <c r="N39" s="909" t="str">
        <f>År-1&amp;-År</f>
        <v>2024-2025</v>
      </c>
      <c r="O39" s="910"/>
      <c r="P39" s="1616"/>
      <c r="Q39" s="287"/>
      <c r="R39" s="1629"/>
      <c r="S39" s="1572"/>
      <c r="T39" s="1841"/>
    </row>
    <row r="40" spans="1:25" s="220" customFormat="1" ht="18" customHeight="1" thickBot="1">
      <c r="A40" s="906">
        <v>600</v>
      </c>
      <c r="B40" s="2714">
        <v>451</v>
      </c>
      <c r="C40" s="2488" t="s">
        <v>932</v>
      </c>
      <c r="D40" s="1772"/>
      <c r="E40" s="252"/>
      <c r="F40" s="826">
        <v>602</v>
      </c>
      <c r="G40" s="827">
        <v>4513</v>
      </c>
      <c r="H40" s="828" t="s">
        <v>164</v>
      </c>
      <c r="I40" s="2689"/>
      <c r="J40" s="151" t="str">
        <f>IF(I40&gt;D40,"därav-rad 602&gt;rad 600",IF(I40&lt;0,"inga minusbelopp",""))</f>
        <v/>
      </c>
      <c r="K40" s="151"/>
      <c r="L40" s="1468"/>
      <c r="M40" s="1460"/>
      <c r="N40" s="1461"/>
      <c r="O40" s="1474"/>
      <c r="P40" s="1614"/>
      <c r="Q40" s="1619"/>
      <c r="R40" s="1628"/>
      <c r="S40" s="1628"/>
      <c r="T40" s="1619"/>
    </row>
    <row r="41" spans="1:25" s="220" customFormat="1" ht="12.5">
      <c r="A41" s="688">
        <v>610</v>
      </c>
      <c r="B41" s="689">
        <v>452</v>
      </c>
      <c r="C41" s="682" t="s">
        <v>933</v>
      </c>
      <c r="D41" s="106"/>
      <c r="E41" s="252"/>
      <c r="F41" s="911">
        <v>630</v>
      </c>
      <c r="G41" s="912">
        <v>4538</v>
      </c>
      <c r="H41" s="1627" t="s">
        <v>1644</v>
      </c>
      <c r="I41" s="431"/>
      <c r="J41" s="323" t="str">
        <f>IF(I41&gt;Drift!H75,"Kontrollera mot bidrag i avd. Drift",IF('Verks int o kostn'!I41="","Belopp saknas",""))</f>
        <v>Belopp saknas</v>
      </c>
      <c r="K41" s="323"/>
      <c r="L41" s="906"/>
      <c r="M41" s="873"/>
      <c r="N41" s="1462"/>
      <c r="O41" s="1475"/>
      <c r="P41" s="1614"/>
      <c r="Q41" s="1619"/>
      <c r="R41" s="1628"/>
      <c r="S41" s="1628"/>
      <c r="T41" s="1619"/>
    </row>
    <row r="42" spans="1:25" s="220" customFormat="1" ht="18" customHeight="1" thickBot="1">
      <c r="A42" s="688">
        <v>620</v>
      </c>
      <c r="B42" s="686">
        <v>453</v>
      </c>
      <c r="C42" s="687" t="s">
        <v>1643</v>
      </c>
      <c r="D42" s="191"/>
      <c r="E42" s="252"/>
      <c r="F42" s="705">
        <v>631</v>
      </c>
      <c r="G42" s="2173" t="s">
        <v>1387</v>
      </c>
      <c r="H42" s="2507" t="s">
        <v>1391</v>
      </c>
      <c r="I42" s="249"/>
      <c r="J42" s="151" t="str">
        <f>IF(AND(D42=0,I41=0,I42=0),"",IF(AND(I41&gt;10,I41=I42),"Ej ersättn.pers.assistent på rad 631",IF((SUM(I41:I42)-D42)&gt;1,"Däravraderna 630+631 &gt; rad 620","")))</f>
        <v/>
      </c>
      <c r="K42" s="151"/>
      <c r="L42" s="681"/>
      <c r="M42" s="896"/>
      <c r="N42" s="897"/>
      <c r="O42" s="1476"/>
      <c r="P42" s="1614"/>
      <c r="Q42" s="1619"/>
      <c r="R42" s="1628"/>
      <c r="S42" s="1628"/>
      <c r="T42" s="1619"/>
    </row>
    <row r="43" spans="1:25" s="220" customFormat="1" ht="20.25" customHeight="1">
      <c r="A43" s="790">
        <v>650</v>
      </c>
      <c r="B43" s="686">
        <v>454</v>
      </c>
      <c r="C43" s="687" t="s">
        <v>1282</v>
      </c>
      <c r="D43" s="191"/>
      <c r="E43" s="252" t="str">
        <f>IF(D43&lt;0,"inga minusbelopp","")</f>
        <v/>
      </c>
      <c r="F43" s="1728" t="s">
        <v>1055</v>
      </c>
      <c r="G43" s="1729" t="s">
        <v>1001</v>
      </c>
      <c r="H43" s="1627" t="s">
        <v>1283</v>
      </c>
      <c r="I43" s="1545"/>
      <c r="J43" s="2743" t="str">
        <f>IF(SUM(I43:I44)-D43&gt;1,"Summan av därav-raderna 651 och 652 är större än rad 650","")</f>
        <v/>
      </c>
      <c r="K43" s="151"/>
      <c r="L43" s="906"/>
      <c r="M43" s="873"/>
      <c r="N43" s="1462"/>
      <c r="O43" s="1475"/>
      <c r="P43" s="1614"/>
      <c r="Q43" s="1619"/>
      <c r="R43" s="1628"/>
      <c r="S43" s="1628"/>
      <c r="T43" s="1619"/>
    </row>
    <row r="44" spans="1:25" s="220" customFormat="1" ht="13" thickBot="1">
      <c r="A44" s="677">
        <v>690</v>
      </c>
      <c r="B44" s="691"/>
      <c r="C44" s="667" t="s">
        <v>1003</v>
      </c>
      <c r="D44" s="428">
        <f>SUM(D40,D41,D42,D43)</f>
        <v>0</v>
      </c>
      <c r="E44" s="252"/>
      <c r="F44" s="1730">
        <v>652</v>
      </c>
      <c r="G44" s="1731">
        <v>4542</v>
      </c>
      <c r="H44" s="1637" t="s">
        <v>1284</v>
      </c>
      <c r="I44" s="1546"/>
      <c r="J44" s="2743"/>
      <c r="L44" s="690">
        <v>690</v>
      </c>
      <c r="M44" s="1440">
        <v>0</v>
      </c>
      <c r="N44" s="899">
        <f>IF(ISERROR((D44-M44)/M44),0,((D44-M44)/M44))</f>
        <v>0</v>
      </c>
      <c r="O44" s="1477" t="str">
        <f>IF(AND(ABS(N44)&gt;50%,ABS(D44-M44)&gt;50000),"Kommentera förändringen",IF(AND(ABS(N44)&gt;20%,ABS(D44-M44)&gt;20000),"Kontrollera förändringen",""))</f>
        <v/>
      </c>
      <c r="P44" s="1618"/>
      <c r="Q44" s="1619"/>
      <c r="R44" s="1620"/>
      <c r="S44" s="1628"/>
      <c r="T44" s="1619"/>
      <c r="V44" s="1613"/>
    </row>
    <row r="45" spans="1:25" s="220" customFormat="1" ht="23.25" customHeight="1">
      <c r="A45" s="692">
        <v>100</v>
      </c>
      <c r="B45" s="1725" t="s">
        <v>1569</v>
      </c>
      <c r="C45" s="694" t="s">
        <v>934</v>
      </c>
      <c r="D45" s="106"/>
      <c r="E45" s="252"/>
      <c r="F45" s="1547">
        <v>102</v>
      </c>
      <c r="G45" s="1548">
        <v>512</v>
      </c>
      <c r="H45" s="1549" t="s">
        <v>165</v>
      </c>
      <c r="I45" s="1550"/>
      <c r="J45" s="151" t="str">
        <f>IF(SUM(I45)&gt;D45,"Däravrad 102 &gt; rad 100",IF(I45&gt;0,"","Belopp saknas"))</f>
        <v>Belopp saknas</v>
      </c>
      <c r="K45" s="151"/>
      <c r="L45" s="878">
        <v>100</v>
      </c>
      <c r="M45" s="1432"/>
      <c r="N45" s="897">
        <f>IF(ISERROR((D45-M45)/M45),0,((D45-M45)/M45))</f>
        <v>0</v>
      </c>
      <c r="O45" s="2730" t="str">
        <f>IF(AND(OR((N45)&lt;-2%,(N45)&gt;9%),ABS(D45-M45)&gt;60000),"Kommentera förändringen",IF(AND(OR((N45)&lt;-2%,(N45)&gt;6%),ABS(D45-M45)&gt;50000),"Kontrollera förändringen",""))</f>
        <v/>
      </c>
      <c r="P45" s="1614"/>
      <c r="Q45" s="1557"/>
      <c r="R45" s="2504"/>
      <c r="S45" s="1848"/>
      <c r="T45" s="1619"/>
    </row>
    <row r="46" spans="1:25" s="220" customFormat="1" ht="21" customHeight="1">
      <c r="A46" s="679">
        <v>110</v>
      </c>
      <c r="B46" s="2525" t="s">
        <v>1570</v>
      </c>
      <c r="C46" s="680" t="str">
        <f>"Sociala avg. enl. lag o. avtal (inkl. lönesk för "&amp;År&amp;"), exkl särskild löneskatt på avsättning för pensioner"</f>
        <v>Sociala avg. enl. lag o. avtal (inkl. lönesk för 2025), exkl särskild löneskatt på avsättning för pensioner</v>
      </c>
      <c r="D46" s="371"/>
      <c r="E46" s="252" t="e">
        <f>IF(SUM(D46/(D45+D50+D53))&gt;0.5,(ROUND((D46/(D45+D50+D53))*100,1))&amp;" % = höga sociala avgifter-rätta eller kommentera",IF(SUM(D46/(D45+D50+D53))&lt;0.2,(ROUND((D46/(D45+D50+D53))*100,1))&amp;"% = låga sociala avgifter-rätta eller kommentera",""))</f>
        <v>#DIV/0!</v>
      </c>
      <c r="F46" s="706">
        <v>111</v>
      </c>
      <c r="G46" s="1527" t="s">
        <v>994</v>
      </c>
      <c r="H46" s="707" t="s">
        <v>1725</v>
      </c>
      <c r="I46" s="321"/>
      <c r="J46" s="151" t="str">
        <f>IF(I46&gt;D46,"Däravrad 111 &gt; rad 110",IF(I46&lt;1,"Belopp saknas",IF(SUM(I46/(D50+D51+D53))&lt;0.2,(ROUND((I46/(D50+D51+D53))*100,1))&amp;" % = låg löneskatt-rätta eller kommentera",IF(SUM(I46/(D50+D51+D53))&gt;0.26,(ROUND((I46/(D50+D51+D53))*100,1))&amp;"% = hög löneskatt-rätta eller kommentera",""))))</f>
        <v>Belopp saknas</v>
      </c>
      <c r="K46" s="151"/>
      <c r="L46" s="1465"/>
      <c r="M46" s="1207"/>
      <c r="N46" s="1462"/>
      <c r="O46" s="1478"/>
      <c r="P46" s="1614"/>
      <c r="Q46" s="1557"/>
      <c r="R46" s="2528"/>
      <c r="S46" s="1848"/>
      <c r="T46" s="1619"/>
    </row>
    <row r="47" spans="1:25" s="220" customFormat="1" ht="13.5" customHeight="1">
      <c r="A47" s="2611">
        <v>103</v>
      </c>
      <c r="B47" s="2538">
        <v>591</v>
      </c>
      <c r="C47" s="682" t="s">
        <v>1707</v>
      </c>
      <c r="D47" s="106"/>
      <c r="E47" s="252" t="str">
        <f>IF(D47="","Ange belopp (negativt) eller 0","")</f>
        <v>Ange belopp (negativt) eller 0</v>
      </c>
      <c r="F47" s="2540"/>
      <c r="G47" s="2541"/>
      <c r="H47" s="2542"/>
      <c r="I47" s="2586"/>
      <c r="J47" s="151"/>
      <c r="K47" s="151"/>
      <c r="L47" s="1465"/>
      <c r="M47" s="1207"/>
      <c r="N47" s="1462"/>
      <c r="O47" s="1478"/>
      <c r="P47" s="1614"/>
      <c r="Q47" s="1557"/>
      <c r="R47" s="2528"/>
      <c r="S47" s="1848"/>
      <c r="T47" s="1619"/>
    </row>
    <row r="48" spans="1:25" s="220" customFormat="1" ht="13.5" customHeight="1">
      <c r="A48" s="700">
        <v>104</v>
      </c>
      <c r="B48" s="2805" t="s">
        <v>1781</v>
      </c>
      <c r="C48" s="2804" t="s">
        <v>1782</v>
      </c>
      <c r="D48" s="106"/>
      <c r="E48" s="252" t="str">
        <f>IF(D48="","Ange belopp (negativt) eller 0","")</f>
        <v>Ange belopp (negativt) eller 0</v>
      </c>
      <c r="F48" s="1619"/>
      <c r="G48" s="2745"/>
      <c r="H48" s="1629"/>
      <c r="I48" s="30"/>
      <c r="J48" s="151"/>
      <c r="K48" s="151"/>
      <c r="L48" s="1465"/>
      <c r="M48" s="1207"/>
      <c r="N48" s="1462"/>
      <c r="O48" s="1475"/>
      <c r="P48" s="1614"/>
      <c r="Q48" s="1557"/>
      <c r="R48" s="2745"/>
      <c r="S48" s="1848"/>
      <c r="T48" s="1619"/>
    </row>
    <row r="49" spans="1:20" s="220" customFormat="1" ht="18.649999999999999" customHeight="1">
      <c r="A49" s="681">
        <v>115</v>
      </c>
      <c r="B49" s="2526" t="s">
        <v>1571</v>
      </c>
      <c r="C49" s="682" t="s">
        <v>1708</v>
      </c>
      <c r="D49" s="106"/>
      <c r="E49" s="252" t="str">
        <f>IF(ABS(D49-Drift!P119)&gt;50,"beloppet avviker med" &amp;" "&amp;(ROUND(D49-Drift!P119,0))&amp;" tkr från beloppet på rad 980 i driften - rätta eller kommentera","")</f>
        <v/>
      </c>
      <c r="F49" s="2543"/>
      <c r="G49" s="2544"/>
      <c r="H49" s="2545"/>
      <c r="I49" s="2539"/>
      <c r="J49" s="151"/>
      <c r="L49" s="681">
        <v>115</v>
      </c>
      <c r="M49" s="1432"/>
      <c r="N49" s="897">
        <f>IF(ISERROR((D49-M49)/M49),0,((D49-M49)/M49))</f>
        <v>0</v>
      </c>
      <c r="O49" s="1476" t="str">
        <f>IF(AND(ABS(N49)&gt;50%,ABS(D49-M49)&gt;50000),"Kommentera förändringen",IF(AND(ABS(N49)&gt;20%,ABS(D49-M49)&gt;20000),"Kontrollera förändringen",""))</f>
        <v/>
      </c>
      <c r="P49" s="1614"/>
      <c r="Q49" s="1619"/>
      <c r="R49" s="1619"/>
      <c r="S49" s="1619"/>
      <c r="T49" s="1619"/>
    </row>
    <row r="50" spans="1:20" s="220" customFormat="1" ht="13.5" customHeight="1">
      <c r="A50" s="683">
        <v>120</v>
      </c>
      <c r="B50" s="684">
        <v>573</v>
      </c>
      <c r="C50" s="682" t="s">
        <v>1194</v>
      </c>
      <c r="D50" s="244"/>
      <c r="E50" s="252"/>
      <c r="F50" s="826">
        <v>121</v>
      </c>
      <c r="G50" s="827" t="s">
        <v>645</v>
      </c>
      <c r="H50" s="865" t="s">
        <v>1043</v>
      </c>
      <c r="I50" s="319"/>
      <c r="J50" s="1503" t="str">
        <f>IF(D50=0,"",IF(I50&lt;100,"beloppet på rad 121 borde vara högre",IF(I51&lt;I50,"rad 121  borde vara mindre än rad 122","")))</f>
        <v/>
      </c>
      <c r="L50" s="679">
        <v>120</v>
      </c>
      <c r="M50" s="1420">
        <v>0</v>
      </c>
      <c r="N50" s="898">
        <f>IF(ISERROR((D50-M50)/M50),0,((D50-M50)/M50))</f>
        <v>0</v>
      </c>
      <c r="O50" s="1504" t="str">
        <f>IF(AND(ABS(N50)&gt;50%,ABS(D50-M50)&gt;50000),"Kommentera förändringen",IF(AND(ABS(N50)&gt;20%,ABS(D50-M50)&gt;20000),"Kontrollera förändringen",""))</f>
        <v/>
      </c>
      <c r="P50" s="1617"/>
      <c r="Q50" s="1619"/>
      <c r="R50" s="1628"/>
      <c r="S50" s="1628"/>
      <c r="T50" s="1619"/>
    </row>
    <row r="51" spans="1:20" s="220" customFormat="1" ht="12.5">
      <c r="A51" s="683">
        <v>180</v>
      </c>
      <c r="B51" s="686">
        <v>571</v>
      </c>
      <c r="C51" s="682" t="s">
        <v>1004</v>
      </c>
      <c r="D51" s="191"/>
      <c r="E51" s="252"/>
      <c r="F51" s="829">
        <v>122</v>
      </c>
      <c r="G51" s="791" t="s">
        <v>646</v>
      </c>
      <c r="H51" s="867" t="s">
        <v>1716</v>
      </c>
      <c r="I51" s="320"/>
      <c r="J51" s="2459" t="str">
        <f>IF(SUM(I50:I52)&lt;D50-2,(ROUND(SUM((D50)-SUM(I50:I52)),0)&amp;" tkr för lite fördelat på raderna 121, 122 o 123"),"")</f>
        <v/>
      </c>
      <c r="K51" s="5"/>
      <c r="L51" s="683"/>
      <c r="M51" s="1216"/>
      <c r="N51" s="1466"/>
      <c r="O51" s="1478"/>
      <c r="P51" s="1614"/>
      <c r="Q51" s="1619"/>
      <c r="R51" s="1628"/>
      <c r="S51" s="1628"/>
      <c r="T51" s="1619"/>
    </row>
    <row r="52" spans="1:20" s="220" customFormat="1" ht="13" thickBot="1">
      <c r="A52" s="688">
        <v>186</v>
      </c>
      <c r="B52" s="689">
        <v>574</v>
      </c>
      <c r="C52" s="682" t="s">
        <v>3</v>
      </c>
      <c r="D52" s="106"/>
      <c r="E52" s="252"/>
      <c r="F52" s="2825">
        <v>123</v>
      </c>
      <c r="G52" s="2826">
        <v>5733</v>
      </c>
      <c r="H52" s="1637" t="s">
        <v>1717</v>
      </c>
      <c r="I52" s="2827"/>
      <c r="J52" s="2459" t="str">
        <f>IF(I52="","Ange belopp eller 0",IF((SUM(I50:I52)-D50)&gt;1,"Däravraderna 121+122+123 &gt; rad 120",""))</f>
        <v>Ange belopp eller 0</v>
      </c>
      <c r="K52" s="166"/>
      <c r="L52" s="906"/>
      <c r="M52" s="1207"/>
      <c r="N52" s="1462"/>
      <c r="O52" s="1475"/>
      <c r="P52" s="1614"/>
      <c r="Q52" s="1619"/>
      <c r="R52" s="1628"/>
      <c r="S52" s="1628"/>
      <c r="T52" s="1619"/>
    </row>
    <row r="53" spans="1:20" s="220" customFormat="1" ht="18.5">
      <c r="A53" s="688">
        <v>185</v>
      </c>
      <c r="B53" s="686">
        <v>575</v>
      </c>
      <c r="C53" s="687" t="str">
        <f>"Pensionskostnad, avgiftsbestämd ålderspension"</f>
        <v>Pensionskostnad, avgiftsbestämd ålderspension</v>
      </c>
      <c r="D53" s="191"/>
      <c r="E53" s="2424" t="e">
        <f>IF(SUM(D53/D45)&gt;0.08,(ROUND((D53/D45)*100,1))&amp;" % = hög pens.kostn.",IF(SUM(D53/D45)&lt;0.05,(ROUND((D53/D45)*100,1))&amp;"% = låg pensionskostnad - rätta eller kommentera",""))</f>
        <v>#DIV/0!</v>
      </c>
      <c r="F53" s="2823" t="s">
        <v>1888</v>
      </c>
      <c r="G53" s="2824">
        <v>5713</v>
      </c>
      <c r="H53" s="2838" t="s">
        <v>1885</v>
      </c>
      <c r="I53" s="321"/>
      <c r="J53" s="2836" t="str">
        <f>IF(I53="","Ange belopp eller 0",IF(I53&gt;D51,"Däravrad 5713 &gt; rad 571",""))</f>
        <v>Ange belopp eller 0</v>
      </c>
      <c r="K53" s="5"/>
      <c r="L53" s="906"/>
      <c r="M53" s="1207"/>
      <c r="N53" s="1462"/>
      <c r="O53" s="1475"/>
      <c r="P53" s="1614"/>
      <c r="Q53" s="1619"/>
      <c r="R53" s="1628"/>
      <c r="S53" s="1628"/>
      <c r="T53" s="183"/>
    </row>
    <row r="54" spans="1:20" s="220" customFormat="1" ht="13" thickBot="1">
      <c r="A54" s="690">
        <v>189</v>
      </c>
      <c r="B54" s="691"/>
      <c r="C54" s="667" t="s">
        <v>935</v>
      </c>
      <c r="D54" s="428">
        <f>SUM(D45:D53)</f>
        <v>0</v>
      </c>
      <c r="E54" s="252"/>
      <c r="F54" s="5"/>
      <c r="G54" s="5"/>
      <c r="H54" s="72"/>
      <c r="I54" s="72"/>
      <c r="L54" s="690"/>
      <c r="M54" s="1440"/>
      <c r="N54" s="899"/>
      <c r="O54" s="1477"/>
      <c r="P54" s="1618"/>
      <c r="Q54" s="1619"/>
      <c r="R54" s="1620"/>
      <c r="S54" s="1620"/>
      <c r="T54" s="183"/>
    </row>
    <row r="55" spans="1:20" s="220" customFormat="1" ht="12.5">
      <c r="A55" s="692">
        <v>300</v>
      </c>
      <c r="B55" s="2820" t="s">
        <v>1881</v>
      </c>
      <c r="C55" s="682" t="s">
        <v>1709</v>
      </c>
      <c r="D55" s="106"/>
      <c r="E55" s="252"/>
      <c r="F55" s="823">
        <v>318</v>
      </c>
      <c r="G55" s="913">
        <v>628</v>
      </c>
      <c r="H55" s="914" t="s">
        <v>166</v>
      </c>
      <c r="I55" s="248"/>
      <c r="J55" s="151" t="str">
        <f>IF(SUM(I55)&gt;D55,"Däravrad 318 &gt; rad 300",IF(I55="","Belopp saknas",""))</f>
        <v>Belopp saknas</v>
      </c>
      <c r="K55" s="151"/>
      <c r="L55" s="1468"/>
      <c r="M55" s="1512"/>
      <c r="N55" s="1461"/>
      <c r="O55" s="1474"/>
      <c r="P55" s="1614"/>
      <c r="Q55" s="1557"/>
      <c r="R55" s="1644"/>
      <c r="S55" s="1628"/>
      <c r="T55" s="1619"/>
    </row>
    <row r="56" spans="1:20" s="220" customFormat="1" ht="12.5">
      <c r="A56" s="688">
        <v>325</v>
      </c>
      <c r="B56" s="689">
        <v>644</v>
      </c>
      <c r="C56" s="682" t="s">
        <v>936</v>
      </c>
      <c r="D56" s="106"/>
      <c r="E56" s="252"/>
      <c r="F56" s="5"/>
      <c r="G56" s="5"/>
      <c r="H56" s="72"/>
      <c r="K56" s="5"/>
      <c r="L56" s="906"/>
      <c r="M56" s="1207"/>
      <c r="N56" s="1462"/>
      <c r="O56" s="1475"/>
      <c r="P56" s="1614"/>
      <c r="Q56" s="1619"/>
      <c r="R56" s="1628"/>
      <c r="S56" s="1628"/>
      <c r="T56" s="183"/>
    </row>
    <row r="57" spans="1:20" s="220" customFormat="1" ht="12.5">
      <c r="A57" s="688">
        <v>330</v>
      </c>
      <c r="B57" s="689">
        <v>651</v>
      </c>
      <c r="C57" s="682" t="s">
        <v>937</v>
      </c>
      <c r="D57" s="106"/>
      <c r="E57" s="252"/>
      <c r="F57" s="5"/>
      <c r="G57" s="5"/>
      <c r="H57" s="72"/>
      <c r="I57" s="72"/>
      <c r="L57" s="906"/>
      <c r="M57" s="1207"/>
      <c r="N57" s="1462"/>
      <c r="O57" s="1475"/>
      <c r="P57" s="1614"/>
      <c r="Q57" s="1619"/>
      <c r="R57" s="1628"/>
      <c r="S57" s="1628"/>
      <c r="T57" s="183"/>
    </row>
    <row r="58" spans="1:20" s="220" customFormat="1" ht="12.5">
      <c r="A58" s="688">
        <v>340</v>
      </c>
      <c r="B58" s="693" t="s">
        <v>913</v>
      </c>
      <c r="C58" s="694" t="s">
        <v>938</v>
      </c>
      <c r="D58" s="106"/>
      <c r="E58" s="252"/>
      <c r="F58" s="1722" t="s">
        <v>1054</v>
      </c>
      <c r="G58" s="2024">
        <v>641</v>
      </c>
      <c r="H58" s="2025" t="s">
        <v>1011</v>
      </c>
      <c r="I58" s="2026"/>
      <c r="J58" s="151" t="str">
        <f>IF(I58&gt;0.5*D58,"Högt belopp för förbrukningsinvent.",IF(SUM(I58:I59)&gt;D58,"Däravrad 341 och 342 &gt; rad 340",IF(I58&gt;0,"","Belopp saknas")))</f>
        <v>Belopp saknas</v>
      </c>
      <c r="K58" s="5"/>
      <c r="L58" s="681"/>
      <c r="M58" s="1432"/>
      <c r="N58" s="897"/>
      <c r="O58" s="1476"/>
      <c r="P58" s="1614"/>
      <c r="Q58" s="1619"/>
      <c r="R58" s="1644"/>
      <c r="S58" s="1628"/>
      <c r="T58" s="1644"/>
    </row>
    <row r="59" spans="1:20" s="220" customFormat="1" ht="13" thickBot="1">
      <c r="A59" s="690">
        <v>360</v>
      </c>
      <c r="B59" s="695"/>
      <c r="C59" s="696" t="s">
        <v>939</v>
      </c>
      <c r="D59" s="428">
        <f>SUM(D55,D56,D57,D58)</f>
        <v>0</v>
      </c>
      <c r="E59" s="252"/>
      <c r="F59" s="1724" t="s">
        <v>1313</v>
      </c>
      <c r="G59" s="2658">
        <v>418</v>
      </c>
      <c r="H59" s="2681" t="s">
        <v>1645</v>
      </c>
      <c r="I59" s="1594"/>
      <c r="J59" s="151" t="str">
        <f>IF(I59="","Ange belopp eller 0","")</f>
        <v>Ange belopp eller 0</v>
      </c>
      <c r="K59" s="5"/>
      <c r="L59" s="690">
        <v>360</v>
      </c>
      <c r="M59" s="1440">
        <v>0</v>
      </c>
      <c r="N59" s="899">
        <f>IF(ISERROR((D59-M59)/M59),0,((D59-M59)/M59))</f>
        <v>0</v>
      </c>
      <c r="O59" s="1477" t="str">
        <f>IF(AND(ABS(N59)&gt;50%,ABS(D59-M59)&gt;50000),"Kommentera förändringen",IF(AND(ABS(N59)&gt;20%,ABS(D59-M59)&gt;20000),"Kontrollera förändringen",""))</f>
        <v/>
      </c>
      <c r="P59" s="1618"/>
      <c r="Q59" s="1619"/>
      <c r="R59" s="16"/>
      <c r="S59" s="1628"/>
      <c r="T59" s="1644"/>
    </row>
    <row r="60" spans="1:20" s="220" customFormat="1" ht="12.75" customHeight="1">
      <c r="A60" s="688">
        <v>345</v>
      </c>
      <c r="B60" s="689" t="s">
        <v>1047</v>
      </c>
      <c r="C60" s="682" t="s">
        <v>1710</v>
      </c>
      <c r="D60" s="106"/>
      <c r="E60" s="252"/>
      <c r="F60" s="5"/>
      <c r="G60" s="5"/>
      <c r="H60" s="72"/>
      <c r="I60" s="72"/>
      <c r="K60" s="5"/>
      <c r="L60" s="1468"/>
      <c r="M60" s="1512"/>
      <c r="N60" s="1461"/>
      <c r="O60" s="1474"/>
      <c r="P60" s="1614"/>
      <c r="Q60" s="1619"/>
      <c r="R60" s="1628"/>
      <c r="S60" s="1628"/>
      <c r="T60" s="183"/>
    </row>
    <row r="61" spans="1:20" s="220" customFormat="1" ht="12.5">
      <c r="A61" s="688">
        <v>401</v>
      </c>
      <c r="B61" s="689">
        <v>46</v>
      </c>
      <c r="C61" s="682" t="s">
        <v>1005</v>
      </c>
      <c r="D61" s="106"/>
      <c r="E61" s="252"/>
      <c r="F61" s="5"/>
      <c r="G61" s="5"/>
      <c r="H61" s="72"/>
      <c r="I61" s="72"/>
      <c r="K61" s="5"/>
      <c r="L61" s="679">
        <v>401</v>
      </c>
      <c r="M61" s="1420">
        <v>0</v>
      </c>
      <c r="N61" s="898">
        <f>IF(ISERROR((D61-M61)/M61),0,((D61-M61)/M61))</f>
        <v>0</v>
      </c>
      <c r="O61" s="2730" t="str">
        <f>IF(AND(ABS(N61)&gt;50%,ABS(D61-M61)&gt;50000),"Kommentera förändringen",IF(AND(ABS(N61)&gt;20%,ABS(D61-M61)&gt;20000),"Kontrollera förändringen",""))</f>
        <v/>
      </c>
      <c r="P61" s="1614"/>
      <c r="Q61" s="1619"/>
      <c r="R61" s="1628"/>
      <c r="S61" s="1628"/>
      <c r="T61" s="183"/>
    </row>
    <row r="62" spans="1:20" s="220" customFormat="1" ht="12.5">
      <c r="A62" s="688">
        <v>410</v>
      </c>
      <c r="B62" s="689">
        <v>74</v>
      </c>
      <c r="C62" s="682" t="s">
        <v>1041</v>
      </c>
      <c r="D62" s="106"/>
      <c r="E62" s="252"/>
      <c r="F62" s="5"/>
      <c r="G62" s="5"/>
      <c r="H62" s="72"/>
      <c r="I62" s="72"/>
      <c r="K62" s="5"/>
      <c r="L62" s="906"/>
      <c r="M62" s="1207"/>
      <c r="N62" s="1462"/>
      <c r="O62" s="1475"/>
      <c r="P62" s="1614"/>
      <c r="Q62" s="1619"/>
      <c r="R62" s="1841"/>
      <c r="S62" s="1628"/>
      <c r="T62" s="183"/>
    </row>
    <row r="63" spans="1:20" s="220" customFormat="1" ht="17.25" customHeight="1">
      <c r="A63" s="688">
        <v>411</v>
      </c>
      <c r="B63" s="689">
        <v>75</v>
      </c>
      <c r="C63" s="682" t="s">
        <v>1503</v>
      </c>
      <c r="D63" s="106"/>
      <c r="E63" s="252"/>
      <c r="F63" s="5"/>
      <c r="G63" s="5"/>
      <c r="H63" s="72"/>
      <c r="I63" s="72"/>
      <c r="K63" s="5"/>
      <c r="L63" s="906"/>
      <c r="M63" s="1207"/>
      <c r="N63" s="1462"/>
      <c r="O63" s="1475"/>
      <c r="P63" s="1614"/>
      <c r="Q63" s="1619"/>
      <c r="R63" s="1628"/>
      <c r="S63" s="1628"/>
      <c r="T63" s="183"/>
    </row>
    <row r="64" spans="1:20" s="220" customFormat="1" ht="12.5">
      <c r="A64" s="688">
        <v>415</v>
      </c>
      <c r="B64" s="689" t="s">
        <v>1048</v>
      </c>
      <c r="C64" s="682" t="s">
        <v>1711</v>
      </c>
      <c r="D64" s="106"/>
      <c r="E64" s="252"/>
      <c r="F64" s="5"/>
      <c r="G64" s="5"/>
      <c r="H64" s="72"/>
      <c r="I64" s="72"/>
      <c r="K64" s="5"/>
      <c r="L64" s="906"/>
      <c r="M64" s="1207"/>
      <c r="N64" s="1462"/>
      <c r="O64" s="1475"/>
      <c r="P64" s="1614"/>
      <c r="Q64" s="1619"/>
      <c r="R64" s="1644"/>
      <c r="S64" s="1628"/>
      <c r="T64" s="183"/>
    </row>
    <row r="65" spans="1:25" s="220" customFormat="1" ht="12.5">
      <c r="A65" s="688">
        <v>416</v>
      </c>
      <c r="B65" s="693">
        <v>68</v>
      </c>
      <c r="C65" s="682" t="s">
        <v>1712</v>
      </c>
      <c r="D65" s="106"/>
      <c r="E65" s="252"/>
      <c r="F65" s="5"/>
      <c r="G65" s="5"/>
      <c r="H65" s="72"/>
      <c r="I65" s="72"/>
      <c r="K65" s="5"/>
      <c r="L65" s="906"/>
      <c r="M65" s="1207"/>
      <c r="N65" s="1462"/>
      <c r="O65" s="1475"/>
      <c r="P65" s="1614"/>
      <c r="Q65" s="1619"/>
      <c r="R65" s="1644"/>
      <c r="S65" s="1644"/>
      <c r="T65" s="183"/>
    </row>
    <row r="66" spans="1:25" s="220" customFormat="1" ht="12.5">
      <c r="A66" s="688">
        <v>430</v>
      </c>
      <c r="B66" s="693">
        <v>66</v>
      </c>
      <c r="C66" s="682" t="s">
        <v>1006</v>
      </c>
      <c r="D66" s="106"/>
      <c r="E66" s="252"/>
      <c r="F66" s="5"/>
      <c r="G66" s="5"/>
      <c r="H66" s="72"/>
      <c r="I66" s="72"/>
      <c r="K66" s="5"/>
      <c r="L66" s="906"/>
      <c r="M66" s="1207"/>
      <c r="N66" s="1462"/>
      <c r="O66" s="1475"/>
      <c r="P66" s="1614"/>
      <c r="Q66" s="1619"/>
      <c r="R66" s="1644"/>
      <c r="S66" s="1644"/>
      <c r="T66" s="183"/>
    </row>
    <row r="67" spans="1:25" s="220" customFormat="1" ht="12.5">
      <c r="A67" s="688">
        <v>440</v>
      </c>
      <c r="B67" s="693">
        <v>701</v>
      </c>
      <c r="C67" s="682" t="s">
        <v>1501</v>
      </c>
      <c r="D67" s="106"/>
      <c r="E67" s="252"/>
      <c r="F67" s="5"/>
      <c r="G67" s="5"/>
      <c r="H67" s="72"/>
      <c r="I67" s="72"/>
      <c r="K67" s="5"/>
      <c r="L67" s="681"/>
      <c r="M67" s="1432"/>
      <c r="N67" s="897"/>
      <c r="O67" s="1476"/>
      <c r="P67" s="1614"/>
      <c r="Q67" s="1619"/>
      <c r="R67" s="1628"/>
      <c r="S67" s="1644"/>
      <c r="T67" s="183"/>
    </row>
    <row r="68" spans="1:25" s="220" customFormat="1" ht="18.5">
      <c r="A68" s="688">
        <v>450</v>
      </c>
      <c r="B68" s="693">
        <v>601</v>
      </c>
      <c r="C68" s="682" t="s">
        <v>1502</v>
      </c>
      <c r="D68" s="106"/>
      <c r="E68" s="252"/>
      <c r="F68" s="2072">
        <v>469</v>
      </c>
      <c r="G68" s="2073" t="s">
        <v>1286</v>
      </c>
      <c r="H68" s="1852" t="s">
        <v>1718</v>
      </c>
      <c r="I68" s="1850"/>
      <c r="K68" s="5"/>
      <c r="L68" s="679">
        <v>450</v>
      </c>
      <c r="M68" s="1420">
        <v>0</v>
      </c>
      <c r="N68" s="898">
        <f>IF(ISERROR((D68-M68)/M68),0,((D68-M68)/M68))</f>
        <v>0</v>
      </c>
      <c r="O68" s="2730" t="str">
        <f>IF(AND(OR((N68)&lt;-10%,(N68)&gt;50%),ABS(D68-M68)&gt;50000),"Kommentera förändringen",IF(AND(OR((N68)&lt;-2%,(N68)&gt;20%),ABS(D68-M68)&gt;20000),"Kontrollera förändringen",""))</f>
        <v/>
      </c>
      <c r="P68" s="1614"/>
      <c r="Q68" s="1619"/>
      <c r="R68" s="1644"/>
      <c r="S68" s="1644"/>
      <c r="T68" s="183"/>
    </row>
    <row r="69" spans="1:25" s="220" customFormat="1" ht="12.5">
      <c r="A69" s="688">
        <v>460</v>
      </c>
      <c r="B69" s="693">
        <v>602</v>
      </c>
      <c r="C69" s="694" t="s">
        <v>940</v>
      </c>
      <c r="D69" s="106"/>
      <c r="E69" s="252"/>
      <c r="F69" s="829">
        <v>472</v>
      </c>
      <c r="G69" s="830">
        <v>731</v>
      </c>
      <c r="H69" s="2508" t="s">
        <v>1504</v>
      </c>
      <c r="I69" s="1851"/>
      <c r="K69" s="5"/>
      <c r="L69" s="683"/>
      <c r="M69" s="1216"/>
      <c r="N69" s="1466"/>
      <c r="O69" s="1478"/>
      <c r="P69" s="1614"/>
      <c r="Q69" s="1619"/>
      <c r="R69" s="1644"/>
      <c r="S69" s="1644"/>
      <c r="T69" s="1619"/>
    </row>
    <row r="70" spans="1:25" s="220" customFormat="1" ht="20.25" customHeight="1">
      <c r="A70" s="688">
        <v>470</v>
      </c>
      <c r="B70" s="1725" t="s">
        <v>1505</v>
      </c>
      <c r="C70" s="718" t="s">
        <v>1713</v>
      </c>
      <c r="D70" s="245"/>
      <c r="E70" s="252"/>
      <c r="F70" s="829">
        <v>474</v>
      </c>
      <c r="G70" s="791">
        <v>732</v>
      </c>
      <c r="H70" s="867" t="s">
        <v>1427</v>
      </c>
      <c r="I70" s="320"/>
      <c r="K70" s="5"/>
      <c r="L70" s="906"/>
      <c r="M70" s="1207"/>
      <c r="N70" s="1462"/>
      <c r="O70" s="1475"/>
      <c r="P70" s="1614"/>
      <c r="Q70" s="1619"/>
      <c r="R70" s="1628"/>
      <c r="S70" s="1628"/>
      <c r="T70" s="1619"/>
    </row>
    <row r="71" spans="1:25" s="220" customFormat="1" ht="18.75" customHeight="1">
      <c r="A71" s="688">
        <v>471</v>
      </c>
      <c r="B71" s="689" t="s">
        <v>914</v>
      </c>
      <c r="C71" s="682" t="s">
        <v>941</v>
      </c>
      <c r="D71" s="107"/>
      <c r="E71" s="252"/>
      <c r="F71" s="2445">
        <v>476</v>
      </c>
      <c r="G71" s="2449" t="s">
        <v>1486</v>
      </c>
      <c r="H71" s="2339" t="s">
        <v>1719</v>
      </c>
      <c r="I71" s="320"/>
      <c r="K71" s="5"/>
      <c r="L71" s="681"/>
      <c r="M71" s="1432"/>
      <c r="N71" s="897"/>
      <c r="O71" s="1476"/>
      <c r="P71" s="1614"/>
      <c r="Q71" s="1619"/>
      <c r="R71" s="1628"/>
      <c r="S71" s="1628"/>
      <c r="T71" s="1619"/>
    </row>
    <row r="72" spans="1:25" s="220" customFormat="1" ht="13" thickBot="1">
      <c r="A72" s="697">
        <v>479</v>
      </c>
      <c r="B72" s="698"/>
      <c r="C72" s="699" t="s">
        <v>942</v>
      </c>
      <c r="D72" s="429">
        <f>SUM(D60:D71)</f>
        <v>0</v>
      </c>
      <c r="E72" s="252"/>
      <c r="F72" s="829">
        <v>477</v>
      </c>
      <c r="G72" s="791">
        <v>737</v>
      </c>
      <c r="H72" s="867" t="s">
        <v>1428</v>
      </c>
      <c r="I72" s="320"/>
      <c r="K72" s="5"/>
      <c r="L72" s="690">
        <v>479</v>
      </c>
      <c r="M72" s="1440">
        <v>0</v>
      </c>
      <c r="N72" s="899">
        <f>IF(ISERROR((D72-M72)/M72),0,((D72-M72)/M72))</f>
        <v>0</v>
      </c>
      <c r="O72" s="1477" t="str">
        <f>IF(AND(ABS(N72)&gt;50%,ABS(D72-M72)&gt;100000),"Kommentera förändringen",IF(AND(ABS(N72)&gt;20%,ABS(D72-M72)&gt;50000),"Kontrollera förändringen",""))</f>
        <v/>
      </c>
      <c r="P72" s="1618"/>
      <c r="Q72" s="1619"/>
      <c r="R72" s="1620"/>
      <c r="S72" s="1628"/>
      <c r="T72" s="1619"/>
    </row>
    <row r="73" spans="1:25" s="220" customFormat="1" ht="19.5" customHeight="1">
      <c r="A73" s="700">
        <v>897</v>
      </c>
      <c r="B73" s="1725" t="s">
        <v>1042</v>
      </c>
      <c r="C73" s="682" t="s">
        <v>1714</v>
      </c>
      <c r="D73" s="246"/>
      <c r="E73" s="2425" t="str">
        <f>IF(ABS(SUM(D73+D74)-Drift!P121)&gt;50,ROUND(SUM(D73+D74)-Drift!P121,0)&amp; "tkr diff. mot rad 985, kol. P i Driften-rätta eller kommentera","")</f>
        <v/>
      </c>
      <c r="F73" s="2792">
        <v>475</v>
      </c>
      <c r="G73" s="791"/>
      <c r="H73" s="2791" t="s">
        <v>1788</v>
      </c>
      <c r="I73" s="320"/>
      <c r="K73" s="5"/>
      <c r="L73" s="1468"/>
      <c r="M73" s="1512"/>
      <c r="N73" s="1461"/>
      <c r="O73" s="1474"/>
      <c r="P73" s="1614"/>
      <c r="Q73" s="1619"/>
      <c r="R73" s="1849"/>
      <c r="S73" s="1628"/>
      <c r="T73" s="1619"/>
    </row>
    <row r="74" spans="1:25" s="220" customFormat="1" ht="12.75" customHeight="1" thickBot="1">
      <c r="A74" s="697">
        <v>900</v>
      </c>
      <c r="B74" s="701">
        <v>789</v>
      </c>
      <c r="C74" s="702" t="s">
        <v>501</v>
      </c>
      <c r="D74" s="247"/>
      <c r="E74" s="366" t="str">
        <f>IF(D74&lt;50,"","Komment.vad övr.periodiseringar avser")</f>
        <v/>
      </c>
      <c r="F74" s="915">
        <v>478</v>
      </c>
      <c r="G74" s="791" t="s">
        <v>1009</v>
      </c>
      <c r="H74" s="867" t="s">
        <v>1429</v>
      </c>
      <c r="I74" s="320"/>
      <c r="K74" s="151"/>
      <c r="L74" s="906"/>
      <c r="M74" s="1207"/>
      <c r="N74" s="1462"/>
      <c r="O74" s="1475"/>
      <c r="P74" s="1614"/>
      <c r="Q74" s="1619"/>
      <c r="R74" s="1619"/>
      <c r="S74" s="1619"/>
      <c r="T74" s="1619"/>
    </row>
    <row r="75" spans="1:25" s="220" customFormat="1" ht="16.5" customHeight="1" thickBot="1">
      <c r="A75" s="692">
        <v>887</v>
      </c>
      <c r="B75" s="693"/>
      <c r="C75" s="703" t="s">
        <v>1703</v>
      </c>
      <c r="D75" s="430">
        <f>SUM(D44+D54+D59+D72+D73+D74)</f>
        <v>0</v>
      </c>
      <c r="F75" s="705">
        <v>473</v>
      </c>
      <c r="G75" s="1727" t="s">
        <v>1063</v>
      </c>
      <c r="H75" s="1638" t="s">
        <v>1720</v>
      </c>
      <c r="I75" s="2752"/>
      <c r="J75" s="151" t="str">
        <f>IF(AND(D70=0,SUM(I68:I75)=0),"",IF(SUM(I68:I72,I74,I75)&lt;=D70+1,"",IF((SUM(D70)/(SUM(I62:I72,I74,I75)))&lt;&gt;1,"däravraderna 469-478 är" &amp;" "&amp;(ROUND(SUM(I68:I72,I74,I75)-D70,0))&amp;"  tkr större än rad huvudrad 470-rätta eller kommentera","")))</f>
        <v/>
      </c>
      <c r="K75" s="5"/>
      <c r="L75" s="677"/>
      <c r="M75" s="1513"/>
      <c r="N75" s="1463"/>
      <c r="O75" s="1479"/>
      <c r="P75" s="1618"/>
      <c r="Q75" s="1557"/>
      <c r="R75" s="1644"/>
      <c r="S75" s="1644"/>
      <c r="T75" s="1619"/>
    </row>
    <row r="76" spans="1:25" s="220" customFormat="1" ht="18" customHeight="1" thickBot="1">
      <c r="A76" s="704" t="s">
        <v>502</v>
      </c>
      <c r="B76" s="691"/>
      <c r="C76" s="667" t="s">
        <v>93</v>
      </c>
      <c r="D76" s="362">
        <f>RR!C8</f>
        <v>0</v>
      </c>
      <c r="E76" s="252"/>
      <c r="F76" s="2900" t="s">
        <v>95</v>
      </c>
      <c r="G76" s="2901"/>
      <c r="H76" s="2901"/>
      <c r="I76" s="252" t="str">
        <f>IF(AND(D70&gt;10000,SUM(I68:I72)+SUM(I74:I75)&lt;0.9*D70),"Rad 470 summerar inte till därav-raderna 469-473. Kontrollera att allt som ska specificeras på därav-raderna finns med.","")</f>
        <v/>
      </c>
      <c r="J76" s="2345"/>
      <c r="L76" s="1480"/>
      <c r="M76" s="1481"/>
      <c r="N76" s="1482"/>
      <c r="O76" s="1483"/>
      <c r="P76" s="1614"/>
      <c r="Q76" s="183"/>
      <c r="R76" s="1620"/>
      <c r="S76" s="1620"/>
      <c r="T76" s="183"/>
    </row>
    <row r="77" spans="1:25" s="220" customFormat="1" ht="15.75" customHeight="1">
      <c r="A77" s="155" t="s">
        <v>1750</v>
      </c>
      <c r="B77" s="1726"/>
      <c r="C77" s="1726"/>
      <c r="D77" s="2040" t="str">
        <f>IF(ABS(D75-D76)&lt;50,"",IF(OR(D75=0,D76=0),"",IF((SUM(D75)/(D76))&lt;&gt;1,(ROUND(D75-D76,0))&amp;" tkr diff mellan verks. kostnader i RR och verks. kostnader här - måste rättas!","")))</f>
        <v/>
      </c>
      <c r="F77" s="2902"/>
      <c r="G77" s="2903"/>
      <c r="H77" s="2903"/>
      <c r="I77" s="2903"/>
      <c r="J77" s="2904"/>
      <c r="K77" s="5"/>
      <c r="Q77" s="183"/>
      <c r="R77" s="1625"/>
      <c r="S77" s="1625"/>
      <c r="T77" s="183"/>
    </row>
    <row r="78" spans="1:25" s="220" customFormat="1" ht="21" customHeight="1">
      <c r="A78" s="155" t="s">
        <v>1751</v>
      </c>
      <c r="B78" s="86"/>
      <c r="C78" s="86"/>
      <c r="D78" s="5"/>
      <c r="F78" s="2905"/>
      <c r="G78" s="2906"/>
      <c r="H78" s="2906"/>
      <c r="I78" s="2906"/>
      <c r="J78" s="2907"/>
      <c r="K78" s="5"/>
      <c r="Q78" s="183"/>
      <c r="R78" s="2911"/>
      <c r="S78" s="2911"/>
      <c r="T78" s="2911"/>
    </row>
    <row r="79" spans="1:25" s="220" customFormat="1" ht="12.75" customHeight="1">
      <c r="A79" s="183"/>
      <c r="B79" s="183"/>
      <c r="C79" s="183"/>
      <c r="D79" s="183"/>
      <c r="F79" s="2908"/>
      <c r="G79" s="2909"/>
      <c r="H79" s="2909"/>
      <c r="I79" s="2909"/>
      <c r="J79" s="2910"/>
      <c r="K79" s="5"/>
      <c r="L79" s="183"/>
      <c r="M79" s="183"/>
      <c r="N79" s="183"/>
      <c r="O79" s="183"/>
      <c r="P79" s="183"/>
      <c r="Q79" s="183"/>
      <c r="R79" s="2911"/>
      <c r="S79" s="2911"/>
      <c r="T79" s="2911"/>
      <c r="U79" s="183"/>
      <c r="V79" s="183"/>
    </row>
    <row r="80" spans="1:25" s="220" customFormat="1" ht="12.5">
      <c r="A80" s="183"/>
      <c r="B80" s="183"/>
      <c r="C80" s="183"/>
      <c r="D80" s="183"/>
      <c r="E80" s="183"/>
      <c r="F80" s="5"/>
      <c r="G80" s="5"/>
      <c r="H80" s="5"/>
      <c r="I80" s="5"/>
      <c r="J80" s="5"/>
      <c r="K80" s="183"/>
      <c r="L80" s="183"/>
      <c r="M80" s="183"/>
      <c r="N80" s="183"/>
      <c r="O80" s="183"/>
      <c r="P80" s="183"/>
      <c r="Q80" s="183"/>
      <c r="R80" s="508"/>
      <c r="S80" s="508"/>
      <c r="T80" s="183"/>
      <c r="U80" s="183"/>
      <c r="V80" s="183"/>
      <c r="W80" s="183"/>
      <c r="X80" s="183"/>
      <c r="Y80" s="183"/>
    </row>
    <row r="81" ht="12.5"/>
    <row r="82" ht="12.5"/>
    <row r="83" ht="12.5"/>
    <row r="84" ht="12.5"/>
    <row r="85" ht="12.5" hidden="1"/>
    <row r="86" ht="12.5" hidden="1"/>
    <row r="87" ht="12.5" hidden="1"/>
    <row r="88" ht="12.5" hidden="1"/>
    <row r="89" ht="12.5" hidden="1"/>
    <row r="90" ht="12.5" hidden="1"/>
    <row r="91" ht="12.5" hidden="1"/>
    <row r="92" ht="12.5"/>
    <row r="93" ht="12.5" hidden="1"/>
  </sheetData>
  <mergeCells count="5">
    <mergeCell ref="B6:B7"/>
    <mergeCell ref="F76:H76"/>
    <mergeCell ref="F77:J79"/>
    <mergeCell ref="R78:T79"/>
    <mergeCell ref="F35:J36"/>
  </mergeCells>
  <conditionalFormatting sqref="D8:D11 D13:D15 D17:D25 D27:D30 D32:D34 D40:D43 D50:D53 I55 D55:D58 D60:D71 D73:D74">
    <cfRule type="cellIs" dxfId="160" priority="17" stopIfTrue="1" operator="lessThan">
      <formula>-500</formula>
    </cfRule>
  </conditionalFormatting>
  <conditionalFormatting sqref="D43 I43:I44">
    <cfRule type="cellIs" dxfId="159" priority="20" stopIfTrue="1" operator="lessThan">
      <formula>0</formula>
    </cfRule>
  </conditionalFormatting>
  <conditionalFormatting sqref="D45:D46">
    <cfRule type="cellIs" dxfId="158" priority="9" stopIfTrue="1" operator="lessThan">
      <formula>-500</formula>
    </cfRule>
  </conditionalFormatting>
  <conditionalFormatting sqref="I17:I21">
    <cfRule type="cellIs" dxfId="157" priority="14" stopIfTrue="1" operator="lessThan">
      <formula>-500</formula>
    </cfRule>
  </conditionalFormatting>
  <conditionalFormatting sqref="I19:I20">
    <cfRule type="cellIs" dxfId="156" priority="13" stopIfTrue="1" operator="lessThan">
      <formula>-500</formula>
    </cfRule>
  </conditionalFormatting>
  <conditionalFormatting sqref="I24:I25">
    <cfRule type="cellIs" dxfId="155" priority="11" stopIfTrue="1" operator="lessThan">
      <formula>-500</formula>
    </cfRule>
    <cfRule type="cellIs" dxfId="154" priority="12" stopIfTrue="1" operator="lessThan">
      <formula>-500</formula>
    </cfRule>
  </conditionalFormatting>
  <conditionalFormatting sqref="I27:I30">
    <cfRule type="cellIs" dxfId="153" priority="6" stopIfTrue="1" operator="lessThan">
      <formula>-500</formula>
    </cfRule>
    <cfRule type="cellIs" dxfId="152" priority="7" stopIfTrue="1" operator="lessThan">
      <formula>-500</formula>
    </cfRule>
  </conditionalFormatting>
  <conditionalFormatting sqref="I32">
    <cfRule type="cellIs" dxfId="151" priority="4" stopIfTrue="1" operator="lessThan">
      <formula>-500</formula>
    </cfRule>
    <cfRule type="cellIs" dxfId="150" priority="5" stopIfTrue="1" operator="lessThan">
      <formula>-500</formula>
    </cfRule>
  </conditionalFormatting>
  <conditionalFormatting sqref="I40:I53">
    <cfRule type="cellIs" dxfId="149" priority="8" stopIfTrue="1" operator="lessThan">
      <formula>-500</formula>
    </cfRule>
  </conditionalFormatting>
  <conditionalFormatting sqref="I58:I59">
    <cfRule type="cellIs" dxfId="148" priority="15" stopIfTrue="1" operator="lessThan">
      <formula>-500</formula>
    </cfRule>
    <cfRule type="cellIs" dxfId="147" priority="16" stopIfTrue="1" operator="lessThan">
      <formula>-500</formula>
    </cfRule>
  </conditionalFormatting>
  <conditionalFormatting sqref="I68">
    <cfRule type="cellIs" dxfId="146" priority="3" stopIfTrue="1" operator="lessThan">
      <formula>-500</formula>
    </cfRule>
  </conditionalFormatting>
  <conditionalFormatting sqref="I68:I75">
    <cfRule type="cellIs" dxfId="145" priority="1" stopIfTrue="1" operator="lessThan">
      <formula>-500</formula>
    </cfRule>
  </conditionalFormatting>
  <dataValidations count="4">
    <dataValidation type="decimal" operator="lessThan" allowBlank="1" showInputMessage="1" showErrorMessage="1" error="beloppet ska vara 1000tal kr" sqref="I68" xr:uid="{5E3C84FA-3272-499F-8AE4-C2919C259F0D}">
      <formula1>99999999</formula1>
    </dataValidation>
    <dataValidation operator="lessThan" allowBlank="1" showInputMessage="1" showErrorMessage="1" sqref="D75 D35" xr:uid="{00000000-0002-0000-0300-000001000000}"/>
    <dataValidation type="decimal" operator="lessThan" allowBlank="1" showInputMessage="1" showErrorMessage="1" error="Beloppet ska vara i 1000 tal kronor" sqref="I17:I21 D55:D58 D40:D43 D17:D25 D27:D30 D13:D15 D8:D11 I55 I58:I59 D32:D34 D60:D71 D49:D53 I24:I25 D45:D46 I27:I30 I32 I69:I75 D73:D74 I40:I53" xr:uid="{00000000-0002-0000-0300-000002000000}">
      <formula1>99999999</formula1>
    </dataValidation>
    <dataValidation type="decimal" operator="lessThanOrEqual" allowBlank="1" showInputMessage="1" showErrorMessage="1" error="Beloppet ska redovisas med minustecken" sqref="D47:D48" xr:uid="{00000000-0002-0000-0300-000003000000}">
      <formula1>0</formula1>
    </dataValidation>
  </dataValidations>
  <pageMargins left="0.7" right="0.7" top="0.75" bottom="0.75" header="0.3" footer="0.3"/>
  <pageSetup paperSize="9" scale="70" orientation="portrait" r:id="rId1"/>
  <headerFooter>
    <oddHeader>&amp;L&amp;8Statistiska Centralbyrån
Offentlig ekonomi&amp;R&amp;P</oddHeader>
  </headerFooter>
  <ignoredErrors>
    <ignoredError sqref="F19:G19 F25 F27:G27 F28:F29 F43:G43 G50:G51 A76 G74 F58:F59 F53"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FFFF00"/>
    <pageSetUpPr fitToPage="1"/>
  </sheetPr>
  <dimension ref="A1:M119"/>
  <sheetViews>
    <sheetView showGridLines="0" zoomScaleNormal="100" workbookViewId="0">
      <pane ySplit="1" topLeftCell="A2" activePane="bottomLeft" state="frozen"/>
      <selection activeCell="F36" sqref="F36"/>
      <selection pane="bottomLeft"/>
    </sheetView>
  </sheetViews>
  <sheetFormatPr defaultColWidth="0" defaultRowHeight="12.5" zeroHeight="1"/>
  <cols>
    <col min="1" max="1" width="4" style="153" customWidth="1"/>
    <col min="2" max="2" width="33.54296875" style="153" customWidth="1"/>
    <col min="3" max="3" width="10.54296875" style="153" customWidth="1"/>
    <col min="4" max="4" width="11.453125" style="153" customWidth="1"/>
    <col min="5" max="5" width="8.453125" style="153" customWidth="1"/>
    <col min="6" max="6" width="9" style="153" customWidth="1"/>
    <col min="7" max="7" width="10" style="153" customWidth="1"/>
    <col min="8" max="8" width="10.453125" style="153" customWidth="1"/>
    <col min="9" max="9" width="34" style="156" customWidth="1"/>
    <col min="10" max="10" width="39.54296875" style="153" customWidth="1"/>
    <col min="11" max="11" width="19.81640625" style="153" customWidth="1"/>
    <col min="12" max="12" width="4.453125" style="183" customWidth="1"/>
    <col min="13" max="13" width="3" style="183" customWidth="1"/>
    <col min="14" max="16384" width="9.453125" style="183" hidden="1"/>
  </cols>
  <sheetData>
    <row r="1" spans="1:13" s="255" customFormat="1" ht="20">
      <c r="A1" s="84" t="str">
        <f>"Investeringsredovisning "&amp;År&amp;", 1 000 tal kr"</f>
        <v>Investeringsredovisning 2025, 1 000 tal kr</v>
      </c>
      <c r="B1" s="101"/>
      <c r="C1" s="101"/>
      <c r="D1" s="101"/>
      <c r="E1" s="102"/>
      <c r="F1" s="102"/>
      <c r="G1" s="617">
        <f>Information!B3</f>
        <v>0</v>
      </c>
      <c r="H1" s="618">
        <f>Information!B2</f>
        <v>0</v>
      </c>
      <c r="I1" s="168"/>
      <c r="J1" s="103">
        <v>1</v>
      </c>
      <c r="K1" s="103"/>
      <c r="L1" s="103"/>
      <c r="M1" s="103"/>
    </row>
    <row r="2" spans="1:13" s="255" customFormat="1" ht="12.75" customHeight="1">
      <c r="A2" s="1454"/>
      <c r="C2" s="105"/>
      <c r="D2" s="46" t="s">
        <v>622</v>
      </c>
      <c r="H2" s="1672"/>
      <c r="I2" s="46" t="s">
        <v>1038</v>
      </c>
      <c r="L2" s="256"/>
    </row>
    <row r="3" spans="1:13" s="255" customFormat="1" ht="12.75" customHeight="1" thickBot="1">
      <c r="C3" s="419"/>
      <c r="D3" s="46" t="s">
        <v>986</v>
      </c>
      <c r="G3" s="61"/>
      <c r="H3" s="169"/>
      <c r="I3" s="46" t="s">
        <v>1039</v>
      </c>
      <c r="J3" s="257"/>
      <c r="L3" s="257"/>
    </row>
    <row r="4" spans="1:13" s="255" customFormat="1" ht="43.5" customHeight="1">
      <c r="A4" s="934" t="s">
        <v>525</v>
      </c>
      <c r="B4" s="935"/>
      <c r="C4" s="2917" t="s">
        <v>1730</v>
      </c>
      <c r="D4" s="2917" t="s">
        <v>1356</v>
      </c>
      <c r="E4" s="2917" t="s">
        <v>1731</v>
      </c>
      <c r="F4" s="2076" t="s">
        <v>1357</v>
      </c>
      <c r="G4" s="2326" t="s">
        <v>1358</v>
      </c>
      <c r="H4" s="2327" t="s">
        <v>1732</v>
      </c>
      <c r="I4" s="73"/>
      <c r="J4" s="42"/>
      <c r="K4" s="257"/>
      <c r="L4" s="257"/>
    </row>
    <row r="5" spans="1:13" s="255" customFormat="1" ht="39.75" customHeight="1">
      <c r="A5" s="936"/>
      <c r="B5" s="937"/>
      <c r="C5" s="2918"/>
      <c r="D5" s="2918"/>
      <c r="E5" s="2918"/>
      <c r="F5" s="2077" t="s">
        <v>1013</v>
      </c>
      <c r="G5" s="2078"/>
      <c r="H5" s="2075"/>
      <c r="I5" s="95"/>
      <c r="J5" s="1625"/>
      <c r="K5" s="257"/>
      <c r="L5" s="257"/>
    </row>
    <row r="6" spans="1:13" s="259" customFormat="1" ht="19.5" customHeight="1">
      <c r="A6" s="708" t="s">
        <v>530</v>
      </c>
      <c r="B6" s="709" t="s">
        <v>408</v>
      </c>
      <c r="C6" s="419"/>
      <c r="D6" s="419"/>
      <c r="E6" s="419"/>
      <c r="F6" s="2079"/>
      <c r="G6" s="2080"/>
      <c r="H6" s="1558"/>
      <c r="I6" s="2608" t="e">
        <f>SUM(BR!J15-BR!O15)/Investeringar!E7</f>
        <v>#DIV/0!</v>
      </c>
      <c r="J6" s="1625"/>
      <c r="K6" s="258"/>
      <c r="L6" s="258"/>
    </row>
    <row r="7" spans="1:13" s="259" customFormat="1" ht="19.5" customHeight="1">
      <c r="A7" s="710" t="s">
        <v>531</v>
      </c>
      <c r="B7" s="711" t="s">
        <v>1170</v>
      </c>
      <c r="C7" s="264"/>
      <c r="D7" s="265"/>
      <c r="E7" s="266"/>
      <c r="F7" s="2081"/>
      <c r="G7" s="2182"/>
      <c r="H7" s="2235"/>
      <c r="I7" s="2428" t="str">
        <f>IF(C66=0,"",IF(SUM(C7+D7-C66)&gt;5000,"Summan C7+D7 är " &amp;""&amp;(ROUND(SUM(C7+D7-C66),0))&amp; " tkr högre än rad 950, kol C. Rätta eller kommentera. Avser diffen immat.anl.tillg ange även beloppsstorlek",IF(SUM(C7+D7-C66)&lt;-5000,"Summan C7+D7 är  " &amp;""&amp;(ROUND(SUM(C7+D7-C66),0))&amp; "tkr lägre än rad 950, kol C. Behöver rättas eller kommenteras","")))</f>
        <v/>
      </c>
      <c r="J7" s="2609" t="str">
        <f>IFERROR(IF(AND(I6&lt;1.5,I6&gt;0.5),"Kontrollera beloppet i kol E. OBS! Internbankens nyupplåning för vidareutlåning ska inte ingå här utan på rad 994, Övriga förändringar",""),IF(F7&gt;E7,"Rad 987: därav-Kol.F&gt;Kol.E",IF(SUM(C7+D7)&gt;G7,"Koncern kol G, borde vara större än kommunen, kol C+D","")))</f>
        <v/>
      </c>
      <c r="K7" s="258"/>
      <c r="L7" s="258"/>
    </row>
    <row r="8" spans="1:13" s="259" customFormat="1" ht="17.25" customHeight="1">
      <c r="A8" s="712" t="s">
        <v>532</v>
      </c>
      <c r="B8" s="711" t="s">
        <v>1388</v>
      </c>
      <c r="C8" s="264"/>
      <c r="D8" s="265"/>
      <c r="E8" s="266"/>
      <c r="F8" s="2081"/>
      <c r="G8" s="2182"/>
      <c r="H8" s="2235"/>
      <c r="I8" s="2287"/>
      <c r="J8" s="2506" t="str">
        <f>IF(F8&lt;E8,"Rad 988: därav-kol.F&lt;Kol.E","")</f>
        <v/>
      </c>
      <c r="K8" s="258"/>
      <c r="L8" s="258"/>
    </row>
    <row r="9" spans="1:13" s="259" customFormat="1" ht="20.25" customHeight="1">
      <c r="A9" s="712" t="s">
        <v>533</v>
      </c>
      <c r="B9" s="711" t="s">
        <v>542</v>
      </c>
      <c r="C9" s="376"/>
      <c r="D9" s="265"/>
      <c r="E9" s="266"/>
      <c r="F9" s="2081"/>
      <c r="G9" s="2182"/>
      <c r="H9" s="2235"/>
      <c r="I9" s="2428" t="str">
        <f>IF(ABS(SUM(C9+D9-'Verks int o kostn'!D33))&lt;100,"",ROUND(SUM(C9+D9-'Verks int o kostn'!D33),0) &amp; " tkr diff. mellan reavinsten kol. C+D och reavinsten rad 892 i Verks.int.o kostn - ska överensstämma")</f>
        <v/>
      </c>
      <c r="J9" s="2505" t="str">
        <f>IF(F9&gt;E9,"Rad 989: därav-kol.F&gt;kol.E","")</f>
        <v/>
      </c>
      <c r="K9" s="258"/>
      <c r="L9" s="258"/>
    </row>
    <row r="10" spans="1:13" s="259" customFormat="1" ht="21" customHeight="1">
      <c r="A10" s="712" t="s">
        <v>365</v>
      </c>
      <c r="B10" s="711" t="s">
        <v>1403</v>
      </c>
      <c r="C10" s="376"/>
      <c r="D10" s="265"/>
      <c r="E10" s="266"/>
      <c r="F10" s="2081"/>
      <c r="G10" s="2182"/>
      <c r="H10" s="2235"/>
      <c r="I10" s="2428" t="str">
        <f>IF((ABS(SUM(-1*(C10+D10)-'Verks int o kostn'!D73))&lt;100),"",ROUND(SUM(-1*(C10+D10)-'Verks int o kostn'!D73),0)&amp;" tkr diff mellan reaförlusten kol. C+D och reaförl. rad 897 i Verks.int. o kostn. - ska överensstämma")</f>
        <v/>
      </c>
      <c r="J10" s="2505" t="str">
        <f>IF(F10&lt;E10,"Rad 990: därav-kol.F&lt;Kol.E","")</f>
        <v/>
      </c>
      <c r="K10" s="258"/>
      <c r="L10" s="258"/>
    </row>
    <row r="11" spans="1:13" s="259" customFormat="1" ht="15" customHeight="1">
      <c r="A11" s="712" t="s">
        <v>366</v>
      </c>
      <c r="B11" s="711" t="s">
        <v>363</v>
      </c>
      <c r="C11" s="264"/>
      <c r="D11" s="265"/>
      <c r="E11" s="1784"/>
      <c r="F11" s="2082"/>
      <c r="G11" s="2182"/>
      <c r="H11" s="2235"/>
      <c r="I11" s="2287" t="str">
        <f>IF(F11&lt;E11,"Rad 991: därav-Kol.F&lt;Kol.E",IF(SUM(C11+D11)&lt;G11,"Koncern kol G, borde vara större än kommunen, kol C+D",IF(SUM(C11+D11+C12+D12)*-1&gt;RR!C9+10000,"Differens mot RR (Avskrivningar + Nedskrivningar)",IF(SUM(C11+D11+C12+D12)*-1&lt;RR!C9-10000,"Differens mot RR (Avskrivningar + Nedskrivningar)",""))))</f>
        <v/>
      </c>
      <c r="J11" s="2459" t="str">
        <f>IF(E11&lt;-100,"Vad avser avskrivningar av finansiella anl.tillgångar?","")</f>
        <v/>
      </c>
      <c r="K11" s="258"/>
      <c r="L11" s="258"/>
    </row>
    <row r="12" spans="1:13" s="259" customFormat="1" ht="15" customHeight="1">
      <c r="A12" s="712" t="s">
        <v>367</v>
      </c>
      <c r="B12" s="711" t="s">
        <v>163</v>
      </c>
      <c r="C12" s="267"/>
      <c r="D12" s="268"/>
      <c r="E12" s="56"/>
      <c r="F12" s="1851"/>
      <c r="G12" s="2182"/>
      <c r="H12" s="2235"/>
      <c r="I12" s="2599" t="str">
        <f>IF(F12&lt;E12,"Rad 992: därav-Kol.F&lt;Kol.E","")</f>
        <v/>
      </c>
      <c r="J12" s="2938" t="s">
        <v>1596</v>
      </c>
      <c r="K12" s="2939"/>
      <c r="L12" s="2939"/>
      <c r="M12" s="2939"/>
    </row>
    <row r="13" spans="1:13" s="259" customFormat="1" ht="19.5" customHeight="1">
      <c r="A13" s="713" t="s">
        <v>368</v>
      </c>
      <c r="B13" s="711" t="s">
        <v>1660</v>
      </c>
      <c r="C13" s="264"/>
      <c r="D13" s="265"/>
      <c r="E13" s="266"/>
      <c r="F13" s="2081"/>
      <c r="G13" s="2182"/>
      <c r="H13" s="2235"/>
      <c r="I13" s="2605" t="str">
        <f>IF(OR(C13&gt;1000,C13&lt;-1000),"se kommentar till höger. Kommentera Omklassificeringar i samtliga kolumner",IF(OR(D13&gt;1000,D13&lt;-1000),"Se kommentar till höger. Kommentera Omklassificeringar i samtliga kolumner",IF(OR(E13&gt;1000,E13&lt;-1000),"Se kommentar till höger. Kommentera Omklassificeringar i samtliga kolumner",IF(OR(F13&gt;1000,F13&lt;-1000),"Se kommentar till höger. Kommentera Omklassificeringar i samtliga kolumner",IF(OR(G13&gt;10000,G13&lt;-10000),"Se kommentar till höger. Kommentera Omklassificeringar i samtliga kolumner",IF(OR(H13&gt;10000,H13&lt;-10000),"Se kommentar till höger. Kommentera omklassificeringar i samtliga kolumner",""))))))</f>
        <v/>
      </c>
      <c r="J13" s="2939"/>
      <c r="K13" s="2939"/>
      <c r="L13" s="2939"/>
      <c r="M13" s="2939"/>
    </row>
    <row r="14" spans="1:13" s="259" customFormat="1" ht="13.5" customHeight="1">
      <c r="A14" s="712" t="s">
        <v>369</v>
      </c>
      <c r="B14" s="711" t="s">
        <v>364</v>
      </c>
      <c r="C14" s="264"/>
      <c r="D14" s="265"/>
      <c r="E14" s="266"/>
      <c r="F14" s="2081"/>
      <c r="G14" s="2182"/>
      <c r="H14" s="2235"/>
      <c r="I14" s="2606" t="str">
        <f>IF(OR(C14&gt;1000,C14&lt;-1000),"Kommentera Övriga förändringar.",IF(OR(D14&gt;1000,D14&lt;-1000),"Kommentera Övriga förändringar.",IF(OR(E14&gt;1000,E14&lt;-1000),"Kommentera Övriga förändringar.",IF(OR(F14&gt;500,F14&lt;-500),"Kommentera Övriga förändringar.",IF(OR(G14&gt;10000,G14&lt;-10000),"Kommentera Övriga förändringar.",IF(OR(H14&gt;10000,H14&lt;-10000),"Kommentera Övriga förändringar.",""))))))</f>
        <v/>
      </c>
      <c r="J14" s="2939"/>
      <c r="K14" s="2939"/>
      <c r="L14" s="2939"/>
      <c r="M14" s="2939"/>
    </row>
    <row r="15" spans="1:13" s="259" customFormat="1" ht="11" thickBot="1">
      <c r="A15" s="714" t="s">
        <v>370</v>
      </c>
      <c r="B15" s="715" t="s">
        <v>409</v>
      </c>
      <c r="C15" s="324">
        <f>BR!D10</f>
        <v>0</v>
      </c>
      <c r="D15" s="325">
        <f>BR!D11</f>
        <v>0</v>
      </c>
      <c r="E15" s="325">
        <f>BR!D17</f>
        <v>0</v>
      </c>
      <c r="F15" s="2083">
        <f>BR!D13</f>
        <v>0</v>
      </c>
      <c r="G15" s="2084">
        <f>BR!E12</f>
        <v>0</v>
      </c>
      <c r="H15" s="2074">
        <f>BR!E17</f>
        <v>0</v>
      </c>
      <c r="I15" s="1785" t="s">
        <v>1733</v>
      </c>
      <c r="J15" s="2939"/>
      <c r="K15" s="2939"/>
      <c r="L15" s="2939"/>
      <c r="M15" s="2939"/>
    </row>
    <row r="16" spans="1:13" s="259" customFormat="1" ht="37.5" customHeight="1">
      <c r="A16" s="63"/>
      <c r="B16" s="62"/>
      <c r="C16" s="150" t="str">
        <f>IF(ABS(SUM(C6:C14)-C15)&gt;100,"Diff mot BR rad 021","")</f>
        <v/>
      </c>
      <c r="D16" s="150" t="str">
        <f>IF(ABS(SUM(D6:D14)-D15)&gt;100,"Diff mot BR rad 023","")</f>
        <v/>
      </c>
      <c r="E16" s="150" t="str">
        <f>IF(ABS(SUM(E6:E14)-E15)&gt;100,"Diff mot BR rad 035","")</f>
        <v/>
      </c>
      <c r="F16" s="150" t="str">
        <f>IF(ABS(SUM(F6:F14)-F15)&gt;100,"Diff mot BR rad 036","")</f>
        <v/>
      </c>
      <c r="G16" s="2183" t="str">
        <f>IF(ABS(SUM(G6:G14)-G15)&gt;100,"Diff mot BR rad 025","")</f>
        <v/>
      </c>
      <c r="H16" s="2184" t="str">
        <f>IF(ABS(SUM(H6:H14)-H15)&gt;100,"Diff mot BR rad 035","")</f>
        <v/>
      </c>
      <c r="I16" s="2919"/>
      <c r="J16" s="2920"/>
      <c r="K16" s="2920"/>
      <c r="L16" s="2921"/>
    </row>
    <row r="17" spans="1:12" ht="12.75" customHeight="1">
      <c r="A17" s="311"/>
      <c r="B17" s="220"/>
      <c r="C17" s="42" t="str">
        <f>IF(C16&lt;&gt;"diff mot BR rad 021","",C15-SUM(C6:C14))</f>
        <v/>
      </c>
      <c r="D17" s="42" t="str">
        <f>IF(D16&lt;&gt;"diff mot BR rad 023","",D15-SUM(D6:D14))</f>
        <v/>
      </c>
      <c r="E17" s="42" t="str">
        <f>IF(E16&lt;&gt;"diff mot BR rad 035","",E15-SUM(E6:E14))</f>
        <v/>
      </c>
      <c r="F17" s="42" t="str">
        <f>IF(F16&lt;&gt;"diff mot BR rad 036","",F15-SUM(F6:F14))</f>
        <v/>
      </c>
      <c r="G17" s="2181" t="str">
        <f>IF(G16&lt;&gt;"diff mot BR rad 025","",G15-SUM(G6:G14))</f>
        <v/>
      </c>
      <c r="H17" s="2181" t="str">
        <f>IF(H16&lt;&gt;"diff mot BR rad 035","",H15-SUM(H6:H14))</f>
        <v/>
      </c>
      <c r="I17" s="46"/>
      <c r="J17" s="46"/>
      <c r="K17" s="5"/>
      <c r="L17" s="184"/>
    </row>
    <row r="18" spans="1:12" ht="25.5" customHeight="1">
      <c r="A18" s="1815" t="s">
        <v>1741</v>
      </c>
      <c r="B18" s="1814"/>
      <c r="C18" s="1814"/>
      <c r="D18" s="1814"/>
      <c r="E18" s="1814"/>
      <c r="F18" s="1814"/>
      <c r="G18" s="1814"/>
      <c r="H18" s="1814"/>
      <c r="I18" s="1814"/>
      <c r="J18" s="1814"/>
      <c r="K18" s="1814"/>
      <c r="L18" s="1814"/>
    </row>
    <row r="19" spans="1:12" s="261" customFormat="1" ht="22.5" customHeight="1" thickBot="1">
      <c r="A19" s="1778" t="s">
        <v>1619</v>
      </c>
      <c r="B19" s="260"/>
      <c r="C19" s="64"/>
      <c r="D19" s="65"/>
      <c r="E19" s="66"/>
      <c r="F19" s="66"/>
      <c r="G19" s="66"/>
      <c r="H19" s="66"/>
      <c r="I19" s="170"/>
      <c r="J19" s="167"/>
      <c r="K19" s="67"/>
      <c r="L19" s="260"/>
    </row>
    <row r="20" spans="1:12" ht="14.25" customHeight="1">
      <c r="A20" s="938" t="s">
        <v>864</v>
      </c>
      <c r="B20" s="939" t="s">
        <v>13</v>
      </c>
      <c r="C20" s="1779" t="s">
        <v>1174</v>
      </c>
      <c r="D20" s="940" t="s">
        <v>186</v>
      </c>
      <c r="E20" s="941"/>
      <c r="F20" s="941"/>
      <c r="G20" s="2248"/>
      <c r="H20" s="2249"/>
      <c r="I20" s="38"/>
      <c r="J20" s="38"/>
      <c r="K20" s="43"/>
      <c r="L20" s="5"/>
    </row>
    <row r="21" spans="1:12" ht="27.75" customHeight="1">
      <c r="A21" s="942" t="s">
        <v>866</v>
      </c>
      <c r="B21" s="904"/>
      <c r="C21" s="1780" t="s">
        <v>1175</v>
      </c>
      <c r="D21" s="1777" t="s">
        <v>1342</v>
      </c>
      <c r="E21" s="1777" t="s">
        <v>1172</v>
      </c>
      <c r="F21" s="2236" t="s">
        <v>1173</v>
      </c>
      <c r="G21" s="2250"/>
      <c r="H21" s="2251"/>
      <c r="I21" s="8"/>
      <c r="J21" s="68"/>
      <c r="K21" s="43"/>
      <c r="L21" s="5"/>
    </row>
    <row r="22" spans="1:12">
      <c r="A22" s="942"/>
      <c r="B22" s="944"/>
      <c r="C22" s="945"/>
      <c r="D22" s="943" t="s">
        <v>1343</v>
      </c>
      <c r="E22" s="993" t="s">
        <v>187</v>
      </c>
      <c r="F22" s="2237" t="s">
        <v>188</v>
      </c>
      <c r="G22" s="2252"/>
      <c r="H22" s="2253"/>
      <c r="I22" s="8"/>
      <c r="J22" s="68"/>
      <c r="K22" s="43"/>
      <c r="L22" s="5"/>
    </row>
    <row r="23" spans="1:12" ht="36" customHeight="1">
      <c r="A23" s="946"/>
      <c r="B23" s="947"/>
      <c r="C23" s="948"/>
      <c r="D23" s="1904" t="s">
        <v>1346</v>
      </c>
      <c r="E23" s="1905" t="s">
        <v>1344</v>
      </c>
      <c r="F23" s="2238" t="s">
        <v>1345</v>
      </c>
      <c r="G23" s="2254"/>
      <c r="H23" s="1839"/>
      <c r="I23" s="8"/>
      <c r="J23" s="8"/>
      <c r="K23" s="43"/>
      <c r="L23" s="5"/>
    </row>
    <row r="24" spans="1:12">
      <c r="A24" s="949"/>
      <c r="B24" s="2718" t="s">
        <v>14</v>
      </c>
      <c r="C24" s="950"/>
      <c r="D24" s="950"/>
      <c r="E24" s="950"/>
      <c r="F24" s="2239"/>
      <c r="G24" s="2255"/>
      <c r="H24" s="2256"/>
      <c r="I24" s="171"/>
      <c r="J24" s="172"/>
      <c r="K24" s="173"/>
      <c r="L24" s="173"/>
    </row>
    <row r="25" spans="1:12">
      <c r="A25" s="2375" t="s">
        <v>229</v>
      </c>
      <c r="B25" s="720" t="s">
        <v>15</v>
      </c>
      <c r="C25" s="269"/>
      <c r="D25" s="269"/>
      <c r="E25" s="269"/>
      <c r="F25" s="2240"/>
      <c r="G25" s="2269" t="str">
        <f>IF(SUM(D25:F25)&gt;(C25+100),"Summa kol.D+kol.E+kol.F &gt; Kol.C","")</f>
        <v/>
      </c>
      <c r="H25" s="2257"/>
      <c r="I25" s="372"/>
      <c r="J25" s="372"/>
      <c r="K25" s="373"/>
      <c r="L25" s="193"/>
    </row>
    <row r="26" spans="1:12" ht="18.5">
      <c r="A26" s="951" t="s">
        <v>230</v>
      </c>
      <c r="B26" s="723" t="s">
        <v>1417</v>
      </c>
      <c r="C26" s="19"/>
      <c r="D26" s="19"/>
      <c r="E26" s="19"/>
      <c r="F26" s="555"/>
      <c r="G26" s="2269" t="str">
        <f t="shared" ref="G26:G62" si="0">IF(SUM(D26:F26)&gt;(C26+100),"Summa kol.D+kol.E+kol.F &gt; Kol.C","")</f>
        <v/>
      </c>
      <c r="H26" s="2257"/>
      <c r="I26" s="372"/>
      <c r="J26" s="372"/>
      <c r="K26" s="373"/>
      <c r="L26" s="193"/>
    </row>
    <row r="27" spans="1:12">
      <c r="A27" s="712" t="s">
        <v>357</v>
      </c>
      <c r="B27" s="682" t="s">
        <v>189</v>
      </c>
      <c r="C27" s="19"/>
      <c r="D27" s="19"/>
      <c r="E27" s="19"/>
      <c r="F27" s="555"/>
      <c r="G27" s="2269" t="str">
        <f t="shared" si="0"/>
        <v/>
      </c>
      <c r="H27" s="2257"/>
      <c r="I27" s="372"/>
      <c r="J27" s="372"/>
      <c r="K27" s="373"/>
      <c r="L27" s="193"/>
    </row>
    <row r="28" spans="1:12">
      <c r="A28" s="712" t="s">
        <v>233</v>
      </c>
      <c r="B28" s="682" t="s">
        <v>1080</v>
      </c>
      <c r="C28" s="19"/>
      <c r="D28" s="19"/>
      <c r="E28" s="19"/>
      <c r="F28" s="555"/>
      <c r="G28" s="2269" t="str">
        <f t="shared" si="0"/>
        <v/>
      </c>
      <c r="H28" s="2257"/>
      <c r="I28" s="372"/>
      <c r="J28" s="372"/>
      <c r="K28" s="373"/>
      <c r="L28" s="193"/>
    </row>
    <row r="29" spans="1:12">
      <c r="A29" s="712" t="s">
        <v>234</v>
      </c>
      <c r="B29" s="682" t="s">
        <v>16</v>
      </c>
      <c r="C29" s="19"/>
      <c r="D29" s="19"/>
      <c r="E29" s="19"/>
      <c r="F29" s="555"/>
      <c r="G29" s="2269" t="str">
        <f t="shared" si="0"/>
        <v/>
      </c>
      <c r="H29" s="2257"/>
      <c r="I29" s="372"/>
      <c r="J29" s="372"/>
      <c r="K29" s="373"/>
      <c r="L29" s="193"/>
    </row>
    <row r="30" spans="1:12">
      <c r="A30" s="712" t="s">
        <v>358</v>
      </c>
      <c r="B30" s="682" t="s">
        <v>191</v>
      </c>
      <c r="C30" s="19"/>
      <c r="D30" s="19"/>
      <c r="E30" s="19"/>
      <c r="F30" s="555"/>
      <c r="G30" s="2269" t="str">
        <f t="shared" si="0"/>
        <v/>
      </c>
      <c r="H30" s="2257"/>
      <c r="I30" s="372"/>
      <c r="J30" s="372"/>
      <c r="K30" s="373"/>
      <c r="L30" s="193"/>
    </row>
    <row r="31" spans="1:12">
      <c r="A31" s="712" t="s">
        <v>238</v>
      </c>
      <c r="B31" s="682" t="s">
        <v>17</v>
      </c>
      <c r="C31" s="19"/>
      <c r="D31" s="19"/>
      <c r="E31" s="19"/>
      <c r="F31" s="555"/>
      <c r="G31" s="2269" t="str">
        <f t="shared" si="0"/>
        <v/>
      </c>
      <c r="H31" s="2257"/>
      <c r="I31" s="372"/>
      <c r="J31" s="372"/>
      <c r="K31" s="373"/>
      <c r="L31" s="193"/>
    </row>
    <row r="32" spans="1:12">
      <c r="A32" s="712" t="s">
        <v>239</v>
      </c>
      <c r="B32" s="682" t="s">
        <v>192</v>
      </c>
      <c r="C32" s="19"/>
      <c r="D32" s="19"/>
      <c r="E32" s="19"/>
      <c r="F32" s="555"/>
      <c r="G32" s="2269" t="str">
        <f t="shared" si="0"/>
        <v/>
      </c>
      <c r="H32" s="2257"/>
      <c r="I32" s="372"/>
      <c r="J32" s="372"/>
      <c r="K32" s="373"/>
      <c r="L32" s="193"/>
    </row>
    <row r="33" spans="1:12">
      <c r="A33" s="719" t="s">
        <v>240</v>
      </c>
      <c r="B33" s="720" t="s">
        <v>193</v>
      </c>
      <c r="C33" s="436">
        <f>SUM(C26:C32)</f>
        <v>0</v>
      </c>
      <c r="D33" s="436">
        <f>SUM(D26:D32)</f>
        <v>0</v>
      </c>
      <c r="E33" s="436">
        <f>SUM(E26:E32)</f>
        <v>0</v>
      </c>
      <c r="F33" s="2241">
        <f>SUM(F26:F32)</f>
        <v>0</v>
      </c>
      <c r="G33" s="2269"/>
      <c r="H33" s="2257"/>
      <c r="I33" s="372"/>
      <c r="J33" s="372"/>
      <c r="K33" s="374"/>
      <c r="L33" s="193"/>
    </row>
    <row r="34" spans="1:12">
      <c r="A34" s="721" t="s">
        <v>250</v>
      </c>
      <c r="B34" s="722" t="s">
        <v>194</v>
      </c>
      <c r="C34" s="270"/>
      <c r="D34" s="270"/>
      <c r="E34" s="270"/>
      <c r="F34" s="2242"/>
      <c r="G34" s="2269" t="str">
        <f t="shared" si="0"/>
        <v/>
      </c>
      <c r="H34" s="2257"/>
      <c r="I34" s="372"/>
      <c r="J34" s="372"/>
      <c r="K34" s="373"/>
      <c r="L34" s="193"/>
    </row>
    <row r="35" spans="1:12" ht="18.5">
      <c r="A35" s="952" t="s">
        <v>256</v>
      </c>
      <c r="B35" s="1505" t="s">
        <v>987</v>
      </c>
      <c r="C35" s="269"/>
      <c r="D35" s="269"/>
      <c r="E35" s="269"/>
      <c r="F35" s="2240"/>
      <c r="G35" s="2269" t="str">
        <f t="shared" si="0"/>
        <v/>
      </c>
      <c r="H35" s="2257"/>
      <c r="I35" s="372"/>
      <c r="J35" s="372"/>
      <c r="K35" s="373"/>
      <c r="L35" s="193"/>
    </row>
    <row r="36" spans="1:12">
      <c r="A36" s="716"/>
      <c r="B36" s="717" t="s">
        <v>195</v>
      </c>
      <c r="C36" s="953"/>
      <c r="D36" s="953"/>
      <c r="E36" s="953"/>
      <c r="F36" s="2243"/>
      <c r="G36" s="2269"/>
      <c r="H36" s="2257"/>
      <c r="I36" s="372"/>
      <c r="J36" s="372"/>
      <c r="K36" s="373"/>
      <c r="L36" s="193"/>
    </row>
    <row r="37" spans="1:12">
      <c r="A37" s="710" t="s">
        <v>438</v>
      </c>
      <c r="B37" s="718" t="s">
        <v>1761</v>
      </c>
      <c r="C37" s="19"/>
      <c r="D37" s="19"/>
      <c r="E37" s="19"/>
      <c r="F37" s="555"/>
      <c r="G37" s="2269" t="str">
        <f t="shared" si="0"/>
        <v/>
      </c>
      <c r="H37" s="2257"/>
      <c r="I37" s="372"/>
      <c r="J37" s="372"/>
      <c r="K37" s="373"/>
      <c r="L37" s="193"/>
    </row>
    <row r="38" spans="1:12">
      <c r="A38" s="712" t="s">
        <v>359</v>
      </c>
      <c r="B38" s="682" t="s">
        <v>1762</v>
      </c>
      <c r="C38" s="19"/>
      <c r="D38" s="19"/>
      <c r="E38" s="19"/>
      <c r="F38" s="555"/>
      <c r="G38" s="2269" t="str">
        <f t="shared" si="0"/>
        <v/>
      </c>
      <c r="H38" s="2257"/>
      <c r="I38" s="372"/>
      <c r="J38" s="372"/>
      <c r="K38" s="373"/>
      <c r="L38" s="193"/>
    </row>
    <row r="39" spans="1:12">
      <c r="A39" s="710" t="s">
        <v>360</v>
      </c>
      <c r="B39" s="682" t="s">
        <v>18</v>
      </c>
      <c r="C39" s="19"/>
      <c r="D39" s="19"/>
      <c r="E39" s="19"/>
      <c r="F39" s="555"/>
      <c r="G39" s="2269" t="str">
        <f t="shared" si="0"/>
        <v/>
      </c>
      <c r="H39" s="2257"/>
      <c r="I39" s="372"/>
      <c r="J39" s="372"/>
      <c r="K39" s="373"/>
      <c r="L39" s="373"/>
    </row>
    <row r="40" spans="1:12">
      <c r="A40" s="719" t="s">
        <v>264</v>
      </c>
      <c r="B40" s="720" t="s">
        <v>19</v>
      </c>
      <c r="C40" s="436">
        <f>SUM(C37:C39)</f>
        <v>0</v>
      </c>
      <c r="D40" s="436">
        <f>SUM(D37:D39)</f>
        <v>0</v>
      </c>
      <c r="E40" s="436">
        <f>SUM(E37:E39)</f>
        <v>0</v>
      </c>
      <c r="F40" s="2241">
        <f>SUM(F37:F39)</f>
        <v>0</v>
      </c>
      <c r="G40" s="2269"/>
      <c r="H40" s="2257"/>
      <c r="I40" s="372"/>
      <c r="J40" s="372"/>
      <c r="K40" s="373"/>
      <c r="L40" s="373"/>
    </row>
    <row r="41" spans="1:12">
      <c r="A41" s="721" t="s">
        <v>265</v>
      </c>
      <c r="B41" s="722" t="s">
        <v>196</v>
      </c>
      <c r="C41" s="436">
        <f>C35+C40</f>
        <v>0</v>
      </c>
      <c r="D41" s="436">
        <f>D35+D40</f>
        <v>0</v>
      </c>
      <c r="E41" s="436">
        <f>E35+E40</f>
        <v>0</v>
      </c>
      <c r="F41" s="2244">
        <f>F35+F40</f>
        <v>0</v>
      </c>
      <c r="G41" s="2269"/>
      <c r="H41" s="2257"/>
      <c r="I41" s="372"/>
      <c r="J41" s="372"/>
      <c r="K41" s="373"/>
      <c r="L41" s="373"/>
    </row>
    <row r="42" spans="1:12" ht="18.5">
      <c r="A42" s="708" t="s">
        <v>266</v>
      </c>
      <c r="B42" s="723" t="s">
        <v>197</v>
      </c>
      <c r="C42" s="19"/>
      <c r="D42" s="19"/>
      <c r="E42" s="19"/>
      <c r="F42" s="555"/>
      <c r="G42" s="2269" t="str">
        <f t="shared" si="0"/>
        <v/>
      </c>
      <c r="H42" s="2257"/>
      <c r="I42" s="372"/>
      <c r="J42" s="372"/>
      <c r="K42" s="373"/>
      <c r="L42" s="373"/>
    </row>
    <row r="43" spans="1:12">
      <c r="A43" s="724" t="s">
        <v>267</v>
      </c>
      <c r="B43" s="682" t="s">
        <v>107</v>
      </c>
      <c r="C43" s="19"/>
      <c r="D43" s="19"/>
      <c r="E43" s="19"/>
      <c r="F43" s="555"/>
      <c r="G43" s="2269" t="str">
        <f t="shared" si="0"/>
        <v/>
      </c>
      <c r="H43" s="2257"/>
      <c r="I43" s="372"/>
      <c r="J43" s="372"/>
      <c r="K43" s="373"/>
      <c r="L43" s="193"/>
    </row>
    <row r="44" spans="1:12">
      <c r="A44" s="712" t="s">
        <v>484</v>
      </c>
      <c r="B44" s="725" t="s">
        <v>537</v>
      </c>
      <c r="C44" s="593"/>
      <c r="D44" s="19"/>
      <c r="E44" s="19"/>
      <c r="F44" s="555"/>
      <c r="G44" s="2269" t="str">
        <f t="shared" si="0"/>
        <v/>
      </c>
      <c r="H44" s="2257"/>
      <c r="I44" s="372"/>
      <c r="J44" s="372"/>
      <c r="K44" s="373"/>
      <c r="L44" s="193"/>
    </row>
    <row r="45" spans="1:12" ht="18.5">
      <c r="A45" s="712" t="s">
        <v>549</v>
      </c>
      <c r="B45" s="718" t="s">
        <v>550</v>
      </c>
      <c r="C45" s="593"/>
      <c r="D45" s="19"/>
      <c r="E45" s="19"/>
      <c r="F45" s="555"/>
      <c r="G45" s="2269" t="str">
        <f t="shared" si="0"/>
        <v/>
      </c>
      <c r="H45" s="2257"/>
      <c r="I45" s="372"/>
      <c r="J45" s="372"/>
      <c r="K45" s="373"/>
      <c r="L45" s="193"/>
    </row>
    <row r="46" spans="1:12">
      <c r="A46" s="712" t="s">
        <v>361</v>
      </c>
      <c r="B46" s="682" t="s">
        <v>198</v>
      </c>
      <c r="C46" s="19"/>
      <c r="D46" s="19"/>
      <c r="E46" s="19"/>
      <c r="F46" s="555"/>
      <c r="G46" s="2269" t="str">
        <f t="shared" si="0"/>
        <v/>
      </c>
      <c r="H46" s="2257"/>
      <c r="I46" s="372"/>
      <c r="J46" s="372"/>
      <c r="K46" s="373"/>
      <c r="L46" s="193"/>
    </row>
    <row r="47" spans="1:12">
      <c r="A47" s="719" t="s">
        <v>362</v>
      </c>
      <c r="B47" s="954" t="s">
        <v>199</v>
      </c>
      <c r="C47" s="436">
        <f>SUM(C42:C46)</f>
        <v>0</v>
      </c>
      <c r="D47" s="436">
        <f>SUM(D42:D46)</f>
        <v>0</v>
      </c>
      <c r="E47" s="436">
        <f>SUM(E42:E46)</f>
        <v>0</v>
      </c>
      <c r="F47" s="2241">
        <f>SUM(F42:F46)</f>
        <v>0</v>
      </c>
      <c r="G47" s="2269"/>
      <c r="H47" s="2257"/>
      <c r="I47" s="372"/>
      <c r="J47" s="372"/>
      <c r="K47" s="374"/>
      <c r="L47" s="193"/>
    </row>
    <row r="48" spans="1:12">
      <c r="A48" s="721" t="s">
        <v>272</v>
      </c>
      <c r="B48" s="722" t="s">
        <v>200</v>
      </c>
      <c r="C48" s="270"/>
      <c r="D48" s="270"/>
      <c r="E48" s="270"/>
      <c r="F48" s="2242"/>
      <c r="G48" s="2269" t="str">
        <f t="shared" si="0"/>
        <v/>
      </c>
      <c r="H48" s="2257"/>
      <c r="I48" s="372"/>
      <c r="J48" s="372"/>
      <c r="K48" s="373"/>
      <c r="L48" s="193"/>
    </row>
    <row r="49" spans="1:12">
      <c r="A49" s="952" t="s">
        <v>273</v>
      </c>
      <c r="B49" s="720" t="s">
        <v>20</v>
      </c>
      <c r="C49" s="436">
        <f>SUM(C25,C33,C34,C41,C47,C48)</f>
        <v>0</v>
      </c>
      <c r="D49" s="436">
        <f>SUM(D25,D33,D34,D41,D47,D48)</f>
        <v>0</v>
      </c>
      <c r="E49" s="436">
        <f>SUM(E25,E33,E34,E41,E47,E48)</f>
        <v>0</v>
      </c>
      <c r="F49" s="2245">
        <f>SUM(F25,F33,F34,F41,F47,F48)</f>
        <v>0</v>
      </c>
      <c r="G49" s="2269"/>
      <c r="H49" s="2257"/>
      <c r="I49" s="372"/>
      <c r="J49" s="372"/>
      <c r="K49" s="373"/>
      <c r="L49" s="193"/>
    </row>
    <row r="50" spans="1:12" ht="31.5" customHeight="1">
      <c r="A50" s="951" t="s">
        <v>274</v>
      </c>
      <c r="B50" s="718" t="s">
        <v>1735</v>
      </c>
      <c r="C50" s="19"/>
      <c r="D50" s="19"/>
      <c r="E50" s="19"/>
      <c r="F50" s="555"/>
      <c r="G50" s="2269" t="str">
        <f t="shared" si="0"/>
        <v/>
      </c>
      <c r="H50" s="2257"/>
      <c r="I50" s="372"/>
      <c r="J50" s="372"/>
      <c r="K50" s="373"/>
      <c r="L50" s="193"/>
    </row>
    <row r="51" spans="1:12">
      <c r="A51" s="724" t="s">
        <v>275</v>
      </c>
      <c r="B51" s="694" t="s">
        <v>21</v>
      </c>
      <c r="C51" s="19"/>
      <c r="D51" s="19"/>
      <c r="E51" s="19"/>
      <c r="F51" s="555"/>
      <c r="G51" s="2269" t="str">
        <f t="shared" si="0"/>
        <v/>
      </c>
      <c r="H51" s="2257"/>
      <c r="I51" s="372"/>
      <c r="J51" s="372"/>
      <c r="K51" s="373"/>
      <c r="L51" s="193"/>
    </row>
    <row r="52" spans="1:12">
      <c r="A52" s="724" t="s">
        <v>276</v>
      </c>
      <c r="B52" s="694" t="s">
        <v>22</v>
      </c>
      <c r="C52" s="19"/>
      <c r="D52" s="19"/>
      <c r="E52" s="19"/>
      <c r="F52" s="555"/>
      <c r="G52" s="2269" t="str">
        <f t="shared" si="0"/>
        <v/>
      </c>
      <c r="H52" s="2257"/>
      <c r="I52" s="372"/>
      <c r="J52" s="372"/>
      <c r="K52" s="373"/>
      <c r="L52" s="193"/>
    </row>
    <row r="53" spans="1:12">
      <c r="A53" s="724" t="s">
        <v>277</v>
      </c>
      <c r="B53" s="694" t="s">
        <v>23</v>
      </c>
      <c r="C53" s="19"/>
      <c r="D53" s="19"/>
      <c r="E53" s="19"/>
      <c r="F53" s="555"/>
      <c r="G53" s="2269" t="str">
        <f t="shared" si="0"/>
        <v/>
      </c>
      <c r="H53" s="2257"/>
      <c r="I53" s="372"/>
      <c r="J53" s="372"/>
      <c r="K53" s="373"/>
      <c r="L53" s="193"/>
    </row>
    <row r="54" spans="1:12">
      <c r="A54" s="955" t="s">
        <v>278</v>
      </c>
      <c r="B54" s="956" t="s">
        <v>24</v>
      </c>
      <c r="C54" s="436">
        <f>SUM(C50:C53)</f>
        <v>0</v>
      </c>
      <c r="D54" s="436">
        <f>SUM(D50:D53)</f>
        <v>0</v>
      </c>
      <c r="E54" s="436">
        <f>SUM(E50:E53)</f>
        <v>0</v>
      </c>
      <c r="F54" s="2241">
        <f>SUM(F50:F53)</f>
        <v>0</v>
      </c>
      <c r="G54" s="2269"/>
      <c r="H54" s="2257"/>
      <c r="I54" s="372"/>
      <c r="J54" s="372"/>
      <c r="K54" s="374"/>
      <c r="L54" s="193"/>
    </row>
    <row r="55" spans="1:12" ht="18.5">
      <c r="A55" s="708" t="s">
        <v>279</v>
      </c>
      <c r="B55" s="957" t="s">
        <v>201</v>
      </c>
      <c r="C55" s="19"/>
      <c r="D55" s="19"/>
      <c r="E55" s="19"/>
      <c r="F55" s="555"/>
      <c r="G55" s="2269" t="str">
        <f t="shared" si="0"/>
        <v/>
      </c>
      <c r="H55" s="2257"/>
      <c r="I55" s="372"/>
      <c r="J55" s="372"/>
      <c r="K55" s="373"/>
      <c r="L55" s="193"/>
    </row>
    <row r="56" spans="1:12">
      <c r="A56" s="724" t="s">
        <v>280</v>
      </c>
      <c r="B56" s="732" t="s">
        <v>1079</v>
      </c>
      <c r="C56" s="19"/>
      <c r="D56" s="19"/>
      <c r="E56" s="19"/>
      <c r="F56" s="555"/>
      <c r="G56" s="2269" t="str">
        <f t="shared" si="0"/>
        <v/>
      </c>
      <c r="H56" s="2257"/>
      <c r="I56" s="372"/>
      <c r="J56" s="372"/>
      <c r="K56" s="373"/>
      <c r="L56" s="193"/>
    </row>
    <row r="57" spans="1:12">
      <c r="A57" s="724" t="s">
        <v>281</v>
      </c>
      <c r="B57" s="958" t="s">
        <v>25</v>
      </c>
      <c r="C57" s="19"/>
      <c r="D57" s="19"/>
      <c r="E57" s="19"/>
      <c r="F57" s="555"/>
      <c r="G57" s="2269" t="str">
        <f t="shared" si="0"/>
        <v/>
      </c>
      <c r="H57" s="2257"/>
      <c r="I57" s="372"/>
      <c r="J57" s="372"/>
      <c r="K57" s="373"/>
      <c r="L57" s="193"/>
    </row>
    <row r="58" spans="1:12">
      <c r="A58" s="955" t="s">
        <v>282</v>
      </c>
      <c r="B58" s="722" t="s">
        <v>26</v>
      </c>
      <c r="C58" s="436">
        <f>SUM(C55:C57)</f>
        <v>0</v>
      </c>
      <c r="D58" s="436">
        <f>SUM(D55:D57)</f>
        <v>0</v>
      </c>
      <c r="E58" s="436">
        <f>SUM(E55:E57)</f>
        <v>0</v>
      </c>
      <c r="F58" s="2241">
        <f>SUM(F55:F57)</f>
        <v>0</v>
      </c>
      <c r="G58" s="2269"/>
      <c r="H58" s="2257"/>
      <c r="I58" s="372"/>
      <c r="J58" s="372"/>
      <c r="K58" s="374"/>
      <c r="L58" s="193"/>
    </row>
    <row r="59" spans="1:12" ht="18.5">
      <c r="A59" s="708" t="s">
        <v>283</v>
      </c>
      <c r="B59" s="723" t="s">
        <v>202</v>
      </c>
      <c r="C59" s="19"/>
      <c r="D59" s="19"/>
      <c r="E59" s="19"/>
      <c r="F59" s="555"/>
      <c r="G59" s="2269" t="str">
        <f t="shared" si="0"/>
        <v/>
      </c>
      <c r="H59" s="2257"/>
      <c r="I59" s="372"/>
      <c r="J59" s="372"/>
      <c r="K59" s="373"/>
      <c r="L59" s="193"/>
    </row>
    <row r="60" spans="1:12">
      <c r="A60" s="724" t="s">
        <v>284</v>
      </c>
      <c r="B60" s="694" t="s">
        <v>27</v>
      </c>
      <c r="C60" s="19"/>
      <c r="D60" s="19"/>
      <c r="E60" s="19"/>
      <c r="F60" s="555"/>
      <c r="G60" s="2269" t="str">
        <f t="shared" si="0"/>
        <v/>
      </c>
      <c r="H60" s="2257"/>
      <c r="I60" s="372"/>
      <c r="J60" s="372"/>
      <c r="K60" s="373"/>
      <c r="L60" s="193"/>
    </row>
    <row r="61" spans="1:12">
      <c r="A61" s="724" t="s">
        <v>285</v>
      </c>
      <c r="B61" s="694" t="s">
        <v>28</v>
      </c>
      <c r="C61" s="19"/>
      <c r="D61" s="19"/>
      <c r="E61" s="19"/>
      <c r="F61" s="555"/>
      <c r="G61" s="2269" t="str">
        <f t="shared" si="0"/>
        <v/>
      </c>
      <c r="H61" s="2257"/>
      <c r="I61" s="372"/>
      <c r="J61" s="372"/>
      <c r="K61" s="373"/>
      <c r="L61" s="193"/>
    </row>
    <row r="62" spans="1:12">
      <c r="A62" s="724" t="s">
        <v>286</v>
      </c>
      <c r="B62" s="694" t="s">
        <v>29</v>
      </c>
      <c r="C62" s="19"/>
      <c r="D62" s="19"/>
      <c r="E62" s="19"/>
      <c r="F62" s="555"/>
      <c r="G62" s="2269" t="str">
        <f t="shared" si="0"/>
        <v/>
      </c>
      <c r="H62" s="2257"/>
      <c r="I62" s="372"/>
      <c r="J62" s="372"/>
      <c r="K62" s="373"/>
      <c r="L62" s="193"/>
    </row>
    <row r="63" spans="1:12">
      <c r="A63" s="955" t="s">
        <v>287</v>
      </c>
      <c r="B63" s="722" t="s">
        <v>203</v>
      </c>
      <c r="C63" s="436">
        <f>SUM(C59:C62)</f>
        <v>0</v>
      </c>
      <c r="D63" s="436">
        <f>SUM(D59:D62)</f>
        <v>0</v>
      </c>
      <c r="E63" s="436">
        <f>SUM(E59:E62)</f>
        <v>0</v>
      </c>
      <c r="F63" s="2241">
        <f>SUM(F59:F62)</f>
        <v>0</v>
      </c>
      <c r="G63" s="2269"/>
      <c r="H63" s="2257"/>
      <c r="I63" s="372"/>
      <c r="J63" s="372"/>
      <c r="K63" s="374"/>
      <c r="L63" s="193"/>
    </row>
    <row r="64" spans="1:12">
      <c r="A64" s="952" t="s">
        <v>288</v>
      </c>
      <c r="B64" s="720" t="s">
        <v>30</v>
      </c>
      <c r="C64" s="436">
        <f>SUM(C54,C58,C63)</f>
        <v>0</v>
      </c>
      <c r="D64" s="436">
        <f>SUM(D54,D58,D63)</f>
        <v>0</v>
      </c>
      <c r="E64" s="436">
        <f>SUM(E54,E58,E63)</f>
        <v>0</v>
      </c>
      <c r="F64" s="2245">
        <f>SUM(F54,F58,F63)</f>
        <v>0</v>
      </c>
      <c r="G64" s="2269"/>
      <c r="H64" s="2257"/>
      <c r="I64" s="372"/>
      <c r="J64" s="372"/>
      <c r="K64" s="373"/>
      <c r="L64" s="193"/>
    </row>
    <row r="65" spans="1:13" ht="13" thickBot="1">
      <c r="A65" s="959" t="s">
        <v>291</v>
      </c>
      <c r="B65" s="960" t="s">
        <v>32</v>
      </c>
      <c r="C65" s="271"/>
      <c r="D65" s="271"/>
      <c r="E65" s="271"/>
      <c r="F65" s="2246"/>
      <c r="G65" s="2269" t="str">
        <f>IF(C65&gt;(0.3*C66),"Rad 920 avser bara investeringar i gemensamma verksamheter. Alla andra investeringar ska fördelas till rätt verksamhet. Använd schabloner vid behov",IF(SUM(D65:F65)&gt;(C65+100),"Summa kol.D+kol.E+kol.F &gt; Kol.C",""))</f>
        <v/>
      </c>
      <c r="H65" s="2257"/>
      <c r="I65" s="372"/>
      <c r="J65" s="372"/>
      <c r="K65" s="373"/>
      <c r="L65" s="193"/>
    </row>
    <row r="66" spans="1:13" ht="27" customHeight="1" thickBot="1">
      <c r="A66" s="961" t="s">
        <v>292</v>
      </c>
      <c r="B66" s="795" t="s">
        <v>33</v>
      </c>
      <c r="C66" s="440">
        <f>SUM(C49,C64,C65)</f>
        <v>0</v>
      </c>
      <c r="D66" s="440">
        <f>SUM(D49,D64,D65)</f>
        <v>0</v>
      </c>
      <c r="E66" s="440">
        <f>SUM(E49,E64,E65)</f>
        <v>0</v>
      </c>
      <c r="F66" s="2247">
        <f>SUM(F49,F64,F65)</f>
        <v>0</v>
      </c>
      <c r="G66" s="2269" t="str">
        <f>IF(C66=0,"",IF(SUM(D66:F66)/C66&lt;0.9,"Vad avser de  " &amp;""&amp;(ROUND(C66-SUM(D66:F66),0))&amp; "tkr investeringsutgifter i kol C som inte ingår i kol. D-F? OBS! alla entrep. o kons. ska ingå i kol D",""))</f>
        <v/>
      </c>
      <c r="H66" s="2257"/>
      <c r="I66" s="1459"/>
      <c r="J66" s="1770"/>
      <c r="K66" s="1486"/>
      <c r="L66" s="193"/>
    </row>
    <row r="67" spans="1:13" ht="10.5" customHeight="1">
      <c r="A67" s="360"/>
      <c r="B67" s="17"/>
      <c r="C67" s="79"/>
      <c r="D67" s="79"/>
      <c r="E67" s="79"/>
      <c r="F67" s="79"/>
      <c r="G67" s="2085" t="s">
        <v>1359</v>
      </c>
      <c r="H67" s="79"/>
      <c r="I67" s="2085"/>
      <c r="J67" s="70"/>
      <c r="K67" s="71"/>
      <c r="L67" s="5"/>
    </row>
    <row r="68" spans="1:13" ht="25.5" customHeight="1">
      <c r="A68" s="360"/>
      <c r="B68" s="17"/>
      <c r="C68" s="79"/>
      <c r="D68" s="79"/>
      <c r="E68" s="79"/>
      <c r="F68" s="79"/>
      <c r="G68" s="2927"/>
      <c r="H68" s="2928"/>
      <c r="I68" s="2928"/>
      <c r="J68" s="2929"/>
      <c r="K68" s="2259"/>
      <c r="L68" s="2260"/>
    </row>
    <row r="69" spans="1:13" ht="31.5" customHeight="1">
      <c r="A69" s="360"/>
      <c r="B69" s="17"/>
      <c r="C69" s="79"/>
      <c r="D69" s="79"/>
      <c r="E69" s="79"/>
      <c r="F69" s="79"/>
      <c r="G69" s="2930"/>
      <c r="H69" s="2931"/>
      <c r="I69" s="2931"/>
      <c r="J69" s="2932"/>
      <c r="K69" s="2259"/>
      <c r="L69" s="2260"/>
      <c r="M69" s="1500"/>
    </row>
    <row r="70" spans="1:13" ht="28.5" customHeight="1">
      <c r="A70" s="2933" t="s">
        <v>1620</v>
      </c>
      <c r="B70" s="2934"/>
      <c r="C70" s="2935"/>
      <c r="D70" s="2935"/>
      <c r="E70" s="2935"/>
      <c r="F70" s="2935"/>
      <c r="G70" s="79"/>
      <c r="H70" s="1584"/>
      <c r="I70" s="2234"/>
      <c r="J70" s="2234"/>
      <c r="K70" s="2234"/>
      <c r="L70" s="2234"/>
      <c r="M70" s="1500"/>
    </row>
    <row r="71" spans="1:13">
      <c r="A71" s="2090" t="s">
        <v>1362</v>
      </c>
      <c r="B71" s="1658"/>
      <c r="C71" s="151"/>
      <c r="D71" s="74"/>
      <c r="F71" s="75"/>
      <c r="G71" s="76"/>
      <c r="H71" s="262"/>
      <c r="I71" s="2234"/>
      <c r="J71" s="2234"/>
      <c r="K71" s="2234"/>
      <c r="L71" s="2234"/>
      <c r="M71" s="1500"/>
    </row>
    <row r="72" spans="1:13" ht="32.25" customHeight="1" thickBot="1">
      <c r="A72" s="2086" t="s">
        <v>1401</v>
      </c>
      <c r="B72" s="95"/>
      <c r="C72" s="1625"/>
      <c r="D72" s="38"/>
      <c r="E72" s="1498"/>
      <c r="F72" s="1499"/>
      <c r="G72" s="1499"/>
      <c r="H72" s="1499"/>
      <c r="I72" s="2258"/>
      <c r="J72" s="2258"/>
      <c r="K72" s="2258"/>
      <c r="L72" s="2258"/>
      <c r="M72" s="1500"/>
    </row>
    <row r="73" spans="1:13" ht="18">
      <c r="A73" s="2088" t="s">
        <v>1360</v>
      </c>
      <c r="B73" s="2676" t="s">
        <v>1361</v>
      </c>
      <c r="C73" s="2110"/>
      <c r="D73" s="155"/>
      <c r="E73" s="1499"/>
      <c r="F73" s="1499"/>
      <c r="G73" s="2290"/>
      <c r="H73" s="1499"/>
      <c r="I73" s="2290"/>
      <c r="J73" s="316"/>
      <c r="K73" s="316"/>
      <c r="L73" s="316"/>
      <c r="M73" s="1500"/>
    </row>
    <row r="74" spans="1:13" ht="15" customHeight="1">
      <c r="A74" s="2371" t="s">
        <v>470</v>
      </c>
      <c r="B74" s="2734" t="s">
        <v>1667</v>
      </c>
      <c r="C74" s="243"/>
      <c r="D74" s="2306" t="str">
        <f>IF(C74="","Skriv belopp eller 0",IF(C74&lt;0,"Inget minusbelopp",""))</f>
        <v>Skriv belopp eller 0</v>
      </c>
      <c r="E74" s="1499"/>
      <c r="F74" s="1499"/>
      <c r="G74" s="2261"/>
      <c r="H74" s="187"/>
      <c r="I74" s="187"/>
      <c r="J74" s="187"/>
      <c r="K74" s="187"/>
      <c r="L74" s="187"/>
      <c r="M74" s="1500"/>
    </row>
    <row r="75" spans="1:13" ht="13" thickBot="1">
      <c r="A75" s="2372">
        <v>705</v>
      </c>
      <c r="B75" s="2682" t="s">
        <v>1658</v>
      </c>
      <c r="C75" s="247"/>
      <c r="D75" s="2306" t="str">
        <f>IF(C75="","Skriv belopp eller 0","")</f>
        <v>Skriv belopp eller 0</v>
      </c>
      <c r="E75" s="1499"/>
      <c r="F75" s="1499"/>
      <c r="G75" s="187"/>
      <c r="H75" s="315"/>
      <c r="I75" s="187"/>
      <c r="J75" s="187"/>
      <c r="K75" s="187"/>
      <c r="L75" s="187"/>
      <c r="M75" s="1500"/>
    </row>
    <row r="76" spans="1:13" ht="13" thickBot="1">
      <c r="A76" s="1660"/>
      <c r="B76" s="1659"/>
      <c r="C76" s="157"/>
      <c r="D76" s="1783"/>
      <c r="E76" s="1499"/>
      <c r="F76" s="1499"/>
      <c r="G76" s="1499"/>
      <c r="H76" s="1499"/>
      <c r="I76" s="2291"/>
      <c r="J76" s="2291"/>
      <c r="K76" s="2291"/>
      <c r="L76" s="2291"/>
      <c r="M76" s="1500"/>
    </row>
    <row r="77" spans="1:13" ht="26.25" customHeight="1">
      <c r="A77" s="2089" t="s">
        <v>525</v>
      </c>
      <c r="B77" s="2675" t="s">
        <v>1636</v>
      </c>
      <c r="C77" s="2292"/>
      <c r="D77" s="1783"/>
      <c r="E77" s="1499"/>
      <c r="F77" s="1499"/>
      <c r="G77" s="2940"/>
      <c r="H77" s="2941"/>
      <c r="I77" s="2941"/>
      <c r="J77" s="2291"/>
      <c r="K77" s="2291"/>
      <c r="L77" s="2291"/>
      <c r="M77" s="1500"/>
    </row>
    <row r="78" spans="1:13" ht="15" customHeight="1">
      <c r="A78" s="2373">
        <v>710</v>
      </c>
      <c r="B78" s="1342" t="s">
        <v>1416</v>
      </c>
      <c r="C78" s="243"/>
      <c r="D78" s="2306" t="str">
        <f>IF(C78="","Skriv belopp eller 0",IF((SUM(C79:C81)-C78)&gt;1,"Därav-raderna 715-725 &gt; Total-rad 710",""))</f>
        <v>Skriv belopp eller 0</v>
      </c>
      <c r="E78" s="1499"/>
      <c r="F78" s="1499"/>
      <c r="G78" s="2941"/>
      <c r="H78" s="2941"/>
      <c r="I78" s="2941"/>
      <c r="J78" s="2291"/>
      <c r="K78" s="2291"/>
      <c r="L78" s="2291"/>
      <c r="M78" s="1500"/>
    </row>
    <row r="79" spans="1:13" ht="15" customHeight="1">
      <c r="A79" s="2328" t="s">
        <v>1363</v>
      </c>
      <c r="B79" s="1336" t="s">
        <v>1392</v>
      </c>
      <c r="C79" s="243"/>
      <c r="D79" s="2306" t="str">
        <f>IF(C79="","Skriv belopp eller 0","")</f>
        <v>Skriv belopp eller 0</v>
      </c>
      <c r="E79" s="1499"/>
      <c r="F79" s="1499"/>
      <c r="G79" s="2941"/>
      <c r="H79" s="2941"/>
      <c r="I79" s="2941"/>
      <c r="J79" s="2291"/>
      <c r="K79" s="2291"/>
      <c r="L79" s="2291"/>
      <c r="M79" s="1500"/>
    </row>
    <row r="80" spans="1:13" ht="15" customHeight="1">
      <c r="A80" s="2328" t="s">
        <v>1364</v>
      </c>
      <c r="B80" s="1336" t="s">
        <v>1393</v>
      </c>
      <c r="C80" s="243"/>
      <c r="D80" s="2306" t="str">
        <f>IF(C80="","Skriv belopp eller 0","")</f>
        <v>Skriv belopp eller 0</v>
      </c>
      <c r="E80" s="1499"/>
      <c r="F80" s="1499"/>
      <c r="G80" s="2290" t="s">
        <v>1394</v>
      </c>
      <c r="H80" s="1499"/>
      <c r="I80" s="2291"/>
      <c r="J80" s="2291"/>
      <c r="K80" s="2291"/>
      <c r="L80" s="2291"/>
      <c r="M80" s="1500"/>
    </row>
    <row r="81" spans="1:13" ht="15" customHeight="1">
      <c r="A81" s="2328" t="s">
        <v>1365</v>
      </c>
      <c r="B81" s="1336" t="s">
        <v>1632</v>
      </c>
      <c r="C81" s="243"/>
      <c r="D81" s="2306" t="str">
        <f>IF(C81="","Skriv belopp eller 0","")</f>
        <v>Skriv belopp eller 0</v>
      </c>
      <c r="E81" s="1499"/>
      <c r="F81" s="1499"/>
      <c r="G81" s="2883"/>
      <c r="H81" s="2922"/>
      <c r="I81" s="2922"/>
      <c r="J81" s="2923"/>
      <c r="K81" s="2291"/>
      <c r="L81" s="2291"/>
      <c r="M81" s="1500"/>
    </row>
    <row r="82" spans="1:13" ht="15" customHeight="1" thickBot="1">
      <c r="A82" s="2570" t="s">
        <v>1369</v>
      </c>
      <c r="B82" s="2044" t="s">
        <v>1633</v>
      </c>
      <c r="C82" s="2288">
        <f>C78-C79-C80-C81</f>
        <v>0</v>
      </c>
      <c r="D82" s="2027" t="str">
        <f>IF(C78=0,"",IF(SUM(C78-C79-C80-C81&gt;1000),"Vem kommer de övriga " &amp;""&amp;(ROUND(C78-C79-C80-C81,0))&amp; "tkr övr.invest.ink. ifrån?",""))</f>
        <v/>
      </c>
      <c r="E82" s="1499"/>
      <c r="F82" s="1499"/>
      <c r="G82" s="2924"/>
      <c r="H82" s="2925"/>
      <c r="I82" s="2925"/>
      <c r="J82" s="2926"/>
      <c r="K82" s="2291"/>
      <c r="L82" s="2291"/>
      <c r="M82" s="1500"/>
    </row>
    <row r="83" spans="1:13">
      <c r="A83" s="1660"/>
      <c r="B83" s="1659"/>
      <c r="C83" s="157"/>
      <c r="D83" s="1783"/>
      <c r="E83" s="1499"/>
      <c r="F83" s="1499"/>
      <c r="G83" s="1499"/>
      <c r="H83" s="1499"/>
      <c r="I83" s="2291"/>
      <c r="J83" s="2291"/>
      <c r="K83" s="2291"/>
      <c r="L83" s="2291"/>
      <c r="M83" s="1500"/>
    </row>
    <row r="84" spans="1:13" ht="19.5" customHeight="1">
      <c r="A84" s="2933" t="s">
        <v>1621</v>
      </c>
      <c r="B84" s="2936"/>
      <c r="C84" s="2937"/>
      <c r="D84" s="2937"/>
      <c r="E84" s="2937"/>
      <c r="F84" s="2937"/>
      <c r="G84" s="2937"/>
      <c r="H84" s="2937"/>
      <c r="I84" s="2937"/>
      <c r="J84" s="2937"/>
      <c r="K84" s="2937"/>
      <c r="L84" s="2291"/>
      <c r="M84" s="1500"/>
    </row>
    <row r="85" spans="1:13">
      <c r="A85" s="2937"/>
      <c r="B85" s="2937"/>
      <c r="C85" s="2937"/>
      <c r="D85" s="2937"/>
      <c r="E85" s="2937"/>
      <c r="F85" s="2937"/>
      <c r="G85" s="2937"/>
      <c r="H85" s="2937"/>
      <c r="I85" s="2937"/>
      <c r="J85" s="2937"/>
      <c r="K85" s="2937"/>
      <c r="L85" s="2291"/>
      <c r="M85" s="1500"/>
    </row>
    <row r="86" spans="1:13">
      <c r="A86" s="2099" t="s">
        <v>1402</v>
      </c>
      <c r="B86" s="2104"/>
      <c r="C86" s="2105"/>
      <c r="D86" s="2106"/>
      <c r="E86" s="2106"/>
      <c r="F86" s="2096"/>
      <c r="G86" s="2107"/>
      <c r="H86" s="2108"/>
      <c r="I86" s="2109"/>
      <c r="J86" s="1498"/>
      <c r="K86" s="1498"/>
      <c r="L86" s="1498"/>
      <c r="M86" s="1500"/>
    </row>
    <row r="87" spans="1:13">
      <c r="A87" s="2099" t="s">
        <v>1366</v>
      </c>
      <c r="B87" s="2104"/>
      <c r="C87" s="2105"/>
      <c r="D87" s="2106"/>
      <c r="E87" s="2106"/>
      <c r="F87" s="2096"/>
      <c r="G87" s="2107"/>
      <c r="H87" s="2108"/>
      <c r="I87" s="2109"/>
      <c r="J87" s="1498"/>
      <c r="K87" s="1498"/>
      <c r="L87" s="1498"/>
      <c r="M87" s="1500"/>
    </row>
    <row r="88" spans="1:13" ht="21.75" customHeight="1" thickBot="1">
      <c r="A88" s="2099" t="s">
        <v>1734</v>
      </c>
      <c r="B88" s="2104"/>
      <c r="C88" s="2105"/>
      <c r="D88" s="2106"/>
      <c r="E88" s="2106"/>
      <c r="F88" s="2096"/>
      <c r="G88" s="2107"/>
      <c r="H88" s="2108"/>
      <c r="I88" s="2109"/>
      <c r="J88" s="1498"/>
      <c r="K88" s="1498"/>
      <c r="L88" s="1498"/>
      <c r="M88" s="1500"/>
    </row>
    <row r="89" spans="1:13" ht="21.75" customHeight="1">
      <c r="A89" s="2092" t="s">
        <v>525</v>
      </c>
      <c r="B89" s="2098" t="s">
        <v>1367</v>
      </c>
      <c r="C89" s="2330" t="s">
        <v>1368</v>
      </c>
      <c r="D89" s="2331" t="s">
        <v>1368</v>
      </c>
      <c r="E89" s="1499"/>
      <c r="F89" s="1499"/>
      <c r="G89" s="2290"/>
      <c r="H89" s="1499"/>
      <c r="I89" s="2290"/>
      <c r="J89" s="316"/>
      <c r="K89" s="316"/>
      <c r="L89" s="316"/>
      <c r="M89" s="1500"/>
    </row>
    <row r="90" spans="1:13">
      <c r="A90" s="2091"/>
      <c r="B90" s="2100"/>
      <c r="C90" s="2463" t="s">
        <v>1174</v>
      </c>
      <c r="D90" s="2332" t="s">
        <v>1174</v>
      </c>
      <c r="E90" s="1499"/>
      <c r="F90" s="1499"/>
      <c r="G90" s="2262"/>
      <c r="H90" s="187"/>
      <c r="I90" s="187"/>
      <c r="J90" s="187"/>
      <c r="K90" s="187"/>
      <c r="L90" s="187"/>
      <c r="M90" s="1500"/>
    </row>
    <row r="91" spans="1:13">
      <c r="A91" s="2091"/>
      <c r="B91" s="2093"/>
      <c r="C91" s="2464" t="s">
        <v>1487</v>
      </c>
      <c r="D91" s="2333" t="s">
        <v>1070</v>
      </c>
      <c r="E91" s="1499"/>
      <c r="F91" s="1499"/>
      <c r="G91" s="187"/>
      <c r="H91" s="187"/>
      <c r="I91" s="187"/>
      <c r="J91" s="187"/>
      <c r="K91" s="187"/>
      <c r="L91" s="187"/>
      <c r="M91" s="1500"/>
    </row>
    <row r="92" spans="1:13" ht="39.75" customHeight="1">
      <c r="A92" s="2091"/>
      <c r="B92" s="2100"/>
      <c r="C92" s="2465" t="s">
        <v>1488</v>
      </c>
      <c r="D92" s="2450" t="s">
        <v>1379</v>
      </c>
      <c r="E92" s="1499"/>
      <c r="F92" s="1499"/>
      <c r="G92" s="1499"/>
      <c r="H92" s="1499"/>
      <c r="I92" s="2291"/>
      <c r="J92" s="2291"/>
      <c r="K92" s="2291"/>
      <c r="L92" s="2291"/>
      <c r="M92" s="1500"/>
    </row>
    <row r="93" spans="1:13">
      <c r="A93" s="2091"/>
      <c r="B93" s="2094"/>
      <c r="C93" s="2334"/>
      <c r="D93" s="2335"/>
      <c r="E93" s="2307"/>
      <c r="F93" s="1499"/>
      <c r="G93" s="1499"/>
      <c r="H93" s="1499"/>
      <c r="I93" s="2291"/>
      <c r="J93" s="2291"/>
      <c r="K93" s="2291"/>
      <c r="L93" s="2291"/>
      <c r="M93" s="1500"/>
    </row>
    <row r="94" spans="1:13">
      <c r="A94" s="2373" t="s">
        <v>1371</v>
      </c>
      <c r="B94" s="1336" t="s">
        <v>1370</v>
      </c>
      <c r="C94" s="2101"/>
      <c r="D94" s="2087"/>
      <c r="E94" s="2466" t="str">
        <f>IF(C78="","Skriv belopp eller 0",IF((SUM(C79:C81)-C78)&gt;1,"Därav-raderna 715-725 &gt; Total-rad 710",""))</f>
        <v>Skriv belopp eller 0</v>
      </c>
      <c r="F94" s="1499"/>
      <c r="G94" s="1499"/>
      <c r="H94" s="1499"/>
      <c r="I94" s="2291"/>
      <c r="J94" s="2291"/>
      <c r="K94" s="2291"/>
      <c r="L94" s="2291"/>
      <c r="M94" s="1500"/>
    </row>
    <row r="95" spans="1:13">
      <c r="A95" s="2373" t="s">
        <v>1373</v>
      </c>
      <c r="B95" s="1336" t="s">
        <v>1372</v>
      </c>
      <c r="C95" s="2101"/>
      <c r="D95" s="2087"/>
      <c r="E95" s="2466" t="str">
        <f>IF(OR(C95="",D95=""),"Skriv belopp eller 0",IF(D95&gt;C95,"invest.inkomsterna borde inte vara större än invest.utgifterna",""))</f>
        <v>Skriv belopp eller 0</v>
      </c>
      <c r="F95" s="1499"/>
      <c r="G95" s="1499"/>
      <c r="H95" s="1499"/>
      <c r="I95" s="2291"/>
      <c r="J95" s="2291"/>
      <c r="K95" s="2291"/>
      <c r="L95" s="2291"/>
      <c r="M95" s="1500"/>
    </row>
    <row r="96" spans="1:13">
      <c r="A96" s="2373" t="s">
        <v>1375</v>
      </c>
      <c r="B96" s="1336" t="s">
        <v>1374</v>
      </c>
      <c r="C96" s="2101"/>
      <c r="D96" s="2087"/>
      <c r="E96" s="2466" t="str">
        <f>IF(OR(C96="",D96=""),"Skriv belopp eller 0",IF(D96&gt;C96,"invest.inkomsterna borde inte vara större än invest.utgifterna",""))</f>
        <v>Skriv belopp eller 0</v>
      </c>
      <c r="F96" s="1499"/>
      <c r="G96" s="2085" t="s">
        <v>1395</v>
      </c>
      <c r="H96" s="1499"/>
      <c r="I96" s="2291"/>
      <c r="J96" s="2291"/>
      <c r="K96" s="2291"/>
      <c r="L96" s="2291"/>
      <c r="M96" s="1500"/>
    </row>
    <row r="97" spans="1:13" ht="13" thickBot="1">
      <c r="A97" s="2374" t="s">
        <v>1377</v>
      </c>
      <c r="B97" s="2100" t="s">
        <v>1376</v>
      </c>
      <c r="C97" s="2102"/>
      <c r="D97" s="2103"/>
      <c r="E97" s="2466" t="str">
        <f>IF(OR(C97="",D97=""),"Skriv belopp eller 0",IF(D97&gt;C97,"invest.inkomsterna borde inte vara större än invest.utgifterna",""))</f>
        <v>Skriv belopp eller 0</v>
      </c>
      <c r="F97" s="1499"/>
      <c r="G97" s="2883"/>
      <c r="H97" s="2922"/>
      <c r="I97" s="2922"/>
      <c r="J97" s="2923"/>
      <c r="K97" s="2056"/>
      <c r="L97" s="2056"/>
      <c r="M97" s="1500"/>
    </row>
    <row r="98" spans="1:13" ht="13" thickBot="1">
      <c r="A98" s="2376" t="s">
        <v>1398</v>
      </c>
      <c r="B98" s="2329" t="s">
        <v>1378</v>
      </c>
      <c r="C98" s="2097">
        <f>SUM(C94:C97)</f>
        <v>0</v>
      </c>
      <c r="D98" s="2095">
        <f>SUM(D94:D97)</f>
        <v>0</v>
      </c>
      <c r="E98" s="2467" t="str">
        <f>IF(C98&gt;0.2*SUM(BR!E9+BR!E12),"Kontrollera invest.utgifterna.","")</f>
        <v/>
      </c>
      <c r="F98" s="1499"/>
      <c r="G98" s="2924"/>
      <c r="H98" s="2925"/>
      <c r="I98" s="2925"/>
      <c r="J98" s="2926"/>
      <c r="K98" s="2056"/>
      <c r="L98" s="2056"/>
      <c r="M98" s="1500"/>
    </row>
    <row r="99" spans="1:13">
      <c r="A99" s="1660"/>
      <c r="B99" s="1659"/>
      <c r="C99" s="157"/>
      <c r="D99" s="72"/>
      <c r="E99" s="1499"/>
      <c r="F99" s="1499"/>
      <c r="G99" s="2289" t="s">
        <v>505</v>
      </c>
      <c r="H99" s="1499"/>
      <c r="I99" s="2291"/>
      <c r="J99" s="2291"/>
      <c r="K99" s="2291"/>
      <c r="L99" s="2291"/>
      <c r="M99" s="1500"/>
    </row>
    <row r="100" spans="1:13">
      <c r="A100" s="1660"/>
      <c r="B100" s="1659"/>
      <c r="C100" s="157"/>
      <c r="D100" s="72"/>
      <c r="E100" s="1499"/>
      <c r="F100" s="1499"/>
      <c r="G100" s="1499"/>
      <c r="H100" s="1499"/>
      <c r="I100" s="2291"/>
      <c r="J100" s="2291"/>
      <c r="K100" s="2291"/>
      <c r="L100" s="2291"/>
      <c r="M100" s="1500"/>
    </row>
    <row r="101" spans="1:13">
      <c r="A101" s="1660"/>
      <c r="B101" s="1659"/>
      <c r="C101" s="157"/>
      <c r="D101" s="72"/>
      <c r="E101" s="1499"/>
      <c r="F101" s="1499"/>
      <c r="G101" s="1499"/>
      <c r="H101" s="1499"/>
      <c r="I101" s="2291"/>
      <c r="J101" s="2291"/>
      <c r="K101" s="2291"/>
      <c r="L101" s="2291"/>
      <c r="M101" s="1500"/>
    </row>
    <row r="102" spans="1:13">
      <c r="A102" s="1660"/>
      <c r="B102" s="1659"/>
      <c r="C102" s="157"/>
      <c r="D102" s="72"/>
      <c r="E102" s="1499"/>
      <c r="F102" s="1499"/>
      <c r="G102" s="1499"/>
      <c r="H102" s="1499"/>
      <c r="I102" s="2291"/>
      <c r="J102" s="2291"/>
      <c r="K102" s="2291"/>
      <c r="L102" s="2291"/>
      <c r="M102" s="1500"/>
    </row>
    <row r="103" spans="1:13">
      <c r="A103" s="1660"/>
      <c r="B103" s="1659"/>
      <c r="C103" s="157"/>
      <c r="D103" s="72"/>
      <c r="E103" s="1499"/>
      <c r="F103" s="1499"/>
      <c r="G103" s="1499"/>
      <c r="H103" s="1499"/>
      <c r="I103" s="2291"/>
      <c r="J103" s="2291"/>
      <c r="K103" s="2291"/>
      <c r="L103" s="2291"/>
      <c r="M103" s="1500"/>
    </row>
    <row r="104" spans="1:13">
      <c r="A104" s="1660"/>
      <c r="B104" s="1659"/>
      <c r="C104" s="157"/>
      <c r="D104" s="72"/>
      <c r="E104" s="1499"/>
      <c r="F104" s="1499"/>
      <c r="G104" s="1499"/>
      <c r="H104" s="1499"/>
      <c r="I104" s="1500"/>
      <c r="J104" s="1500"/>
      <c r="K104" s="1500"/>
      <c r="L104" s="1500"/>
      <c r="M104" s="1500"/>
    </row>
    <row r="105" spans="1:13" ht="14.25" hidden="1" customHeight="1">
      <c r="A105" s="1660"/>
      <c r="B105" s="1659"/>
      <c r="C105" s="157"/>
      <c r="D105" s="72"/>
      <c r="E105" s="1499"/>
      <c r="F105" s="1499"/>
      <c r="G105" s="1499"/>
      <c r="H105" s="1499"/>
      <c r="J105" s="183"/>
      <c r="K105" s="183"/>
    </row>
    <row r="106" spans="1:13" ht="14.25" hidden="1" customHeight="1">
      <c r="A106" s="1660"/>
      <c r="B106" s="1659"/>
      <c r="C106" s="157"/>
      <c r="D106" s="72"/>
      <c r="E106" s="1499"/>
      <c r="F106" s="1499"/>
      <c r="G106" s="1499"/>
      <c r="H106" s="1499"/>
      <c r="I106" s="155"/>
      <c r="J106" s="155"/>
      <c r="K106" s="156"/>
    </row>
    <row r="107" spans="1:13" ht="14.25" hidden="1" customHeight="1">
      <c r="A107" s="5"/>
      <c r="B107" s="5"/>
      <c r="C107" s="5"/>
      <c r="D107" s="5"/>
      <c r="E107" s="5"/>
      <c r="F107" s="5"/>
      <c r="G107" s="5"/>
      <c r="H107" s="5"/>
      <c r="J107" s="154"/>
      <c r="K107" s="156"/>
    </row>
    <row r="108" spans="1:13" ht="14.25" hidden="1" customHeight="1">
      <c r="A108" s="183"/>
      <c r="B108" s="183"/>
      <c r="C108" s="183"/>
      <c r="D108" s="183"/>
      <c r="E108" s="183"/>
      <c r="F108" s="183"/>
      <c r="G108" s="183"/>
      <c r="H108" s="183"/>
      <c r="I108" s="155"/>
      <c r="J108" s="155"/>
      <c r="K108" s="156"/>
    </row>
    <row r="109" spans="1:13" ht="14.25" hidden="1" customHeight="1">
      <c r="A109" s="263"/>
      <c r="B109" s="154"/>
      <c r="C109" s="155"/>
      <c r="D109" s="155"/>
      <c r="E109" s="155"/>
      <c r="F109" s="155"/>
      <c r="G109" s="155"/>
      <c r="H109" s="155"/>
      <c r="I109" s="155"/>
      <c r="J109" s="155"/>
      <c r="K109" s="156"/>
    </row>
    <row r="110" spans="1:13" ht="14.25" hidden="1" customHeight="1">
      <c r="A110" s="263"/>
      <c r="B110" s="154"/>
      <c r="C110" s="155"/>
      <c r="D110" s="155"/>
      <c r="E110" s="155"/>
      <c r="F110" s="155"/>
      <c r="G110" s="155"/>
      <c r="H110" s="155"/>
      <c r="I110" s="155"/>
      <c r="J110" s="155"/>
      <c r="K110" s="156"/>
    </row>
    <row r="111" spans="1:13" ht="14.25" hidden="1" customHeight="1">
      <c r="A111" s="263"/>
      <c r="B111" s="154"/>
      <c r="C111" s="155"/>
      <c r="D111" s="155"/>
      <c r="E111" s="155"/>
      <c r="F111" s="155"/>
      <c r="G111" s="155"/>
      <c r="H111" s="155"/>
      <c r="J111" s="154"/>
      <c r="K111" s="156"/>
    </row>
    <row r="112" spans="1:13" ht="14.25" hidden="1" customHeight="1">
      <c r="A112" s="263"/>
      <c r="B112" s="154"/>
      <c r="C112" s="155"/>
      <c r="D112" s="155"/>
      <c r="E112" s="155"/>
      <c r="F112" s="155"/>
      <c r="G112" s="155"/>
      <c r="H112" s="155"/>
      <c r="J112" s="183"/>
      <c r="K112" s="183"/>
    </row>
    <row r="113" spans="1:11" ht="14.25" hidden="1" customHeight="1">
      <c r="A113" s="156"/>
      <c r="B113" s="154"/>
      <c r="C113" s="154"/>
      <c r="D113" s="154"/>
      <c r="E113" s="154"/>
      <c r="F113" s="154"/>
      <c r="G113" s="155"/>
      <c r="H113" s="155"/>
      <c r="J113" s="183"/>
      <c r="K113" s="183"/>
    </row>
    <row r="114" spans="1:11" ht="14.25" hidden="1" customHeight="1">
      <c r="A114" s="154"/>
      <c r="B114" s="154"/>
      <c r="C114" s="154"/>
      <c r="D114" s="154"/>
      <c r="E114" s="154"/>
      <c r="F114" s="154"/>
      <c r="G114" s="154"/>
      <c r="H114" s="154"/>
      <c r="J114" s="183"/>
      <c r="K114" s="183"/>
    </row>
    <row r="115" spans="1:11">
      <c r="A115" s="183"/>
      <c r="B115" s="183"/>
      <c r="C115" s="183"/>
      <c r="D115" s="183"/>
      <c r="E115" s="183"/>
      <c r="F115" s="183"/>
      <c r="G115" s="183"/>
      <c r="H115" s="183"/>
    </row>
    <row r="116" spans="1:11">
      <c r="A116" s="183"/>
      <c r="B116" s="183"/>
      <c r="C116" s="183"/>
      <c r="D116" s="183"/>
      <c r="E116" s="183"/>
      <c r="F116" s="183"/>
      <c r="G116" s="183"/>
      <c r="H116" s="183"/>
    </row>
    <row r="117" spans="1:11">
      <c r="A117" s="183"/>
      <c r="B117" s="183"/>
      <c r="C117" s="183"/>
      <c r="D117" s="183"/>
      <c r="E117" s="183"/>
      <c r="F117" s="183"/>
      <c r="G117" s="183"/>
      <c r="H117" s="183"/>
    </row>
    <row r="118" spans="1:11"/>
    <row r="119" spans="1:11"/>
  </sheetData>
  <customSheetViews>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1"/>
      <headerFooter alignWithMargins="0">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3"/>
      <headerFooter>
        <oddHeader>&amp;L&amp;8Statistiska Centralbyrå
Offentlig ekonomi&amp;R&amp;P</oddHeader>
      </headerFooter>
    </customSheetView>
  </customSheetViews>
  <mergeCells count="11">
    <mergeCell ref="E4:E5"/>
    <mergeCell ref="D4:D5"/>
    <mergeCell ref="C4:C5"/>
    <mergeCell ref="I16:L16"/>
    <mergeCell ref="G97:J98"/>
    <mergeCell ref="G68:J69"/>
    <mergeCell ref="G81:J82"/>
    <mergeCell ref="A70:F70"/>
    <mergeCell ref="A84:K85"/>
    <mergeCell ref="J12:M15"/>
    <mergeCell ref="G77:I79"/>
  </mergeCells>
  <phoneticPr fontId="96" type="noConversion"/>
  <conditionalFormatting sqref="C78:C82">
    <cfRule type="cellIs" dxfId="144" priority="7" stopIfTrue="1" operator="lessThan">
      <formula>-10</formula>
    </cfRule>
  </conditionalFormatting>
  <conditionalFormatting sqref="C7:F7 C9:F9">
    <cfRule type="cellIs" dxfId="143" priority="5" stopIfTrue="1" operator="lessThan">
      <formula>-1</formula>
    </cfRule>
  </conditionalFormatting>
  <conditionalFormatting sqref="C8:F8 C10:F11">
    <cfRule type="cellIs" dxfId="142" priority="4" stopIfTrue="1" operator="greaterThan">
      <formula>1</formula>
    </cfRule>
  </conditionalFormatting>
  <conditionalFormatting sqref="C25:H25 C26:F32 H26:H32 G26:G65 C34:F35 H34:H35 C37:F39 H37:H39 C42:F46 H42:H46 C48:F48 H48 C50:F53 H50:H53 C55:F57 H55:H57 C59:F62 H59:H62 C65:F65 H65 C74:C77 C83 C86:C106 D98">
    <cfRule type="cellIs" dxfId="141" priority="10" stopIfTrue="1" operator="lessThan">
      <formula>-500</formula>
    </cfRule>
  </conditionalFormatting>
  <conditionalFormatting sqref="J12">
    <cfRule type="expression" dxfId="140" priority="6">
      <formula>ABS(SUM(C13:H13))&gt;100</formula>
    </cfRule>
  </conditionalFormatting>
  <dataValidations count="3">
    <dataValidation type="decimal" operator="lessThan" allowBlank="1" showInputMessage="1" showErrorMessage="1" error="Beloppet ska vara i 1000 tal kronor" sqref="H37:H39 H42:H46 H50:H53 H55:H57 H59:H62 H25:H32 H65 C12:H14 D98 C98:C106 C76 C86:C88 H48 C59:F62 C55:F57 C50:F53 H34:H35 C42:F46 C37:F39 C34:F35 C48:F48 C65:F65 C25:F32 C9:H9 C82:C83 G7:H7 C6:F7" xr:uid="{00000000-0002-0000-0500-000000000000}">
      <formula1>99999999</formula1>
    </dataValidation>
    <dataValidation type="decimal" operator="lessThanOrEqual" allowBlank="1" showInputMessage="1" showErrorMessage="1" error="Minustecken måste anges" sqref="C10:H11 C8:H8" xr:uid="{00000000-0002-0000-0500-000001000000}">
      <formula1>0</formula1>
    </dataValidation>
    <dataValidation type="decimal" allowBlank="1" showInputMessage="1" showErrorMessage="1" error="Beloppet ska vara utan minustecken och i tusental kronor" sqref="C78:C81 C74:C75 C94:D97" xr:uid="{00000000-0002-0000-0500-000002000000}">
      <formula1>0</formula1>
      <formula2>99999999</formula2>
    </dataValidation>
  </dataValidations>
  <pageMargins left="0.70866141732283472" right="0.70866141732283472" top="0.74803149606299213" bottom="0.35433070866141736" header="0.31496062992125984" footer="0.31496062992125984"/>
  <pageSetup paperSize="9" scale="44" orientation="portrait" r:id="rId4"/>
  <headerFooter>
    <oddHeader>&amp;L&amp;8Statistiska Centralbyrå
Offentlig ekonomi&amp;R&amp;P</oddHeader>
  </headerFooter>
  <ignoredErrors>
    <ignoredError sqref="A6:A15 A25:A66 A74:A82 A94:A98" numberStoredAsText="1"/>
  </ignoredErrors>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FC63"/>
  <sheetViews>
    <sheetView showGridLines="0" zoomScaleNormal="100" workbookViewId="0">
      <pane ySplit="1" topLeftCell="A2" activePane="bottomLeft" state="frozen"/>
      <selection activeCell="F36" sqref="F36"/>
      <selection pane="bottomLeft"/>
    </sheetView>
  </sheetViews>
  <sheetFormatPr defaultColWidth="9.453125" defaultRowHeight="0" customHeight="1" zeroHeight="1"/>
  <cols>
    <col min="1" max="1" width="4" style="183" customWidth="1"/>
    <col min="2" max="2" width="9.453125" style="183" customWidth="1"/>
    <col min="3" max="3" width="30.54296875" style="183" customWidth="1"/>
    <col min="4" max="4" width="10.54296875" style="183" customWidth="1"/>
    <col min="5" max="5" width="22" style="183" customWidth="1"/>
    <col min="6" max="6" width="5" style="183" customWidth="1"/>
    <col min="7" max="7" width="27.54296875" style="183" customWidth="1"/>
    <col min="8" max="8" width="4" style="183" customWidth="1"/>
    <col min="9" max="9" width="8.453125" style="183" customWidth="1"/>
    <col min="10" max="10" width="31.453125" style="183" customWidth="1"/>
    <col min="11" max="12" width="10.54296875" style="183" customWidth="1"/>
    <col min="13" max="13" width="13.453125" style="183" customWidth="1"/>
    <col min="14" max="14" width="4.453125" style="183" customWidth="1"/>
    <col min="15" max="15" width="3.54296875" style="183" customWidth="1"/>
    <col min="16" max="16" width="19.54296875" style="183" customWidth="1"/>
    <col min="17" max="17" width="7" style="183" customWidth="1"/>
    <col min="18" max="18" width="3.54296875" style="183" customWidth="1"/>
    <col min="19" max="19" width="1.54296875" style="183" customWidth="1"/>
    <col min="20" max="20" width="21.54296875" style="183" customWidth="1"/>
    <col min="21" max="16383" width="0" style="183" hidden="1" customWidth="1"/>
    <col min="16384" max="16384" width="4.453125" style="183" hidden="1" customWidth="1"/>
  </cols>
  <sheetData>
    <row r="1" spans="1:20" ht="17.5">
      <c r="A1" s="1796" t="str">
        <f>"Skatteintäkter, utjämningssystem o. generella statliga bidrag samt finansiella poster "&amp;År&amp;", 1 000 tal kr"</f>
        <v>Skatteintäkter, utjämningssystem o. generella statliga bidrag samt finansiella poster 2025, 1 000 tal kr</v>
      </c>
      <c r="B1" s="620"/>
      <c r="C1" s="620"/>
      <c r="D1" s="620"/>
      <c r="E1" s="620"/>
      <c r="F1" s="620"/>
      <c r="G1" s="620"/>
      <c r="H1" s="620"/>
      <c r="I1" s="620"/>
      <c r="J1" s="620"/>
      <c r="K1" s="620"/>
      <c r="L1" s="620"/>
      <c r="M1" s="620"/>
      <c r="N1" s="622">
        <f>Information!B3</f>
        <v>0</v>
      </c>
      <c r="O1" s="622"/>
      <c r="P1" s="622"/>
      <c r="Q1" s="622"/>
      <c r="R1" s="622"/>
      <c r="S1" s="622"/>
      <c r="T1" s="623">
        <f>Information!B2</f>
        <v>0</v>
      </c>
    </row>
    <row r="2" spans="1:20" ht="12.75" customHeight="1">
      <c r="A2" s="1454"/>
      <c r="D2" s="419"/>
      <c r="E2" s="46" t="s">
        <v>991</v>
      </c>
      <c r="F2" s="5"/>
      <c r="G2" s="5"/>
      <c r="K2" s="1669"/>
      <c r="L2" s="2061"/>
      <c r="M2" s="46" t="s">
        <v>1038</v>
      </c>
      <c r="N2" s="5"/>
      <c r="O2" s="5"/>
      <c r="P2" s="5"/>
      <c r="Q2" s="5"/>
      <c r="R2" s="5"/>
      <c r="S2" s="5"/>
      <c r="T2" s="5"/>
    </row>
    <row r="3" spans="1:20" ht="12.75" customHeight="1">
      <c r="D3" s="105"/>
      <c r="E3" s="46" t="s">
        <v>622</v>
      </c>
      <c r="F3" s="5"/>
      <c r="G3" s="5"/>
      <c r="J3" s="5"/>
      <c r="K3" s="5"/>
      <c r="L3" s="5"/>
      <c r="M3" s="46" t="s">
        <v>1039</v>
      </c>
      <c r="N3" s="5"/>
      <c r="O3" s="5"/>
      <c r="P3" s="5"/>
      <c r="Q3" s="5"/>
      <c r="R3" s="5"/>
      <c r="S3" s="185"/>
      <c r="T3" s="5"/>
    </row>
    <row r="4" spans="1:20" ht="17.25" customHeight="1" thickBot="1">
      <c r="A4" s="81" t="s">
        <v>868</v>
      </c>
      <c r="B4" s="5"/>
      <c r="C4" s="5"/>
      <c r="D4" s="34"/>
      <c r="G4" s="5"/>
      <c r="H4" s="81" t="s">
        <v>869</v>
      </c>
      <c r="I4" s="184"/>
      <c r="J4" s="184"/>
      <c r="K4" s="184"/>
      <c r="L4" s="184"/>
      <c r="M4" s="5"/>
      <c r="N4" s="5"/>
      <c r="O4" s="5"/>
      <c r="P4" s="5"/>
      <c r="Q4" s="5"/>
      <c r="R4" s="5"/>
      <c r="S4" s="185"/>
      <c r="T4" s="5"/>
    </row>
    <row r="5" spans="1:20" s="197" customFormat="1" ht="13">
      <c r="A5" s="727" t="s">
        <v>864</v>
      </c>
      <c r="B5" s="2704" t="str">
        <f>"BAS "&amp;År-2000&amp;""</f>
        <v>BAS 25</v>
      </c>
      <c r="C5" s="916"/>
      <c r="D5" s="922"/>
      <c r="E5" s="196"/>
      <c r="F5" s="196"/>
      <c r="G5" s="196"/>
      <c r="H5" s="727" t="s">
        <v>864</v>
      </c>
      <c r="I5" s="2704" t="str">
        <f>"BAS "&amp;År-2000&amp;""</f>
        <v>BAS 25</v>
      </c>
      <c r="J5" s="916"/>
      <c r="K5" s="738" t="s">
        <v>865</v>
      </c>
      <c r="L5" s="2325" t="s">
        <v>968</v>
      </c>
      <c r="M5" s="1646"/>
      <c r="N5" s="238" t="s">
        <v>1285</v>
      </c>
      <c r="O5" s="196"/>
      <c r="P5" s="196"/>
      <c r="Q5" s="196"/>
      <c r="S5" s="515"/>
      <c r="T5" s="196"/>
    </row>
    <row r="6" spans="1:20" s="197" customFormat="1" ht="13">
      <c r="A6" s="729" t="s">
        <v>866</v>
      </c>
      <c r="B6" s="903"/>
      <c r="C6" s="917"/>
      <c r="D6" s="921"/>
      <c r="E6" s="196"/>
      <c r="F6" s="196"/>
      <c r="G6" s="196"/>
      <c r="H6" s="729" t="s">
        <v>866</v>
      </c>
      <c r="I6" s="740"/>
      <c r="J6" s="917"/>
      <c r="K6" s="740" t="s">
        <v>511</v>
      </c>
      <c r="L6" s="1177" t="s">
        <v>511</v>
      </c>
      <c r="M6" s="1647"/>
      <c r="N6" s="196"/>
      <c r="O6" s="196"/>
      <c r="P6" s="196"/>
      <c r="Q6" s="196"/>
      <c r="S6" s="96"/>
      <c r="T6" s="196"/>
    </row>
    <row r="7" spans="1:20" ht="15.5">
      <c r="A7" s="2716"/>
      <c r="B7" s="2717"/>
      <c r="C7" s="918"/>
      <c r="D7" s="923"/>
      <c r="E7" s="5"/>
      <c r="F7" s="5"/>
      <c r="G7" s="5"/>
      <c r="H7" s="924"/>
      <c r="I7" s="722"/>
      <c r="J7" s="722"/>
      <c r="K7" s="722"/>
      <c r="L7" s="925"/>
      <c r="M7" s="1648"/>
      <c r="N7" s="5"/>
      <c r="O7" s="5"/>
      <c r="P7" s="5"/>
      <c r="Q7" s="5"/>
      <c r="S7" s="17"/>
      <c r="T7" s="5"/>
    </row>
    <row r="8" spans="1:20" ht="12.5">
      <c r="A8" s="881">
        <v>600</v>
      </c>
      <c r="B8" s="693">
        <v>801</v>
      </c>
      <c r="C8" s="694" t="s">
        <v>943</v>
      </c>
      <c r="D8" s="432"/>
      <c r="E8" s="5"/>
      <c r="F8" s="5"/>
      <c r="G8" s="5"/>
      <c r="H8" s="878">
        <v>800</v>
      </c>
      <c r="I8" s="693">
        <v>841</v>
      </c>
      <c r="J8" s="694" t="s">
        <v>956</v>
      </c>
      <c r="K8" s="2063"/>
      <c r="L8" s="2064"/>
      <c r="M8" s="2427" t="str">
        <f>IF(K16=0,"",IF(OR(K8="",L8=""),"Skriv belopp eller 0",""))</f>
        <v/>
      </c>
      <c r="N8" s="706">
        <v>801</v>
      </c>
      <c r="O8" s="2065">
        <v>8411</v>
      </c>
      <c r="P8" s="1929" t="s">
        <v>1728</v>
      </c>
      <c r="Q8" s="1930"/>
      <c r="R8" s="2027" t="str">
        <f>IF(Q8&gt;K8,"däravrad 801&gt;rad 800",IF(AND(K8&gt;1,Q8=""),"skriv belopp eller 0",""))</f>
        <v/>
      </c>
      <c r="S8" s="1644"/>
      <c r="T8" s="5"/>
    </row>
    <row r="9" spans="1:20" ht="12.5">
      <c r="A9" s="881">
        <v>620</v>
      </c>
      <c r="B9" s="790">
        <v>8052</v>
      </c>
      <c r="C9" s="687" t="str">
        <f>"Slutavräkning, prognos för "&amp;År&amp;""</f>
        <v>Slutavräkning, prognos för 2025</v>
      </c>
      <c r="D9" s="432"/>
      <c r="E9" s="5"/>
      <c r="F9" s="5"/>
      <c r="G9" s="5"/>
      <c r="H9" s="881">
        <v>810</v>
      </c>
      <c r="I9" s="919">
        <v>844</v>
      </c>
      <c r="J9" s="920" t="s">
        <v>957</v>
      </c>
      <c r="K9" s="22"/>
      <c r="L9" s="108"/>
      <c r="M9" s="2427" t="str">
        <f>IF(K16=0,"",IF(OR(K9="",L9=""),"Skriv belopp eller 0",""))</f>
        <v/>
      </c>
      <c r="N9" s="5"/>
      <c r="O9" s="5"/>
      <c r="P9" s="5"/>
      <c r="Q9" s="5"/>
      <c r="S9" s="1644"/>
      <c r="T9" s="5"/>
    </row>
    <row r="10" spans="1:20" ht="12.5">
      <c r="A10" s="881">
        <v>625</v>
      </c>
      <c r="B10" s="790">
        <v>8051</v>
      </c>
      <c r="C10" s="687" t="str">
        <f>"Justering slutavräkning "&amp;År-1&amp;""</f>
        <v>Justering slutavräkning 2024</v>
      </c>
      <c r="D10" s="432"/>
      <c r="E10" s="5"/>
      <c r="F10" s="5"/>
      <c r="G10" s="5"/>
      <c r="H10" s="881">
        <v>880</v>
      </c>
      <c r="I10" s="693">
        <v>845</v>
      </c>
      <c r="J10" s="694" t="s">
        <v>958</v>
      </c>
      <c r="K10" s="22"/>
      <c r="L10" s="1034"/>
      <c r="M10" s="2427" t="str">
        <f>IF(K16=0,"",IF(K10="","Skriv belopp eller 0",""))</f>
        <v/>
      </c>
      <c r="N10" s="5"/>
      <c r="O10" s="5"/>
      <c r="P10" s="5"/>
      <c r="Q10" s="5"/>
      <c r="S10" s="1644"/>
      <c r="T10" s="5"/>
    </row>
    <row r="11" spans="1:20" ht="12.5">
      <c r="A11" s="881">
        <v>630</v>
      </c>
      <c r="B11" s="790"/>
      <c r="C11" s="687" t="str">
        <f>"Justeringspost slutavräkning "&amp;År&amp;""</f>
        <v>Justeringspost slutavräkning 2025</v>
      </c>
      <c r="D11" s="246"/>
      <c r="E11" s="193" t="str">
        <f>IF(OR(D11&lt;-1000,D11&gt;1000),"Kommentera beloppet","")</f>
        <v/>
      </c>
      <c r="F11" s="5"/>
      <c r="G11" s="5"/>
      <c r="H11" s="881">
        <v>885</v>
      </c>
      <c r="I11" s="693">
        <v>8481</v>
      </c>
      <c r="J11" s="694" t="s">
        <v>529</v>
      </c>
      <c r="K11" s="22"/>
      <c r="L11" s="1034"/>
      <c r="M11" s="2427" t="str">
        <f>IF(K16=0,"",IF(K11="","Skriv belopp eller 0",""))</f>
        <v/>
      </c>
      <c r="N11" s="5"/>
      <c r="O11" s="5"/>
      <c r="P11" s="5"/>
      <c r="Q11" s="5"/>
      <c r="S11" s="1644"/>
      <c r="T11" s="5"/>
    </row>
    <row r="12" spans="1:20" ht="12.5">
      <c r="A12" s="881">
        <v>640</v>
      </c>
      <c r="B12" s="689" t="s">
        <v>1301</v>
      </c>
      <c r="C12" s="682" t="s">
        <v>1729</v>
      </c>
      <c r="D12" s="246"/>
      <c r="E12" s="1682" t="str">
        <f>IF(OR(D12&lt;-1000,D12&gt;1000),"Kommentera beloppet","")</f>
        <v/>
      </c>
      <c r="F12" s="5"/>
      <c r="G12" s="5"/>
      <c r="H12" s="881">
        <v>886</v>
      </c>
      <c r="I12" s="693">
        <v>8482</v>
      </c>
      <c r="J12" s="694" t="s">
        <v>969</v>
      </c>
      <c r="K12" s="22"/>
      <c r="L12" s="1034"/>
      <c r="M12" s="2427" t="str">
        <f>IF(K16=0,"",IF(K12="","Skriv belopp eller 0",""))</f>
        <v/>
      </c>
      <c r="N12" s="1619"/>
      <c r="O12" s="1619"/>
      <c r="P12" s="156"/>
      <c r="Q12" s="2049"/>
      <c r="S12" s="1644"/>
      <c r="T12" s="5"/>
    </row>
    <row r="13" spans="1:20" ht="13" thickBot="1">
      <c r="A13" s="882">
        <v>680</v>
      </c>
      <c r="B13" s="1642"/>
      <c r="C13" s="1643" t="s">
        <v>1292</v>
      </c>
      <c r="D13" s="428"/>
      <c r="E13" s="34"/>
      <c r="F13" s="5"/>
      <c r="G13" s="5"/>
      <c r="H13" s="881">
        <v>884</v>
      </c>
      <c r="I13" s="689">
        <v>843</v>
      </c>
      <c r="J13" s="682" t="s">
        <v>1640</v>
      </c>
      <c r="K13" s="22"/>
      <c r="L13" s="108"/>
      <c r="M13" s="2427" t="str">
        <f>IF(K16=0,"",IF(OR(K13="",L13=""),"Skriv belopp eller 0",""))</f>
        <v/>
      </c>
      <c r="N13" s="1619"/>
      <c r="O13" s="1619"/>
      <c r="P13" s="156"/>
      <c r="Q13" s="2049"/>
      <c r="S13" s="1644"/>
      <c r="T13" s="5"/>
    </row>
    <row r="14" spans="1:20" ht="21.75" customHeight="1" thickBot="1">
      <c r="A14" s="690">
        <v>690</v>
      </c>
      <c r="B14" s="695"/>
      <c r="C14" s="696" t="s">
        <v>868</v>
      </c>
      <c r="D14" s="428">
        <f>SUM(D8:D13)</f>
        <v>0</v>
      </c>
      <c r="E14" s="5"/>
      <c r="F14" s="5"/>
      <c r="G14" s="5"/>
      <c r="H14" s="679">
        <v>882</v>
      </c>
      <c r="I14" s="1725">
        <v>846</v>
      </c>
      <c r="J14" s="682" t="s">
        <v>1639</v>
      </c>
      <c r="K14" s="22"/>
      <c r="L14" s="1034"/>
      <c r="M14" s="2427" t="str">
        <f>IF(K16=0,"",IF(K14="","Skriv belopp eller 0",""))</f>
        <v/>
      </c>
      <c r="N14" s="1619"/>
      <c r="O14" s="1619"/>
      <c r="P14" s="156"/>
      <c r="Q14" s="2049"/>
      <c r="R14" s="1682"/>
      <c r="S14" s="1628"/>
      <c r="T14" s="5"/>
    </row>
    <row r="15" spans="1:20" ht="13" thickBot="1">
      <c r="A15" s="5"/>
      <c r="B15" s="5"/>
      <c r="C15" s="200"/>
      <c r="D15" s="5"/>
      <c r="E15" s="5"/>
      <c r="F15" s="5"/>
      <c r="G15" s="5"/>
      <c r="H15" s="690">
        <v>888</v>
      </c>
      <c r="I15" s="2527">
        <v>849</v>
      </c>
      <c r="J15" s="702" t="s">
        <v>1553</v>
      </c>
      <c r="K15" s="115">
        <v>0</v>
      </c>
      <c r="L15" s="2512"/>
      <c r="M15" s="2427" t="str">
        <f>IF(K15="","Skriv belopp eller 0","")</f>
        <v/>
      </c>
      <c r="N15" s="1824">
        <v>889</v>
      </c>
      <c r="O15" s="1824">
        <v>8491</v>
      </c>
      <c r="P15" s="2488" t="s">
        <v>1493</v>
      </c>
      <c r="Q15" s="1792"/>
      <c r="R15" s="1682" t="str">
        <f>IF(SUM(Q15+Q16)&gt;K15,"däravrader 889+891&gt;rad888",IF(AND(K15&gt;1,Q15=""),"skriv belopp eller 0",""))</f>
        <v/>
      </c>
      <c r="S15" s="1619"/>
      <c r="T15" s="5"/>
    </row>
    <row r="16" spans="1:20" ht="16" thickBot="1">
      <c r="A16" s="81" t="s">
        <v>974</v>
      </c>
      <c r="B16" s="5"/>
      <c r="C16" s="5"/>
      <c r="D16" s="5"/>
      <c r="E16" s="5"/>
      <c r="F16" s="5"/>
      <c r="G16" s="5"/>
      <c r="H16" s="677">
        <v>890</v>
      </c>
      <c r="I16" s="691"/>
      <c r="J16" s="667" t="s">
        <v>7</v>
      </c>
      <c r="K16" s="2062">
        <f>RR!C14</f>
        <v>0</v>
      </c>
      <c r="L16" s="2066"/>
      <c r="M16" s="2020"/>
      <c r="N16" s="1825">
        <v>891</v>
      </c>
      <c r="O16" s="1825"/>
      <c r="P16" s="1638" t="s">
        <v>1179</v>
      </c>
      <c r="Q16" s="1793"/>
      <c r="R16" s="1682" t="str">
        <f>IF(AND(K15&gt;1,Q16=""),"skriv belopp eller 0","")</f>
        <v/>
      </c>
      <c r="T16" s="5"/>
    </row>
    <row r="17" spans="1:20" ht="16" thickBot="1">
      <c r="A17" s="81" t="s">
        <v>975</v>
      </c>
      <c r="B17" s="5"/>
      <c r="C17" s="5"/>
      <c r="D17" s="34"/>
      <c r="E17" s="5"/>
      <c r="F17" s="5"/>
      <c r="G17" s="5"/>
      <c r="H17" s="8"/>
      <c r="I17" s="1649" t="s">
        <v>1426</v>
      </c>
      <c r="J17" s="131"/>
      <c r="K17" s="1649">
        <f>(K16-SUM(K8:K15))*-1</f>
        <v>0</v>
      </c>
      <c r="L17" s="2067" t="str">
        <f>IF(ABS(K17)&gt;50,"eliminera differensen i kolumn K","")</f>
        <v/>
      </c>
      <c r="M17" s="1503"/>
      <c r="N17" s="5"/>
      <c r="O17" s="5"/>
      <c r="P17" s="5"/>
      <c r="Q17" s="5"/>
      <c r="R17" s="5"/>
      <c r="T17" s="5"/>
    </row>
    <row r="18" spans="1:20" ht="16" thickBot="1">
      <c r="A18" s="727" t="s">
        <v>864</v>
      </c>
      <c r="B18" s="2704" t="str">
        <f>"BAS "&amp;År-2000&amp;""</f>
        <v>BAS 25</v>
      </c>
      <c r="C18" s="916"/>
      <c r="D18" s="922"/>
      <c r="E18" s="5"/>
      <c r="F18" s="5"/>
      <c r="G18" s="5"/>
      <c r="H18" s="81" t="s">
        <v>870</v>
      </c>
      <c r="I18" s="185"/>
      <c r="J18" s="185"/>
      <c r="K18" s="185"/>
      <c r="L18" s="185"/>
      <c r="N18" s="2942"/>
      <c r="O18" s="2942"/>
      <c r="P18" s="2942"/>
      <c r="Q18" s="2943"/>
      <c r="R18" s="5"/>
      <c r="T18" s="5"/>
    </row>
    <row r="19" spans="1:20" ht="13">
      <c r="A19" s="729" t="s">
        <v>866</v>
      </c>
      <c r="B19" s="903"/>
      <c r="C19" s="737"/>
      <c r="D19" s="926"/>
      <c r="E19" s="5"/>
      <c r="F19" s="5"/>
      <c r="G19" s="5"/>
      <c r="H19" s="727" t="s">
        <v>864</v>
      </c>
      <c r="I19" s="2704" t="str">
        <f>"BAS "&amp;År-2000&amp;""</f>
        <v>BAS 25</v>
      </c>
      <c r="J19" s="916"/>
      <c r="K19" s="2070" t="s">
        <v>865</v>
      </c>
      <c r="L19" s="2323" t="s">
        <v>968</v>
      </c>
      <c r="M19" s="1619"/>
      <c r="N19" s="2944"/>
      <c r="O19" s="2944"/>
      <c r="P19" s="2944"/>
      <c r="Q19" s="2943"/>
      <c r="S19" s="515"/>
      <c r="T19" s="5"/>
    </row>
    <row r="20" spans="1:20" s="197" customFormat="1" ht="15.5">
      <c r="A20" s="946"/>
      <c r="B20" s="905"/>
      <c r="C20" s="722"/>
      <c r="D20" s="927"/>
      <c r="E20" s="196"/>
      <c r="F20" s="196"/>
      <c r="G20" s="196"/>
      <c r="H20" s="729" t="s">
        <v>866</v>
      </c>
      <c r="I20" s="928"/>
      <c r="J20" s="917"/>
      <c r="K20" s="2071" t="s">
        <v>511</v>
      </c>
      <c r="L20" s="2324" t="s">
        <v>511</v>
      </c>
      <c r="M20" s="96"/>
      <c r="Q20" s="226"/>
      <c r="S20" s="96"/>
      <c r="T20" s="196"/>
    </row>
    <row r="21" spans="1:20" s="197" customFormat="1" ht="14.25" customHeight="1">
      <c r="A21" s="679">
        <v>711</v>
      </c>
      <c r="B21" s="790">
        <v>821</v>
      </c>
      <c r="C21" s="687" t="s">
        <v>949</v>
      </c>
      <c r="D21" s="432"/>
      <c r="E21" s="196"/>
      <c r="F21" s="2451"/>
      <c r="G21" s="2452"/>
      <c r="H21" s="929"/>
      <c r="I21" s="930"/>
      <c r="J21" s="918"/>
      <c r="K21" s="2068"/>
      <c r="L21" s="931"/>
      <c r="M21" s="17"/>
      <c r="N21" s="200"/>
      <c r="O21" s="200"/>
      <c r="P21" s="200"/>
      <c r="Q21" s="185"/>
      <c r="S21" s="17"/>
      <c r="T21" s="196"/>
    </row>
    <row r="22" spans="1:20" ht="14.25" customHeight="1">
      <c r="A22" s="679">
        <v>713</v>
      </c>
      <c r="B22" s="790">
        <v>822</v>
      </c>
      <c r="C22" s="687" t="s">
        <v>950</v>
      </c>
      <c r="D22" s="432"/>
      <c r="E22" s="5"/>
      <c r="F22" s="2453"/>
      <c r="G22" s="2452"/>
      <c r="H22" s="679">
        <v>900</v>
      </c>
      <c r="I22" s="693">
        <v>852</v>
      </c>
      <c r="J22" s="682" t="s">
        <v>1012</v>
      </c>
      <c r="K22" s="555"/>
      <c r="L22" s="107"/>
      <c r="M22" s="2427" t="str">
        <f>IF(K30=0,"",IF(OR(K22="",L22=""),"Skriv belopp eller 0",""))</f>
        <v/>
      </c>
      <c r="N22" s="1619"/>
      <c r="O22" s="156"/>
      <c r="P22" s="286"/>
      <c r="Q22" s="131"/>
      <c r="S22" s="1644"/>
      <c r="T22" s="5"/>
    </row>
    <row r="23" spans="1:20" ht="14.25" customHeight="1">
      <c r="A23" s="679">
        <v>715</v>
      </c>
      <c r="B23" s="790">
        <v>823</v>
      </c>
      <c r="C23" s="687" t="s">
        <v>951</v>
      </c>
      <c r="D23" s="432"/>
      <c r="E23" s="220"/>
      <c r="F23" s="2453"/>
      <c r="G23" s="2452"/>
      <c r="H23" s="679">
        <v>910</v>
      </c>
      <c r="I23" s="689">
        <v>853</v>
      </c>
      <c r="J23" s="682" t="s">
        <v>1726</v>
      </c>
      <c r="K23" s="555"/>
      <c r="L23" s="108"/>
      <c r="M23" s="2427" t="str">
        <f>IF(K30=0,"",IF(OR(K23="",L23=""),"Skriv belopp eller 0",""))</f>
        <v/>
      </c>
      <c r="N23" s="5"/>
      <c r="O23" s="5"/>
      <c r="P23" s="5"/>
      <c r="Q23" s="185"/>
      <c r="S23" s="1628"/>
      <c r="T23" s="5"/>
    </row>
    <row r="24" spans="1:20" ht="14.25" customHeight="1">
      <c r="A24" s="679">
        <v>717</v>
      </c>
      <c r="B24" s="790">
        <v>824</v>
      </c>
      <c r="C24" s="687" t="s">
        <v>952</v>
      </c>
      <c r="D24" s="432"/>
      <c r="E24" s="220"/>
      <c r="F24" s="2453"/>
      <c r="G24" s="2452"/>
      <c r="H24" s="679">
        <v>920</v>
      </c>
      <c r="I24" s="689">
        <v>855</v>
      </c>
      <c r="J24" s="682" t="s">
        <v>1752</v>
      </c>
      <c r="K24" s="555"/>
      <c r="L24" s="1034"/>
      <c r="M24" s="2427" t="str">
        <f>IF(K30=0,"",IF(K24="","Skriv belopp eller 0",""))</f>
        <v/>
      </c>
      <c r="N24" s="5"/>
      <c r="O24" s="5"/>
      <c r="P24" s="5"/>
      <c r="Q24" s="185"/>
      <c r="S24" s="1644"/>
      <c r="T24" s="5"/>
    </row>
    <row r="25" spans="1:20" ht="21" customHeight="1">
      <c r="A25" s="679">
        <v>719</v>
      </c>
      <c r="B25" s="790">
        <v>825</v>
      </c>
      <c r="C25" s="687" t="s">
        <v>953</v>
      </c>
      <c r="D25" s="432"/>
      <c r="E25" s="220"/>
      <c r="F25" s="2945" t="s">
        <v>1638</v>
      </c>
      <c r="G25" s="2946"/>
      <c r="H25" s="679">
        <v>985</v>
      </c>
      <c r="I25" s="689">
        <v>8581</v>
      </c>
      <c r="J25" s="682" t="s">
        <v>976</v>
      </c>
      <c r="K25" s="555"/>
      <c r="L25" s="1034"/>
      <c r="M25" s="2427" t="str">
        <f>IF(K30=0,"",IF(K25="","Skriv belopp eller 0",""))</f>
        <v/>
      </c>
      <c r="N25" s="1619"/>
      <c r="O25" s="1619"/>
      <c r="P25" s="156"/>
      <c r="Q25" s="277"/>
      <c r="S25" s="1628"/>
      <c r="T25" s="5"/>
    </row>
    <row r="26" spans="1:20" ht="22.5" customHeight="1">
      <c r="A26" s="679">
        <v>785</v>
      </c>
      <c r="B26" s="790">
        <v>826</v>
      </c>
      <c r="C26" s="687" t="s">
        <v>954</v>
      </c>
      <c r="D26" s="432"/>
      <c r="E26" s="2446"/>
      <c r="F26" s="2947"/>
      <c r="G26" s="2946"/>
      <c r="H26" s="679">
        <v>996</v>
      </c>
      <c r="I26" s="689">
        <v>8582</v>
      </c>
      <c r="J26" s="682" t="s">
        <v>977</v>
      </c>
      <c r="K26" s="555"/>
      <c r="L26" s="1034"/>
      <c r="M26" s="2427" t="str">
        <f>IF(K30=0,"",IF(K26="","Skriv belopp eller 0",""))</f>
        <v/>
      </c>
      <c r="N26" s="1619"/>
      <c r="O26" s="1619"/>
      <c r="P26" s="156"/>
      <c r="Q26" s="277"/>
      <c r="S26" s="1628"/>
      <c r="T26" s="185"/>
    </row>
    <row r="27" spans="1:20" ht="15.75" customHeight="1">
      <c r="A27" s="679">
        <v>740</v>
      </c>
      <c r="B27" s="689">
        <v>829</v>
      </c>
      <c r="C27" s="687" t="s">
        <v>1786</v>
      </c>
      <c r="D27" s="246"/>
      <c r="E27" s="2460" t="str">
        <f>IF(D27&lt;1000,"Se kontrolltext till höger","")</f>
        <v>Se kontrolltext till höger</v>
      </c>
      <c r="F27" s="2948"/>
      <c r="G27" s="2946"/>
      <c r="H27" s="679">
        <v>984</v>
      </c>
      <c r="I27" s="689">
        <v>851</v>
      </c>
      <c r="J27" s="682" t="s">
        <v>1727</v>
      </c>
      <c r="K27" s="555"/>
      <c r="L27" s="108"/>
      <c r="M27" s="2427" t="str">
        <f>IF(K30=0,"",IF(OR(K27="",L27=""),"Skriv belopp eller 0",""))</f>
        <v/>
      </c>
      <c r="N27" s="1619"/>
      <c r="O27" s="1619"/>
      <c r="P27" s="156"/>
      <c r="Q27" s="277"/>
      <c r="S27" s="1628"/>
      <c r="T27" s="185"/>
    </row>
    <row r="28" spans="1:20" ht="20.25" customHeight="1" thickBot="1">
      <c r="A28" s="690">
        <v>750</v>
      </c>
      <c r="B28" s="691">
        <v>82</v>
      </c>
      <c r="C28" s="1639" t="s">
        <v>955</v>
      </c>
      <c r="D28" s="428">
        <f>SUM(D21:D27)</f>
        <v>0</v>
      </c>
      <c r="E28" s="2426"/>
      <c r="F28" s="2616"/>
      <c r="G28" s="2617"/>
      <c r="H28" s="2649">
        <v>992</v>
      </c>
      <c r="I28" s="2471">
        <v>856</v>
      </c>
      <c r="J28" s="682" t="s">
        <v>1555</v>
      </c>
      <c r="K28" s="555"/>
      <c r="L28" s="1034"/>
      <c r="M28" s="2427" t="str">
        <f>IF(K30=0,"",IF(K28="","Skriv belopp eller 0",""))</f>
        <v/>
      </c>
      <c r="N28" s="1619"/>
      <c r="O28" s="1619"/>
      <c r="P28" s="156"/>
      <c r="Q28" s="277"/>
      <c r="S28" s="1645"/>
      <c r="T28" s="185"/>
    </row>
    <row r="29" spans="1:20" ht="18" customHeight="1" thickBot="1">
      <c r="A29" s="5"/>
      <c r="B29" s="5"/>
      <c r="C29" s="5"/>
      <c r="D29" s="5"/>
      <c r="E29" s="2461"/>
      <c r="F29" s="2616"/>
      <c r="G29" s="2617"/>
      <c r="H29" s="1730">
        <v>998</v>
      </c>
      <c r="I29" s="1642">
        <v>859</v>
      </c>
      <c r="J29" s="1643" t="s">
        <v>1554</v>
      </c>
      <c r="K29" s="2069"/>
      <c r="L29" s="2587"/>
      <c r="M29" s="2427" t="str">
        <f>IF(K30=0,"",IF(K29="","Skriv belopp eller 0",""))</f>
        <v/>
      </c>
      <c r="N29" s="185"/>
      <c r="O29" s="185"/>
      <c r="P29" s="185"/>
      <c r="Q29" s="185"/>
      <c r="S29" s="1619"/>
      <c r="T29" s="185"/>
    </row>
    <row r="30" spans="1:20" ht="19.5" customHeight="1" thickBot="1">
      <c r="A30" s="5"/>
      <c r="B30" s="5"/>
      <c r="C30" s="5"/>
      <c r="D30" s="5"/>
      <c r="E30" s="2462"/>
      <c r="F30" s="2949"/>
      <c r="G30" s="2950"/>
      <c r="H30" s="690">
        <v>990</v>
      </c>
      <c r="I30" s="695"/>
      <c r="J30" s="696" t="s">
        <v>8</v>
      </c>
      <c r="K30" s="1782">
        <f>RR!C15</f>
        <v>0</v>
      </c>
      <c r="L30" s="18"/>
      <c r="N30" s="5"/>
      <c r="O30" s="5"/>
      <c r="P30" s="5"/>
      <c r="Q30" s="5"/>
      <c r="R30" s="185"/>
      <c r="T30" s="185"/>
    </row>
    <row r="31" spans="1:20" ht="16.5" customHeight="1" thickBot="1">
      <c r="A31" s="81" t="s">
        <v>1203</v>
      </c>
      <c r="B31" s="5"/>
      <c r="C31" s="5"/>
      <c r="D31" s="34"/>
      <c r="E31" s="220"/>
      <c r="F31" s="2951"/>
      <c r="G31" s="2951"/>
      <c r="H31" s="5"/>
      <c r="I31" s="1650" t="s">
        <v>1064</v>
      </c>
      <c r="J31" s="193"/>
      <c r="K31" s="2042">
        <f>(K30-SUM(K22:K29))*-1</f>
        <v>0</v>
      </c>
      <c r="L31" s="1536" t="str">
        <f>IF(ABS(K31)&gt;50,"eliminera differensen i kolumn K","")</f>
        <v/>
      </c>
      <c r="M31" s="1536"/>
      <c r="N31" s="5"/>
      <c r="O31" s="5"/>
      <c r="P31" s="5"/>
      <c r="Q31" s="5"/>
      <c r="R31" s="5"/>
      <c r="T31" s="5"/>
    </row>
    <row r="32" spans="1:20" ht="12.5">
      <c r="A32" s="727" t="s">
        <v>864</v>
      </c>
      <c r="B32" s="2704" t="str">
        <f>"BAS "&amp;År-2000&amp;""</f>
        <v>BAS 25</v>
      </c>
      <c r="C32" s="916"/>
      <c r="D32" s="922"/>
      <c r="E32" s="220"/>
      <c r="F32" s="2951"/>
      <c r="G32" s="2951"/>
      <c r="H32" s="5"/>
      <c r="I32" s="5"/>
      <c r="J32" s="5"/>
      <c r="K32" s="5"/>
      <c r="L32" s="5"/>
      <c r="M32" s="5"/>
      <c r="N32" s="5"/>
      <c r="O32" s="5"/>
      <c r="P32" s="5"/>
      <c r="Q32" s="5"/>
      <c r="R32" s="5"/>
      <c r="S32" s="5"/>
      <c r="T32" s="5"/>
    </row>
    <row r="33" spans="1:20" ht="12.5">
      <c r="A33" s="729" t="s">
        <v>866</v>
      </c>
      <c r="B33" s="903"/>
      <c r="C33" s="737"/>
      <c r="D33" s="926"/>
      <c r="E33" s="5"/>
      <c r="F33" s="2951"/>
      <c r="G33" s="2951"/>
      <c r="H33" s="5"/>
      <c r="I33" s="5"/>
      <c r="J33" s="5"/>
      <c r="K33" s="5"/>
      <c r="L33" s="5"/>
      <c r="M33" s="5"/>
      <c r="N33" s="5"/>
      <c r="O33" s="5"/>
      <c r="P33" s="5"/>
      <c r="Q33" s="5"/>
      <c r="R33" s="5"/>
      <c r="S33" s="5"/>
      <c r="T33" s="5"/>
    </row>
    <row r="34" spans="1:20" ht="15.5">
      <c r="A34" s="946"/>
      <c r="B34" s="905"/>
      <c r="C34" s="722"/>
      <c r="D34" s="927"/>
      <c r="E34" s="5"/>
      <c r="F34" s="2951"/>
      <c r="G34" s="2951"/>
      <c r="H34" s="86" t="s">
        <v>602</v>
      </c>
      <c r="I34" s="5"/>
      <c r="J34" s="5"/>
      <c r="K34" s="5"/>
      <c r="L34" s="5"/>
      <c r="M34" s="5"/>
      <c r="R34" s="5"/>
      <c r="S34" s="5"/>
      <c r="T34" s="5"/>
    </row>
    <row r="35" spans="1:20" ht="12.5">
      <c r="A35" s="881">
        <v>760</v>
      </c>
      <c r="B35" s="693">
        <v>831</v>
      </c>
      <c r="C35" s="694" t="s">
        <v>944</v>
      </c>
      <c r="D35" s="432"/>
      <c r="E35" s="5"/>
      <c r="F35" s="5"/>
      <c r="G35" s="5"/>
      <c r="H35" s="2952"/>
      <c r="I35" s="2884"/>
      <c r="J35" s="2884"/>
      <c r="K35" s="2885"/>
      <c r="L35" s="2511"/>
    </row>
    <row r="36" spans="1:20" ht="12.5">
      <c r="A36" s="881">
        <v>770</v>
      </c>
      <c r="B36" s="693">
        <v>834</v>
      </c>
      <c r="C36" s="694" t="s">
        <v>945</v>
      </c>
      <c r="D36" s="432"/>
      <c r="E36" s="5"/>
      <c r="F36" s="5"/>
      <c r="G36" s="5"/>
      <c r="H36" s="2886"/>
      <c r="I36" s="2887"/>
      <c r="J36" s="2887"/>
      <c r="K36" s="2888"/>
      <c r="L36" s="2511"/>
      <c r="N36" s="5"/>
      <c r="O36" s="5"/>
      <c r="P36" s="5"/>
      <c r="Q36" s="5"/>
    </row>
    <row r="37" spans="1:20" ht="12.5">
      <c r="A37" s="881">
        <v>780</v>
      </c>
      <c r="B37" s="693">
        <v>835</v>
      </c>
      <c r="C37" s="694" t="s">
        <v>946</v>
      </c>
      <c r="D37" s="433"/>
      <c r="E37" s="5"/>
      <c r="F37" s="5"/>
      <c r="G37" s="5"/>
      <c r="H37" s="2886"/>
      <c r="I37" s="2887"/>
      <c r="J37" s="2887"/>
      <c r="K37" s="2888"/>
      <c r="L37" s="2511"/>
      <c r="M37" s="5"/>
      <c r="N37" s="5"/>
      <c r="O37" s="5"/>
      <c r="P37" s="5"/>
      <c r="Q37" s="5"/>
      <c r="R37" s="5"/>
      <c r="S37" s="5"/>
      <c r="T37" s="5"/>
    </row>
    <row r="38" spans="1:20" ht="12.5">
      <c r="A38" s="881">
        <v>786</v>
      </c>
      <c r="B38" s="693">
        <v>836</v>
      </c>
      <c r="C38" s="694" t="s">
        <v>947</v>
      </c>
      <c r="D38" s="433"/>
      <c r="E38" s="5"/>
      <c r="F38" s="5"/>
      <c r="G38" s="5"/>
      <c r="H38" s="2889"/>
      <c r="I38" s="2890"/>
      <c r="J38" s="2890"/>
      <c r="K38" s="2891"/>
      <c r="L38" s="2511"/>
      <c r="M38" s="5"/>
      <c r="N38" s="5"/>
      <c r="O38" s="5"/>
      <c r="P38" s="5"/>
      <c r="Q38" s="5"/>
      <c r="R38" s="5"/>
      <c r="S38" s="5"/>
      <c r="T38" s="5"/>
    </row>
    <row r="39" spans="1:20" ht="13" thickBot="1">
      <c r="A39" s="882">
        <v>790</v>
      </c>
      <c r="B39" s="932"/>
      <c r="C39" s="1640" t="s">
        <v>948</v>
      </c>
      <c r="D39" s="429">
        <f>SUM(D35:D38)</f>
        <v>0</v>
      </c>
      <c r="E39" s="34"/>
      <c r="F39" s="5"/>
      <c r="G39" s="5"/>
      <c r="H39" s="5"/>
      <c r="I39" s="5"/>
      <c r="J39" s="5"/>
      <c r="K39" s="5"/>
      <c r="L39" s="5"/>
      <c r="M39" s="5"/>
      <c r="N39" s="5"/>
      <c r="O39" s="5"/>
      <c r="P39" s="5"/>
      <c r="Q39" s="5"/>
      <c r="R39" s="5"/>
      <c r="S39" s="5"/>
      <c r="T39" s="5"/>
    </row>
    <row r="40" spans="1:20" ht="13" thickBot="1">
      <c r="A40" s="253"/>
      <c r="B40" s="16"/>
      <c r="C40" s="17"/>
      <c r="D40" s="18"/>
      <c r="E40" s="34"/>
      <c r="F40" s="5"/>
      <c r="G40" s="5"/>
      <c r="H40" s="5"/>
      <c r="I40" s="5"/>
      <c r="J40" s="5"/>
      <c r="K40" s="5"/>
      <c r="L40" s="5"/>
      <c r="M40" s="5"/>
      <c r="N40" s="5"/>
      <c r="O40" s="5"/>
      <c r="P40" s="5"/>
      <c r="Q40" s="5"/>
      <c r="R40" s="5"/>
      <c r="S40" s="5"/>
      <c r="T40" s="5"/>
    </row>
    <row r="41" spans="1:20" ht="13" thickBot="1">
      <c r="A41" s="900">
        <v>765</v>
      </c>
      <c r="B41" s="933">
        <v>828</v>
      </c>
      <c r="C41" s="1641" t="s">
        <v>1010</v>
      </c>
      <c r="D41" s="254"/>
      <c r="E41" s="2674" t="str">
        <f>IF(OR(D41="",D41=0),"Kontrollera Kommunal fastighetsavgift","")</f>
        <v>Kontrollera Kommunal fastighetsavgift</v>
      </c>
      <c r="F41" s="5"/>
      <c r="G41" s="5"/>
      <c r="H41" s="5"/>
      <c r="I41" s="5"/>
      <c r="J41" s="5"/>
      <c r="K41" s="5"/>
      <c r="L41" s="5"/>
      <c r="M41" s="5"/>
      <c r="N41" s="5"/>
      <c r="O41" s="5"/>
      <c r="P41" s="5"/>
      <c r="Q41" s="5"/>
      <c r="R41" s="5"/>
      <c r="S41" s="5"/>
      <c r="T41" s="5"/>
    </row>
    <row r="42" spans="1:20" ht="12.5">
      <c r="A42" s="5"/>
      <c r="B42" s="5"/>
      <c r="C42" s="5"/>
      <c r="D42" s="5"/>
      <c r="E42" s="5"/>
      <c r="F42" s="5"/>
      <c r="G42" s="5"/>
      <c r="H42" s="5"/>
      <c r="I42" s="5"/>
      <c r="J42" s="5"/>
      <c r="K42" s="5"/>
      <c r="L42" s="5"/>
      <c r="M42" s="5"/>
      <c r="N42" s="5"/>
      <c r="O42" s="5"/>
      <c r="P42" s="5"/>
      <c r="Q42" s="5"/>
      <c r="R42" s="5"/>
      <c r="S42" s="5"/>
      <c r="T42" s="5"/>
    </row>
    <row r="43" spans="1:20" ht="12.5">
      <c r="A43" s="5"/>
      <c r="B43" s="5"/>
      <c r="C43" s="5"/>
      <c r="D43" s="5"/>
      <c r="E43" s="5"/>
      <c r="F43" s="5"/>
      <c r="G43" s="5"/>
      <c r="H43" s="5"/>
      <c r="I43" s="5"/>
      <c r="J43" s="5"/>
      <c r="K43" s="5"/>
      <c r="L43" s="5"/>
      <c r="M43" s="5"/>
      <c r="N43" s="5"/>
      <c r="O43" s="5"/>
      <c r="P43" s="5"/>
      <c r="Q43" s="5"/>
      <c r="R43" s="5"/>
      <c r="S43" s="5"/>
      <c r="T43" s="5"/>
    </row>
    <row r="44" spans="1:20" ht="12.5" hidden="1">
      <c r="A44" s="5"/>
      <c r="B44" s="5"/>
      <c r="C44" s="5"/>
      <c r="D44" s="5"/>
      <c r="E44" s="5"/>
      <c r="H44" s="5"/>
      <c r="I44" s="5"/>
      <c r="J44" s="5"/>
      <c r="K44" s="5"/>
      <c r="L44" s="5"/>
      <c r="M44" s="5"/>
      <c r="R44" s="5"/>
      <c r="S44" s="5"/>
      <c r="T44" s="5"/>
    </row>
    <row r="45" spans="1:20" ht="12.75" hidden="1" customHeight="1"/>
    <row r="49" s="183" customFormat="1" ht="0" hidden="1" customHeight="1"/>
    <row r="50" s="183" customFormat="1" ht="0" hidden="1" customHeight="1"/>
    <row r="51" s="183" customFormat="1" ht="0" hidden="1" customHeight="1"/>
    <row r="52" s="183" customFormat="1" ht="0" hidden="1" customHeight="1"/>
    <row r="53" s="183" customFormat="1" ht="0" hidden="1" customHeight="1"/>
    <row r="54" s="183" customFormat="1" ht="0" hidden="1" customHeight="1"/>
    <row r="55" s="183" customFormat="1" ht="0" hidden="1" customHeight="1"/>
    <row r="56" s="183" customFormat="1" ht="0" hidden="1" customHeight="1"/>
    <row r="57" s="183" customFormat="1" ht="0" hidden="1" customHeight="1"/>
    <row r="58" s="183" customFormat="1" ht="0" hidden="1" customHeight="1"/>
    <row r="59" s="183" customFormat="1" ht="0" hidden="1" customHeight="1"/>
    <row r="60" s="183" customFormat="1" ht="0" hidden="1" customHeight="1"/>
    <row r="61" s="183" customFormat="1" ht="0" hidden="1" customHeight="1"/>
    <row r="62" s="183" customFormat="1" ht="0" hidden="1" customHeight="1"/>
    <row r="63" s="183" customFormat="1" ht="0" hidden="1" customHeight="1"/>
  </sheetData>
  <mergeCells count="4">
    <mergeCell ref="N18:Q19"/>
    <mergeCell ref="F25:G27"/>
    <mergeCell ref="F30:G34"/>
    <mergeCell ref="H35:K38"/>
  </mergeCells>
  <conditionalFormatting sqref="F21">
    <cfRule type="expression" dxfId="139" priority="20">
      <formula>G27&gt;0</formula>
    </cfRule>
  </conditionalFormatting>
  <conditionalFormatting sqref="F30">
    <cfRule type="expression" dxfId="138" priority="21">
      <formula>G29&gt;0</formula>
    </cfRule>
  </conditionalFormatting>
  <conditionalFormatting sqref="F25:G27">
    <cfRule type="expression" dxfId="137" priority="10" stopIfTrue="1">
      <formula>(D27)&lt;1000</formula>
    </cfRule>
  </conditionalFormatting>
  <conditionalFormatting sqref="G28:G29">
    <cfRule type="cellIs" dxfId="136" priority="1" stopIfTrue="1" operator="lessThan">
      <formula>0</formula>
    </cfRule>
  </conditionalFormatting>
  <conditionalFormatting sqref="I17">
    <cfRule type="expression" dxfId="135" priority="16" stopIfTrue="1">
      <formula>ABS(K17)&gt;100</formula>
    </cfRule>
  </conditionalFormatting>
  <conditionalFormatting sqref="I31">
    <cfRule type="expression" dxfId="134" priority="14" stopIfTrue="1">
      <formula>ABS(K31)&gt;100</formula>
    </cfRule>
  </conditionalFormatting>
  <conditionalFormatting sqref="K8:L15 D27 D41">
    <cfRule type="cellIs" dxfId="133" priority="19" stopIfTrue="1" operator="lessThan">
      <formula>-500</formula>
    </cfRule>
  </conditionalFormatting>
  <conditionalFormatting sqref="K17:L17">
    <cfRule type="expression" dxfId="132" priority="15" stopIfTrue="1">
      <formula>ABS(K17)&gt;100</formula>
    </cfRule>
  </conditionalFormatting>
  <conditionalFormatting sqref="K22:L29">
    <cfRule type="cellIs" dxfId="131" priority="17" stopIfTrue="1" operator="lessThan">
      <formula>-500</formula>
    </cfRule>
  </conditionalFormatting>
  <conditionalFormatting sqref="K31:L31">
    <cfRule type="expression" dxfId="130" priority="13" stopIfTrue="1">
      <formula>ABS(K31)&gt;100</formula>
    </cfRule>
  </conditionalFormatting>
  <conditionalFormatting sqref="Q8">
    <cfRule type="cellIs" dxfId="129" priority="12" stopIfTrue="1" operator="lessThan">
      <formula>-500</formula>
    </cfRule>
  </conditionalFormatting>
  <conditionalFormatting sqref="Q12:Q16">
    <cfRule type="cellIs" dxfId="128" priority="3" stopIfTrue="1" operator="lessThan">
      <formula>-500</formula>
    </cfRule>
  </conditionalFormatting>
  <conditionalFormatting sqref="Q25:Q28">
    <cfRule type="cellIs" dxfId="127" priority="2" stopIfTrue="1" operator="lessThan">
      <formula>-500</formula>
    </cfRule>
  </conditionalFormatting>
  <dataValidations count="1">
    <dataValidation type="decimal" operator="lessThan" allowBlank="1" showInputMessage="1" showErrorMessage="1" error="Beloppet ska vara i 1000 tal kronor" sqref="K22:L29 D27 D11:D12 D41 G28:G29 Q8 K8:L15 Q25:Q28 Q12:Q16" xr:uid="{00000000-0002-0000-0400-000000000000}">
      <formula1>99999999</formula1>
    </dataValidation>
  </dataValidations>
  <pageMargins left="0.70866141732283472" right="0.70866141732283472" top="0.74803149606299213" bottom="0.15748031496062992" header="0.31496062992125984" footer="0.31496062992125984"/>
  <pageSetup paperSize="9" scale="80" orientation="landscape" r:id="rId1"/>
  <headerFooter>
    <oddHeader>&amp;L&amp;8Statistiska Centralbyrån
Offentlig ekonomi&amp;R&amp;P</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FFFF00"/>
  </sheetPr>
  <dimension ref="A1:AH303"/>
  <sheetViews>
    <sheetView showGridLines="0" zoomScaleNormal="100" workbookViewId="0">
      <pane xSplit="2" ySplit="10" topLeftCell="C11" activePane="bottomRight" state="frozen"/>
      <selection activeCell="F36" sqref="F36"/>
      <selection pane="topRight" activeCell="F36" sqref="F36"/>
      <selection pane="bottomLeft" activeCell="F36" sqref="F36"/>
      <selection pane="bottomRight"/>
    </sheetView>
  </sheetViews>
  <sheetFormatPr defaultColWidth="0" defaultRowHeight="12.5" zeroHeight="1"/>
  <cols>
    <col min="1" max="1" width="3.54296875" style="223" customWidth="1"/>
    <col min="2" max="2" width="30.453125" style="223" customWidth="1"/>
    <col min="3" max="3" width="10.453125" style="223" customWidth="1"/>
    <col min="4" max="4" width="9.54296875" style="223" customWidth="1"/>
    <col min="5" max="5" width="8.54296875" style="223" customWidth="1"/>
    <col min="6" max="6" width="9.54296875" style="223" customWidth="1"/>
    <col min="7" max="7" width="11.453125" style="223" customWidth="1"/>
    <col min="8" max="8" width="9.54296875" style="223" customWidth="1"/>
    <col min="9" max="10" width="8.54296875" style="223" customWidth="1"/>
    <col min="11" max="11" width="1.453125" style="223" customWidth="1"/>
    <col min="12" max="14" width="8.54296875" style="223" customWidth="1"/>
    <col min="15" max="15" width="9.453125" style="223" customWidth="1"/>
    <col min="16" max="16" width="10" style="223" customWidth="1"/>
    <col min="17" max="17" width="3.54296875" style="223" customWidth="1"/>
    <col min="18" max="19" width="8.54296875" style="223" customWidth="1"/>
    <col min="20" max="20" width="10.54296875" style="223" customWidth="1"/>
    <col min="21" max="21" width="2.453125" style="223" customWidth="1"/>
    <col min="22" max="22" width="9" style="223" customWidth="1"/>
    <col min="23" max="23" width="10.54296875" style="223" customWidth="1"/>
    <col min="24" max="24" width="2.453125" style="223" customWidth="1"/>
    <col min="25" max="25" width="11.54296875" style="223" customWidth="1"/>
    <col min="26" max="27" width="9.453125" style="223" customWidth="1"/>
    <col min="28" max="28" width="8.54296875" style="153" customWidth="1"/>
    <col min="29" max="29" width="7.453125" style="153" customWidth="1"/>
    <col min="30" max="30" width="19.453125" style="183" customWidth="1"/>
    <col min="31" max="31" width="0.1796875" style="494" hidden="1" customWidth="1"/>
    <col min="32" max="33" width="10.453125" style="183" customWidth="1"/>
    <col min="34" max="34" width="0.453125" style="183" customWidth="1"/>
    <col min="35" max="36" width="9.453125" style="183" customWidth="1"/>
    <col min="37" max="16384" width="0" style="183" hidden="1"/>
  </cols>
  <sheetData>
    <row r="1" spans="1:34" ht="21.75" customHeight="1">
      <c r="A1" s="182"/>
      <c r="B1" s="85"/>
      <c r="C1" s="84" t="str">
        <f>"Driftredovisning "&amp;År&amp;", 1 000 tal kr"</f>
        <v>Driftredovisning 2025, 1 000 tal kr</v>
      </c>
      <c r="D1" s="85"/>
      <c r="E1" s="85"/>
      <c r="F1" s="182"/>
      <c r="G1" s="182"/>
      <c r="H1" s="182"/>
      <c r="I1" s="617">
        <f>Information!B3</f>
        <v>0</v>
      </c>
      <c r="J1" s="618">
        <f>Information!B2</f>
        <v>0</v>
      </c>
      <c r="K1" s="209"/>
      <c r="L1" s="182"/>
      <c r="M1" s="182"/>
      <c r="N1" s="182"/>
      <c r="O1" s="182"/>
      <c r="P1" s="182"/>
      <c r="Q1" s="182"/>
      <c r="R1" s="84" t="str">
        <f>"Driftredovisning "&amp;År&amp;", 1 000 tal kr"</f>
        <v>Driftredovisning 2025, 1 000 tal kr</v>
      </c>
      <c r="S1" s="182"/>
      <c r="T1" s="182"/>
      <c r="U1" s="182"/>
      <c r="V1" s="182"/>
      <c r="W1" s="182"/>
      <c r="X1" s="182"/>
      <c r="Y1" s="617">
        <f>Information!B3</f>
        <v>0</v>
      </c>
      <c r="Z1" s="618">
        <f>Information!B2</f>
        <v>0</v>
      </c>
      <c r="AA1" s="182"/>
      <c r="AB1" s="491"/>
      <c r="AC1" s="491"/>
      <c r="AD1" s="182"/>
      <c r="AE1" s="491"/>
      <c r="AF1" s="182"/>
      <c r="AG1" s="182"/>
    </row>
    <row r="2" spans="1:34" ht="12.75" customHeight="1">
      <c r="A2" s="1454"/>
      <c r="C2" s="419"/>
      <c r="D2" s="46" t="s">
        <v>983</v>
      </c>
      <c r="G2" s="424"/>
      <c r="H2" s="46" t="s">
        <v>623</v>
      </c>
      <c r="I2" s="5"/>
      <c r="J2" s="5"/>
      <c r="M2" s="1671"/>
      <c r="N2" s="46" t="s">
        <v>1038</v>
      </c>
      <c r="O2" s="5"/>
      <c r="P2" s="5"/>
      <c r="Q2" s="211" t="s">
        <v>120</v>
      </c>
      <c r="R2" s="5"/>
      <c r="S2" s="212"/>
      <c r="T2" s="5"/>
      <c r="U2" s="5"/>
      <c r="V2" s="5"/>
      <c r="W2" s="5"/>
      <c r="X2" s="185"/>
      <c r="Y2" s="5"/>
      <c r="Z2" s="220"/>
      <c r="AA2" s="220"/>
      <c r="AB2" s="1599"/>
      <c r="AC2" s="1503"/>
      <c r="AD2" s="1514"/>
      <c r="AE2" s="1528"/>
      <c r="AF2" s="220"/>
    </row>
    <row r="3" spans="1:34" s="218" customFormat="1" ht="12.75" customHeight="1" thickBot="1">
      <c r="C3" s="105"/>
      <c r="D3" s="46" t="s">
        <v>622</v>
      </c>
      <c r="G3" s="1458" t="s">
        <v>988</v>
      </c>
      <c r="H3" s="46" t="s">
        <v>1484</v>
      </c>
      <c r="I3" s="214"/>
      <c r="J3" s="210"/>
      <c r="N3" s="46" t="s">
        <v>1039</v>
      </c>
      <c r="O3" s="214"/>
      <c r="P3" s="214"/>
      <c r="Q3" s="215"/>
      <c r="R3" s="213"/>
      <c r="S3" s="214"/>
      <c r="T3" s="214"/>
      <c r="U3" s="216"/>
      <c r="V3" s="213"/>
      <c r="W3" s="214"/>
      <c r="X3" s="216"/>
      <c r="Y3" s="213" t="s">
        <v>154</v>
      </c>
      <c r="Z3" s="1529"/>
      <c r="AA3" s="1529"/>
      <c r="AB3" s="1600"/>
      <c r="AC3" s="1601"/>
      <c r="AD3" s="1602"/>
      <c r="AE3" s="1530"/>
      <c r="AF3" s="1531"/>
    </row>
    <row r="4" spans="1:34" s="197" customFormat="1" ht="44.5" customHeight="1">
      <c r="A4" s="962" t="s">
        <v>216</v>
      </c>
      <c r="B4" s="963" t="s">
        <v>13</v>
      </c>
      <c r="C4" s="2956" t="s">
        <v>34</v>
      </c>
      <c r="D4" s="2957"/>
      <c r="E4" s="2958" t="s">
        <v>35</v>
      </c>
      <c r="F4" s="2959"/>
      <c r="G4" s="2959"/>
      <c r="H4" s="2960"/>
      <c r="I4" s="2963" t="s">
        <v>36</v>
      </c>
      <c r="J4" s="2964"/>
      <c r="K4" s="38"/>
      <c r="L4" s="2961" t="s">
        <v>155</v>
      </c>
      <c r="M4" s="2962"/>
      <c r="N4" s="2962"/>
      <c r="O4" s="2957"/>
      <c r="P4" s="1035"/>
      <c r="Q4" s="80"/>
      <c r="R4" s="2961" t="s">
        <v>37</v>
      </c>
      <c r="S4" s="2990"/>
      <c r="T4" s="2991"/>
      <c r="U4" s="117"/>
      <c r="V4" s="2270" t="s">
        <v>157</v>
      </c>
      <c r="W4" s="1053"/>
      <c r="X4" s="38"/>
      <c r="Y4" s="1911" t="s">
        <v>1287</v>
      </c>
      <c r="Z4" s="2992" t="s">
        <v>1311</v>
      </c>
      <c r="AA4" s="2993"/>
      <c r="AB4" s="2994"/>
      <c r="AC4" s="1551" t="str">
        <f>"Förändring kostnader för eget åtagande "&amp;År-1&amp;"-"&amp;År&amp;" procent"</f>
        <v>Förändring kostnader för eget åtagande 2024-2025 procent</v>
      </c>
      <c r="AD4" s="1857" t="s">
        <v>1290</v>
      </c>
      <c r="AE4" s="1859" t="str">
        <f>"Köp av verksamhet som andel av "</f>
        <v xml:space="preserve">Köp av verksamhet som andel av </v>
      </c>
      <c r="AF4" s="1911" t="s">
        <v>1293</v>
      </c>
      <c r="AG4" s="1922" t="s">
        <v>1294</v>
      </c>
      <c r="AH4" s="2369" t="s">
        <v>1380</v>
      </c>
    </row>
    <row r="5" spans="1:34" ht="46.75" customHeight="1">
      <c r="A5" s="1575"/>
      <c r="B5" s="1576"/>
      <c r="C5" s="1559" t="s">
        <v>207</v>
      </c>
      <c r="D5" s="992" t="s">
        <v>546</v>
      </c>
      <c r="E5" s="1683" t="s">
        <v>1084</v>
      </c>
      <c r="F5" s="992" t="s">
        <v>1014</v>
      </c>
      <c r="G5" s="993" t="s">
        <v>215</v>
      </c>
      <c r="H5" s="994" t="s">
        <v>1003</v>
      </c>
      <c r="I5" s="995" t="s">
        <v>512</v>
      </c>
      <c r="J5" s="2683" t="s">
        <v>547</v>
      </c>
      <c r="K5" s="38"/>
      <c r="L5" s="1051" t="s">
        <v>625</v>
      </c>
      <c r="M5" s="1881" t="s">
        <v>513</v>
      </c>
      <c r="N5" s="3008" t="s">
        <v>1483</v>
      </c>
      <c r="O5" s="3009"/>
      <c r="P5" s="1036" t="s">
        <v>523</v>
      </c>
      <c r="Q5" s="51"/>
      <c r="R5" s="1051" t="s">
        <v>926</v>
      </c>
      <c r="S5" s="994" t="s">
        <v>515</v>
      </c>
      <c r="T5" s="1052" t="s">
        <v>516</v>
      </c>
      <c r="U5" s="32"/>
      <c r="V5" s="1037"/>
      <c r="W5" s="1054" t="s">
        <v>524</v>
      </c>
      <c r="X5" s="38"/>
      <c r="Y5" s="3004" t="s">
        <v>1518</v>
      </c>
      <c r="Z5" s="997" t="str">
        <f>"Netto-kostnader "&amp;År&amp;""</f>
        <v>Netto-kostnader 2025</v>
      </c>
      <c r="AA5" s="997" t="str">
        <f>"Kostnader för eget åtagande "&amp;År&amp;""</f>
        <v>Kostnader för eget åtagande 2025</v>
      </c>
      <c r="AB5" s="997" t="str">
        <f>"Kostnader för eget åtagande "&amp;År-1&amp;""</f>
        <v>Kostnader för eget åtagande 2024</v>
      </c>
      <c r="AC5" s="1552"/>
      <c r="AD5" s="2741" t="s">
        <v>1763</v>
      </c>
      <c r="AE5" s="1858" t="str">
        <f>"verksamhetens kostnad för eget åtagande "&amp;År&amp;" procent"</f>
        <v>verksamhetens kostnad för eget åtagande 2025 procent</v>
      </c>
      <c r="AF5" s="2986" t="s">
        <v>1295</v>
      </c>
      <c r="AG5" s="2984" t="s">
        <v>1296</v>
      </c>
      <c r="AH5" s="2982" t="s">
        <v>1381</v>
      </c>
    </row>
    <row r="6" spans="1:34" ht="56.25" customHeight="1" thickBot="1">
      <c r="A6" s="965"/>
      <c r="B6" s="2726" t="str">
        <f>"BAS "&amp;År-2000&amp;""</f>
        <v>BAS 25</v>
      </c>
      <c r="C6" s="2806" t="s">
        <v>1871</v>
      </c>
      <c r="D6" s="2719"/>
      <c r="E6" s="2821" t="s">
        <v>1882</v>
      </c>
      <c r="F6" s="1661" t="s">
        <v>1044</v>
      </c>
      <c r="G6" s="2822" t="s">
        <v>1883</v>
      </c>
      <c r="H6" s="1661" t="s">
        <v>45</v>
      </c>
      <c r="I6" s="1662" t="s">
        <v>46</v>
      </c>
      <c r="J6" s="2684" t="s">
        <v>1659</v>
      </c>
      <c r="K6" s="38"/>
      <c r="L6" s="2720" t="s">
        <v>1657</v>
      </c>
      <c r="M6" s="2721"/>
      <c r="N6" s="2722" t="s">
        <v>1094</v>
      </c>
      <c r="O6" s="2723" t="s">
        <v>1095</v>
      </c>
      <c r="P6" s="2725"/>
      <c r="Q6" s="80"/>
      <c r="R6" s="2672" t="s">
        <v>1078</v>
      </c>
      <c r="S6" s="2673" t="s">
        <v>47</v>
      </c>
      <c r="T6" s="1663" t="s">
        <v>1015</v>
      </c>
      <c r="U6" s="32"/>
      <c r="V6" s="2724"/>
      <c r="W6" s="2725"/>
      <c r="X6" s="38"/>
      <c r="Y6" s="2987"/>
      <c r="Z6" s="1970"/>
      <c r="AA6" s="1971"/>
      <c r="AB6" s="1972"/>
      <c r="AC6" s="1973"/>
      <c r="AD6" s="2742" t="s">
        <v>1552</v>
      </c>
      <c r="AE6" s="1819"/>
      <c r="AF6" s="2987"/>
      <c r="AG6" s="2985"/>
      <c r="AH6" s="2983"/>
    </row>
    <row r="7" spans="1:34" ht="9.75" hidden="1" customHeight="1">
      <c r="A7" s="965"/>
      <c r="B7" s="1816"/>
      <c r="C7" s="1733"/>
      <c r="D7" s="1734"/>
      <c r="E7" s="1738"/>
      <c r="F7" s="1739"/>
      <c r="G7" s="1740"/>
      <c r="H7" s="1741"/>
      <c r="I7" s="1742"/>
      <c r="J7" s="1743"/>
      <c r="K7" s="32"/>
      <c r="L7" s="1562"/>
      <c r="M7" s="1563"/>
      <c r="N7" s="1560"/>
      <c r="O7" s="966"/>
      <c r="P7" s="1039"/>
      <c r="Q7" s="51"/>
      <c r="R7" s="1764"/>
      <c r="S7" s="1765"/>
      <c r="T7" s="1766"/>
      <c r="U7" s="32"/>
      <c r="V7" s="1037"/>
      <c r="W7" s="1039"/>
      <c r="X7" s="32"/>
      <c r="Y7" s="1553"/>
      <c r="Z7" s="1069"/>
      <c r="AA7" s="1071"/>
      <c r="AB7" s="1070"/>
      <c r="AC7" s="1552"/>
      <c r="AD7" s="1603"/>
      <c r="AE7" s="1819"/>
      <c r="AF7" s="1906"/>
      <c r="AG7" s="1907"/>
      <c r="AH7" s="2218"/>
    </row>
    <row r="8" spans="1:34" ht="12.75" hidden="1" customHeight="1">
      <c r="A8" s="967"/>
      <c r="B8" s="1735"/>
      <c r="C8" s="1736"/>
      <c r="D8" s="1737"/>
      <c r="E8" s="1744"/>
      <c r="F8" s="1745"/>
      <c r="G8" s="1746"/>
      <c r="H8" s="1747"/>
      <c r="I8" s="1748"/>
      <c r="J8" s="1749"/>
      <c r="K8" s="32"/>
      <c r="L8" s="1037"/>
      <c r="M8" s="999"/>
      <c r="N8" s="1560"/>
      <c r="O8" s="966"/>
      <c r="P8" s="1039"/>
      <c r="Q8" s="51"/>
      <c r="R8" s="1764"/>
      <c r="S8" s="1765"/>
      <c r="T8" s="1766"/>
      <c r="U8" s="32"/>
      <c r="V8" s="1040"/>
      <c r="W8" s="1039"/>
      <c r="X8" s="32"/>
      <c r="Y8" s="1553"/>
      <c r="Z8" s="1072"/>
      <c r="AA8" s="1073"/>
      <c r="AB8" s="998"/>
      <c r="AC8" s="1552"/>
      <c r="AD8" s="1038"/>
      <c r="AE8" s="1081"/>
      <c r="AF8" s="1906"/>
      <c r="AG8" s="1907"/>
      <c r="AH8" s="2218"/>
    </row>
    <row r="9" spans="1:34" ht="10.5" hidden="1" customHeight="1">
      <c r="A9" s="965"/>
      <c r="B9" s="1750"/>
      <c r="C9" s="1751"/>
      <c r="D9" s="1752"/>
      <c r="E9" s="1753"/>
      <c r="F9" s="1754"/>
      <c r="G9" s="1746"/>
      <c r="H9" s="1747"/>
      <c r="I9" s="1755"/>
      <c r="J9" s="1756"/>
      <c r="K9" s="10"/>
      <c r="L9" s="1040"/>
      <c r="M9" s="999"/>
      <c r="N9" s="1396"/>
      <c r="O9" s="1408"/>
      <c r="P9" s="1039"/>
      <c r="Q9" s="51"/>
      <c r="R9" s="1767"/>
      <c r="S9" s="1768"/>
      <c r="T9" s="1756"/>
      <c r="U9" s="10"/>
      <c r="V9" s="1040"/>
      <c r="W9" s="1055"/>
      <c r="X9" s="10"/>
      <c r="Y9" s="1553"/>
      <c r="Z9" s="1072"/>
      <c r="AA9" s="1072"/>
      <c r="AB9" s="998"/>
      <c r="AC9" s="1552"/>
      <c r="AD9" s="1038"/>
      <c r="AE9" s="1082"/>
      <c r="AF9" s="1906"/>
      <c r="AG9" s="1907"/>
      <c r="AH9" s="2218"/>
    </row>
    <row r="10" spans="1:34" ht="12" hidden="1" customHeight="1">
      <c r="A10" s="968"/>
      <c r="B10" s="1757"/>
      <c r="C10" s="1758"/>
      <c r="D10" s="1759"/>
      <c r="E10" s="1760"/>
      <c r="F10" s="1759"/>
      <c r="G10" s="1761"/>
      <c r="H10" s="1762"/>
      <c r="I10" s="1758"/>
      <c r="J10" s="1763"/>
      <c r="K10" s="10"/>
      <c r="L10" s="1041"/>
      <c r="M10" s="1000"/>
      <c r="N10" s="1193"/>
      <c r="O10" s="1561"/>
      <c r="P10" s="1042"/>
      <c r="Q10" s="221"/>
      <c r="R10" s="1769"/>
      <c r="S10" s="1759"/>
      <c r="T10" s="1763"/>
      <c r="U10" s="118"/>
      <c r="V10" s="1041"/>
      <c r="W10" s="1056"/>
      <c r="X10" s="10"/>
      <c r="Y10" s="1986"/>
      <c r="Z10" s="1966"/>
      <c r="AA10" s="1967"/>
      <c r="AB10" s="1968"/>
      <c r="AC10" s="1969"/>
      <c r="AD10" s="1083"/>
      <c r="AE10" s="1084"/>
      <c r="AF10" s="1906"/>
      <c r="AG10" s="1907"/>
      <c r="AH10" s="2219"/>
    </row>
    <row r="11" spans="1:34" ht="39" customHeight="1" thickBot="1">
      <c r="A11" s="969"/>
      <c r="B11" s="970" t="s">
        <v>14</v>
      </c>
      <c r="C11" s="1001"/>
      <c r="D11" s="1002"/>
      <c r="E11" s="1001"/>
      <c r="F11" s="1003"/>
      <c r="G11" s="1004"/>
      <c r="H11" s="1005"/>
      <c r="I11" s="1001"/>
      <c r="J11" s="1006"/>
      <c r="K11" s="222"/>
      <c r="L11" s="1043"/>
      <c r="M11" s="1003"/>
      <c r="N11" s="1002"/>
      <c r="O11" s="1044"/>
      <c r="P11" s="1006"/>
      <c r="Q11" s="222"/>
      <c r="R11" s="1043"/>
      <c r="S11" s="1003"/>
      <c r="T11" s="1006"/>
      <c r="U11" s="222"/>
      <c r="V11" s="1057"/>
      <c r="W11" s="1058"/>
      <c r="X11" s="36"/>
      <c r="Y11" s="1985" t="s">
        <v>50</v>
      </c>
      <c r="Z11" s="2976"/>
      <c r="AA11" s="2977"/>
      <c r="AB11" s="2977"/>
      <c r="AC11" s="2978"/>
      <c r="AD11" s="2045"/>
      <c r="AE11" s="854"/>
      <c r="AF11" s="1906"/>
      <c r="AG11" s="1907"/>
      <c r="AH11" s="2220"/>
    </row>
    <row r="12" spans="1:34" ht="11.25" customHeight="1">
      <c r="A12" s="971"/>
      <c r="B12" s="972" t="s">
        <v>48</v>
      </c>
      <c r="C12" s="1007"/>
      <c r="D12" s="1008"/>
      <c r="E12" s="1007"/>
      <c r="F12" s="1009"/>
      <c r="G12" s="1010"/>
      <c r="H12" s="1011"/>
      <c r="I12" s="1007"/>
      <c r="J12" s="1012"/>
      <c r="K12" s="222"/>
      <c r="L12" s="1045"/>
      <c r="M12" s="1009"/>
      <c r="N12" s="1008"/>
      <c r="O12" s="1046"/>
      <c r="P12" s="1012"/>
      <c r="Q12" s="222"/>
      <c r="R12" s="1045"/>
      <c r="S12" s="1009"/>
      <c r="T12" s="1012"/>
      <c r="U12" s="222"/>
      <c r="V12" s="1059"/>
      <c r="W12" s="1060"/>
      <c r="X12" s="29"/>
      <c r="Y12" s="1087"/>
      <c r="Z12" s="1074"/>
      <c r="AA12" s="1074"/>
      <c r="AB12" s="1075"/>
      <c r="AC12" s="1076"/>
      <c r="AD12" s="2046"/>
      <c r="AE12" s="854"/>
      <c r="AF12" s="1906"/>
      <c r="AG12" s="1907"/>
      <c r="AH12" s="2221"/>
    </row>
    <row r="13" spans="1:34">
      <c r="A13" s="2548" t="s">
        <v>225</v>
      </c>
      <c r="B13" s="973" t="s">
        <v>49</v>
      </c>
      <c r="C13" s="19"/>
      <c r="D13" s="20"/>
      <c r="E13" s="21"/>
      <c r="F13" s="19"/>
      <c r="G13" s="19"/>
      <c r="H13" s="20"/>
      <c r="I13" s="19"/>
      <c r="J13" s="107"/>
      <c r="K13" s="30"/>
      <c r="L13" s="110"/>
      <c r="M13" s="19"/>
      <c r="N13" s="20"/>
      <c r="O13" s="546">
        <f>IF(I$120=0,0,(SUM(C13:E13,G13,I13:M13)-V13)/(SUM(C$110:E$110,G$110,I$110:M$110)-V$110)*I$120)</f>
        <v>0</v>
      </c>
      <c r="P13" s="441">
        <f>SUM(C13:O13)</f>
        <v>0</v>
      </c>
      <c r="Q13" s="52"/>
      <c r="R13" s="110"/>
      <c r="S13" s="19"/>
      <c r="T13" s="107"/>
      <c r="U13" s="53"/>
      <c r="V13" s="120"/>
      <c r="W13" s="480">
        <f>SUM(R13:V13)</f>
        <v>0</v>
      </c>
      <c r="X13" s="59"/>
      <c r="Y13" s="1958">
        <f>P13-V13-(IF(AND(Motpart!$Y$9="",Motpart!$Z$9=""),0,IF(AND(Motpart!$Y$9=0,Motpart!$Z$9=0),0,((T13/$T$17)*(Motpart!$Y$9+Motpart!$Z$9)))))</f>
        <v>0</v>
      </c>
      <c r="Z13" s="1959"/>
      <c r="AA13" s="1960"/>
      <c r="AB13" s="1961"/>
      <c r="AC13" s="1962"/>
      <c r="AD13" s="1089" t="str">
        <f>IF(P13=0,"Belopp saknas","")</f>
        <v>Belopp saknas</v>
      </c>
      <c r="AE13" s="1086"/>
      <c r="AF13" s="1091">
        <f>P13-W13</f>
        <v>0</v>
      </c>
      <c r="AG13" s="1912">
        <f>P13-F13-H13-V13</f>
        <v>0</v>
      </c>
      <c r="AH13" s="2222">
        <f>W13-V13-(IF(AND(Motpart!$Y$9="",Motpart!$Z$9=""),0,IF(AND(Motpart!$Y$9=0,Motpart!$Z$9=0),0,((T13/$T$17)*(Motpart!$Y$9+Motpart!$Z$9)))))</f>
        <v>0</v>
      </c>
    </row>
    <row r="14" spans="1:34">
      <c r="A14" s="2548" t="s">
        <v>226</v>
      </c>
      <c r="B14" s="974" t="s">
        <v>51</v>
      </c>
      <c r="C14" s="22"/>
      <c r="D14" s="20"/>
      <c r="E14" s="24"/>
      <c r="F14" s="22"/>
      <c r="G14" s="22"/>
      <c r="H14" s="23"/>
      <c r="I14" s="22"/>
      <c r="J14" s="108"/>
      <c r="K14" s="30"/>
      <c r="L14" s="111"/>
      <c r="M14" s="22"/>
      <c r="N14" s="20"/>
      <c r="O14" s="442">
        <f>IF(I$120=0,0,(SUM(C14:E14,G14,I14:M14)-V14)/(SUM(C$110:E$110,G$110,I$110:M$110)-V$110)*I$120)</f>
        <v>0</v>
      </c>
      <c r="P14" s="441">
        <f>SUM(C14:O14)</f>
        <v>0</v>
      </c>
      <c r="Q14" s="52"/>
      <c r="R14" s="111"/>
      <c r="S14" s="22"/>
      <c r="T14" s="108"/>
      <c r="U14" s="53"/>
      <c r="V14" s="121"/>
      <c r="W14" s="480">
        <f>SUM(R14:V14)</f>
        <v>0</v>
      </c>
      <c r="X14" s="59"/>
      <c r="Y14" s="1811">
        <f>P14-V14-(IF(AND(Motpart!$Y$9="",Motpart!$Z$9=""),0,IF(AND(Motpart!$Y$9=0,Motpart!$Z$9=0),0,((T14/$T$17)*(Motpart!$Y$9+Motpart!$Z$9)))))</f>
        <v>0</v>
      </c>
      <c r="Z14" s="1963"/>
      <c r="AA14" s="1964"/>
      <c r="AB14" s="1964"/>
      <c r="AC14" s="1965"/>
      <c r="AD14" s="1089" t="str">
        <f>IF(P14=0,"Belopp saknas","")</f>
        <v>Belopp saknas</v>
      </c>
      <c r="AE14" s="1086"/>
      <c r="AF14" s="1091">
        <f t="shared" ref="AF14:AF30" si="0">P14-W14</f>
        <v>0</v>
      </c>
      <c r="AG14" s="1912">
        <f t="shared" ref="AG14:AG77" si="1">P14-F14-H14-V14</f>
        <v>0</v>
      </c>
      <c r="AH14" s="2222">
        <f>W14-V14-(IF(AND(Motpart!$Y$9="",Motpart!$Z$9=""),0,IF(AND(Motpart!$Y$9=0,Motpart!$Z$9=0),0,((T14/$T$17)*(Motpart!$Y$9+Motpart!$Z$9)))))</f>
        <v>0</v>
      </c>
    </row>
    <row r="15" spans="1:34">
      <c r="A15" s="2548" t="s">
        <v>227</v>
      </c>
      <c r="B15" s="974" t="s">
        <v>52</v>
      </c>
      <c r="C15" s="22"/>
      <c r="D15" s="20"/>
      <c r="E15" s="24"/>
      <c r="F15" s="22"/>
      <c r="G15" s="22"/>
      <c r="H15" s="23"/>
      <c r="I15" s="22"/>
      <c r="J15" s="108"/>
      <c r="K15" s="30"/>
      <c r="L15" s="111"/>
      <c r="M15" s="22"/>
      <c r="N15" s="20"/>
      <c r="O15" s="442">
        <f>IF(I$120=0,0,(SUM(C15:E15,G15,I15:M15)-V15)/(SUM(C$110:E$110,G$110,I$110:M$110)-V$110)*I$120)</f>
        <v>0</v>
      </c>
      <c r="P15" s="441">
        <f>SUM(C15:O15)</f>
        <v>0</v>
      </c>
      <c r="Q15" s="52"/>
      <c r="R15" s="111"/>
      <c r="S15" s="22"/>
      <c r="T15" s="108"/>
      <c r="U15" s="53"/>
      <c r="V15" s="121"/>
      <c r="W15" s="480">
        <f>SUM(R15:V15)</f>
        <v>0</v>
      </c>
      <c r="X15" s="59"/>
      <c r="Y15" s="1811">
        <f>P15-V15-(IF(AND(Motpart!$Y$9="",Motpart!$Z$9=""),0,IF(AND(Motpart!$Y$9=0,Motpart!$Z$9=0),0,((T15/$T$17)*(Motpart!$Y$9+Motpart!$Z$9)))))</f>
        <v>0</v>
      </c>
      <c r="Z15" s="1963"/>
      <c r="AA15" s="1964"/>
      <c r="AB15" s="1964"/>
      <c r="AC15" s="1965"/>
      <c r="AD15" s="1089" t="str">
        <f>IF(P15=0,"Belopp saknas","")</f>
        <v>Belopp saknas</v>
      </c>
      <c r="AE15" s="1086"/>
      <c r="AF15" s="1091">
        <f t="shared" si="0"/>
        <v>0</v>
      </c>
      <c r="AG15" s="1912">
        <f t="shared" si="1"/>
        <v>0</v>
      </c>
      <c r="AH15" s="2222">
        <f>W15-V15-(IF(AND(Motpart!$Y$9="",Motpart!$Z$9=""),0,IF(AND(Motpart!$Y$9=0,Motpart!$Z$9=0),0,((T15/$T$17)*(Motpart!$Y$9+Motpart!$Z$9)))))</f>
        <v>0</v>
      </c>
    </row>
    <row r="16" spans="1:34">
      <c r="A16" s="2548" t="s">
        <v>228</v>
      </c>
      <c r="B16" s="974" t="s">
        <v>53</v>
      </c>
      <c r="C16" s="22"/>
      <c r="D16" s="20"/>
      <c r="E16" s="24"/>
      <c r="F16" s="22"/>
      <c r="G16" s="22"/>
      <c r="H16" s="23"/>
      <c r="I16" s="22"/>
      <c r="J16" s="108"/>
      <c r="K16" s="2746"/>
      <c r="L16" s="26"/>
      <c r="M16" s="22"/>
      <c r="N16" s="20"/>
      <c r="O16" s="442">
        <f>IF(I$120=0,0,(SUM(C16:E16,G16,I16:M16)-V16)/(SUM(C$110:E$110,G$110,I$110:M$110)-V$110)*I$120)</f>
        <v>0</v>
      </c>
      <c r="P16" s="441">
        <f>SUM(C16:O16)</f>
        <v>0</v>
      </c>
      <c r="Q16" s="52"/>
      <c r="R16" s="111"/>
      <c r="S16" s="22"/>
      <c r="T16" s="108"/>
      <c r="U16" s="53"/>
      <c r="V16" s="121"/>
      <c r="W16" s="480">
        <f>SUM(R16:V16)</f>
        <v>0</v>
      </c>
      <c r="X16" s="59"/>
      <c r="Y16" s="1811">
        <f>P16-V16-(IF(AND(Motpart!$Y$9="",Motpart!$Z$9=""),0,IF(AND(Motpart!$Y$9=0,Motpart!$Z$9=0),0,((T16/$T$17)*(Motpart!$Y$9+Motpart!$Z$9)))))</f>
        <v>0</v>
      </c>
      <c r="Z16" s="1963"/>
      <c r="AA16" s="1964"/>
      <c r="AB16" s="1964"/>
      <c r="AC16" s="1965"/>
      <c r="AD16" s="1089"/>
      <c r="AE16" s="1086"/>
      <c r="AF16" s="1091">
        <f t="shared" si="0"/>
        <v>0</v>
      </c>
      <c r="AG16" s="1912">
        <f t="shared" si="1"/>
        <v>0</v>
      </c>
      <c r="AH16" s="2222">
        <f>W16-V16-(IF(AND(Motpart!$Y$9="",Motpart!$Z$9=""),0,IF(AND(Motpart!$Y$9=0,Motpart!$Z$9=0),0,((T16/$T$17)*(Motpart!$Y$9+Motpart!$Z$9)))))</f>
        <v>0</v>
      </c>
    </row>
    <row r="17" spans="1:34" ht="12.75" customHeight="1" thickBot="1">
      <c r="A17" s="2561" t="s">
        <v>229</v>
      </c>
      <c r="B17" s="974" t="s">
        <v>54</v>
      </c>
      <c r="C17" s="434">
        <f>SUM(C13:C16)</f>
        <v>0</v>
      </c>
      <c r="D17" s="25">
        <f t="shared" ref="D17:O17" si="2">SUM(D13:D16)</f>
        <v>0</v>
      </c>
      <c r="E17" s="444">
        <f t="shared" si="2"/>
        <v>0</v>
      </c>
      <c r="F17" s="434">
        <f t="shared" si="2"/>
        <v>0</v>
      </c>
      <c r="G17" s="434">
        <f t="shared" si="2"/>
        <v>0</v>
      </c>
      <c r="H17" s="25">
        <f t="shared" si="2"/>
        <v>0</v>
      </c>
      <c r="I17" s="434">
        <f t="shared" si="2"/>
        <v>0</v>
      </c>
      <c r="J17" s="112">
        <f t="shared" si="2"/>
        <v>0</v>
      </c>
      <c r="K17" s="157"/>
      <c r="L17" s="443">
        <f>SUM(L13:L16)</f>
        <v>0</v>
      </c>
      <c r="M17" s="434">
        <f t="shared" si="2"/>
        <v>0</v>
      </c>
      <c r="N17" s="25">
        <f t="shared" si="2"/>
        <v>0</v>
      </c>
      <c r="O17" s="25">
        <f t="shared" si="2"/>
        <v>0</v>
      </c>
      <c r="P17" s="112">
        <f>SUM(P6:P16)</f>
        <v>0</v>
      </c>
      <c r="Q17" s="52"/>
      <c r="R17" s="443">
        <f>SUM(R13:R16)</f>
        <v>0</v>
      </c>
      <c r="S17" s="434">
        <f>SUM(S13:S16)</f>
        <v>0</v>
      </c>
      <c r="T17" s="112">
        <f>SUM(T13:T16)</f>
        <v>0</v>
      </c>
      <c r="U17" s="52"/>
      <c r="V17" s="124">
        <f>SUM(V13:V16)</f>
        <v>0</v>
      </c>
      <c r="W17" s="125">
        <f>SUM(W13:W16)</f>
        <v>0</v>
      </c>
      <c r="X17" s="59"/>
      <c r="Y17" s="1091">
        <f>P17-V17-SUM(Motpart!Y9:Z9)</f>
        <v>0</v>
      </c>
      <c r="Z17" s="1092" t="e">
        <f>(P17-W17)*1000/invanare</f>
        <v>#DIV/0!</v>
      </c>
      <c r="AA17" s="1092" t="e">
        <f>Y17*1000/invanare</f>
        <v>#DIV/0!</v>
      </c>
      <c r="AB17" s="1092"/>
      <c r="AC17" s="1093" t="str">
        <f>IF(ISERROR((AA17-AB17)/AB17)," ",((AA17-AB17)/AB17))</f>
        <v xml:space="preserve"> </v>
      </c>
      <c r="AD17" s="1908" t="e">
        <f>IF(AA17="","Belopp saknas",IF(OR(AC17&gt;30%,AC17&lt;-15%),"Kommentera förändringen",IF(OR(AC17&gt;20%),"Kontrollera förändringen","")))</f>
        <v>#DIV/0!</v>
      </c>
      <c r="AE17" s="1909"/>
      <c r="AF17" s="1134">
        <f t="shared" si="0"/>
        <v>0</v>
      </c>
      <c r="AG17" s="1915">
        <f t="shared" si="1"/>
        <v>0</v>
      </c>
      <c r="AH17" s="2222">
        <f>W17-V17-SUM(Motpart!Y9:Z9)</f>
        <v>0</v>
      </c>
    </row>
    <row r="18" spans="1:34" ht="37.5" customHeight="1" thickBot="1">
      <c r="A18" s="2562"/>
      <c r="B18" s="975" t="s">
        <v>55</v>
      </c>
      <c r="C18" s="1013"/>
      <c r="D18" s="1014"/>
      <c r="E18" s="1013"/>
      <c r="F18" s="1015"/>
      <c r="G18" s="1015"/>
      <c r="H18" s="1014"/>
      <c r="I18" s="1015"/>
      <c r="J18" s="1016"/>
      <c r="K18" s="30"/>
      <c r="L18" s="1047"/>
      <c r="M18" s="1015"/>
      <c r="N18" s="1014"/>
      <c r="O18" s="1014"/>
      <c r="P18" s="1016"/>
      <c r="Q18" s="53"/>
      <c r="R18" s="1047"/>
      <c r="S18" s="1015"/>
      <c r="T18" s="1016"/>
      <c r="U18" s="53"/>
      <c r="V18" s="1061"/>
      <c r="W18" s="1062"/>
      <c r="X18" s="30"/>
      <c r="Y18" s="1985" t="s">
        <v>1309</v>
      </c>
      <c r="Z18" s="2976"/>
      <c r="AA18" s="2977"/>
      <c r="AB18" s="2977"/>
      <c r="AC18" s="2978"/>
      <c r="AD18" s="1085"/>
      <c r="AE18" s="1095"/>
      <c r="AF18" s="1923"/>
      <c r="AG18" s="1925"/>
      <c r="AH18" s="2223"/>
    </row>
    <row r="19" spans="1:34">
      <c r="A19" s="2548" t="s">
        <v>230</v>
      </c>
      <c r="B19" s="976" t="s">
        <v>56</v>
      </c>
      <c r="C19" s="19"/>
      <c r="D19" s="20"/>
      <c r="E19" s="19"/>
      <c r="F19" s="19"/>
      <c r="G19" s="19"/>
      <c r="H19" s="20"/>
      <c r="I19" s="19"/>
      <c r="J19" s="107"/>
      <c r="K19" s="30"/>
      <c r="L19" s="110"/>
      <c r="M19" s="19"/>
      <c r="N19" s="20"/>
      <c r="O19" s="442">
        <f t="shared" ref="O19:O29" si="3">IF(I$120=0,0,(SUM(C19:E19,G19,I19:M19)-V19)/(SUM(C$110:E$110,G$110,I$110:M$110)-V$110)*I$120)</f>
        <v>0</v>
      </c>
      <c r="P19" s="441">
        <f>SUM(C19:O19)</f>
        <v>0</v>
      </c>
      <c r="Q19" s="52"/>
      <c r="R19" s="110"/>
      <c r="S19" s="19"/>
      <c r="T19" s="107"/>
      <c r="U19" s="53"/>
      <c r="V19" s="120"/>
      <c r="W19" s="480">
        <f t="shared" ref="W19:W29" si="4">SUM(R19:V19)</f>
        <v>0</v>
      </c>
      <c r="X19" s="59"/>
      <c r="Y19" s="1091">
        <f>P19-V19-(IF(AND(Motpart!$Y$10="",Motpart!$Z$10=""),0,IF(AND(Motpart!$Y$10=0,Motpart!$Z$10=0),0,((T19/$T$30)*(Motpart!$Y$10+Motpart!$Z$10)))))</f>
        <v>0</v>
      </c>
      <c r="Z19" s="1977"/>
      <c r="AA19" s="1978"/>
      <c r="AB19" s="1979"/>
      <c r="AC19" s="1980"/>
      <c r="AD19" s="1096"/>
      <c r="AE19" s="1095"/>
      <c r="AF19" s="1091">
        <f t="shared" si="0"/>
        <v>0</v>
      </c>
      <c r="AG19" s="1912">
        <f t="shared" si="1"/>
        <v>0</v>
      </c>
      <c r="AH19" s="2222">
        <f>W19-V19-(IF(AND(Motpart!$Y$10="",Motpart!$Z$10=""),0,IF(AND(Motpart!$Y$10=0,Motpart!$Z$10=0),0,((T19/$T$30)*(Motpart!$Y$10+Motpart!$Z$10)))))</f>
        <v>0</v>
      </c>
    </row>
    <row r="20" spans="1:34">
      <c r="A20" s="2548" t="s">
        <v>231</v>
      </c>
      <c r="B20" s="974" t="s">
        <v>57</v>
      </c>
      <c r="C20" s="19"/>
      <c r="D20" s="20"/>
      <c r="E20" s="19"/>
      <c r="F20" s="19"/>
      <c r="G20" s="19"/>
      <c r="H20" s="20"/>
      <c r="I20" s="19"/>
      <c r="J20" s="107"/>
      <c r="K20" s="30"/>
      <c r="L20" s="111"/>
      <c r="M20" s="22"/>
      <c r="N20" s="20"/>
      <c r="O20" s="442">
        <f t="shared" si="3"/>
        <v>0</v>
      </c>
      <c r="P20" s="441">
        <f t="shared" ref="P20:P29" si="5">SUM(C20:O20)</f>
        <v>0</v>
      </c>
      <c r="Q20" s="52"/>
      <c r="R20" s="111"/>
      <c r="S20" s="22"/>
      <c r="T20" s="108"/>
      <c r="U20" s="53"/>
      <c r="V20" s="121"/>
      <c r="W20" s="480">
        <f t="shared" si="4"/>
        <v>0</v>
      </c>
      <c r="X20" s="59"/>
      <c r="Y20" s="1125">
        <f>P20-V20-(IF(AND(Motpart!$Y$10="",Motpart!$Z$10=""),0,IF(AND(Motpart!$Y$10=0,Motpart!$Z$10=0),0,((T20/$T$30)*(Motpart!$Y$10+Motpart!$Z$10)))))</f>
        <v>0</v>
      </c>
      <c r="Z20" s="1977"/>
      <c r="AA20" s="1978"/>
      <c r="AB20" s="1979"/>
      <c r="AC20" s="1980"/>
      <c r="AD20" s="1085"/>
      <c r="AE20" s="1095"/>
      <c r="AF20" s="1091">
        <f t="shared" si="0"/>
        <v>0</v>
      </c>
      <c r="AG20" s="1912">
        <f t="shared" si="1"/>
        <v>0</v>
      </c>
      <c r="AH20" s="2222">
        <f>W20-V20-(IF(AND(Motpart!$Y$10="",Motpart!$Z$10=""),0,IF(AND(Motpart!$Y$10=0,Motpart!$Z$10=0),0,((T20/$T$30)*(Motpart!$Y$10+Motpart!$Z$10)))))</f>
        <v>0</v>
      </c>
    </row>
    <row r="21" spans="1:34">
      <c r="A21" s="2548" t="s">
        <v>896</v>
      </c>
      <c r="B21" s="974" t="s">
        <v>58</v>
      </c>
      <c r="C21" s="19"/>
      <c r="D21" s="20"/>
      <c r="E21" s="19"/>
      <c r="F21" s="19"/>
      <c r="G21" s="19"/>
      <c r="H21" s="20"/>
      <c r="I21" s="19"/>
      <c r="J21" s="107"/>
      <c r="K21" s="30"/>
      <c r="L21" s="111"/>
      <c r="M21" s="22"/>
      <c r="N21" s="20"/>
      <c r="O21" s="442">
        <f t="shared" si="3"/>
        <v>0</v>
      </c>
      <c r="P21" s="441">
        <f t="shared" si="5"/>
        <v>0</v>
      </c>
      <c r="Q21" s="52"/>
      <c r="R21" s="111"/>
      <c r="S21" s="22"/>
      <c r="T21" s="108"/>
      <c r="U21" s="53"/>
      <c r="V21" s="121"/>
      <c r="W21" s="480">
        <f t="shared" si="4"/>
        <v>0</v>
      </c>
      <c r="X21" s="59"/>
      <c r="Y21" s="1125">
        <f>P21-V21-(IF(AND(Motpart!$Y$10="",Motpart!$Z$10=""),0,IF(AND(Motpart!$Y$10=0,Motpart!$Z$10=0),0,((T21/$T$30)*(Motpart!$Y$10+Motpart!$Z$10)))))</f>
        <v>0</v>
      </c>
      <c r="Z21" s="1977"/>
      <c r="AA21" s="1978"/>
      <c r="AB21" s="1979"/>
      <c r="AC21" s="1980"/>
      <c r="AD21" s="1085"/>
      <c r="AE21" s="1095"/>
      <c r="AF21" s="1091">
        <f t="shared" si="0"/>
        <v>0</v>
      </c>
      <c r="AG21" s="1912">
        <f t="shared" si="1"/>
        <v>0</v>
      </c>
      <c r="AH21" s="2222">
        <f>W21-V21-(IF(AND(Motpart!$Y$10="",Motpart!$Z$10=""),0,IF(AND(Motpart!$Y$10=0,Motpart!$Z$10=0),0,((T21/$T$30)*(Motpart!$Y$10+Motpart!$Z$10)))))</f>
        <v>0</v>
      </c>
    </row>
    <row r="22" spans="1:34">
      <c r="A22" s="2548" t="s">
        <v>232</v>
      </c>
      <c r="B22" s="974" t="s">
        <v>59</v>
      </c>
      <c r="C22" s="19"/>
      <c r="D22" s="20"/>
      <c r="E22" s="19"/>
      <c r="F22" s="19"/>
      <c r="G22" s="19"/>
      <c r="H22" s="20"/>
      <c r="I22" s="19"/>
      <c r="J22" s="107"/>
      <c r="K22" s="30"/>
      <c r="L22" s="111"/>
      <c r="M22" s="22"/>
      <c r="N22" s="20"/>
      <c r="O22" s="442">
        <f t="shared" si="3"/>
        <v>0</v>
      </c>
      <c r="P22" s="441">
        <f t="shared" si="5"/>
        <v>0</v>
      </c>
      <c r="Q22" s="52"/>
      <c r="R22" s="111"/>
      <c r="S22" s="22"/>
      <c r="T22" s="108"/>
      <c r="U22" s="53"/>
      <c r="V22" s="121"/>
      <c r="W22" s="480">
        <f t="shared" si="4"/>
        <v>0</v>
      </c>
      <c r="X22" s="59"/>
      <c r="Y22" s="1125">
        <f>P22-V22-(IF(AND(Motpart!$Y$10="",Motpart!$Z$10=""),0,IF(AND(Motpart!$Y$10=0,Motpart!$Z$10=0),0,((T22/$T$30)*(Motpart!$Y$10+Motpart!$Z$10)))))</f>
        <v>0</v>
      </c>
      <c r="Z22" s="1981"/>
      <c r="AA22" s="1978"/>
      <c r="AB22" s="1979"/>
      <c r="AC22" s="1980"/>
      <c r="AD22" s="1089"/>
      <c r="AE22" s="1095"/>
      <c r="AF22" s="1091">
        <f t="shared" si="0"/>
        <v>0</v>
      </c>
      <c r="AG22" s="1912">
        <f t="shared" si="1"/>
        <v>0</v>
      </c>
      <c r="AH22" s="2222">
        <f>W22-V22-(IF(AND(Motpart!$Y$10="",Motpart!$Z$10=""),0,IF(AND(Motpart!$Y$10=0,Motpart!$Z$10=0),0,((T22/$T$30)*(Motpart!$Y$10+Motpart!$Z$10)))))</f>
        <v>0</v>
      </c>
    </row>
    <row r="23" spans="1:34">
      <c r="A23" s="2548" t="s">
        <v>233</v>
      </c>
      <c r="B23" s="982" t="s">
        <v>1080</v>
      </c>
      <c r="C23" s="19"/>
      <c r="D23" s="20"/>
      <c r="E23" s="19"/>
      <c r="F23" s="19"/>
      <c r="G23" s="19"/>
      <c r="H23" s="20"/>
      <c r="I23" s="19"/>
      <c r="J23" s="107"/>
      <c r="K23" s="30"/>
      <c r="L23" s="111"/>
      <c r="M23" s="22"/>
      <c r="N23" s="20"/>
      <c r="O23" s="442">
        <f t="shared" si="3"/>
        <v>0</v>
      </c>
      <c r="P23" s="441">
        <f t="shared" si="5"/>
        <v>0</v>
      </c>
      <c r="Q23" s="52"/>
      <c r="R23" s="111"/>
      <c r="S23" s="22"/>
      <c r="T23" s="108"/>
      <c r="U23" s="53"/>
      <c r="V23" s="121"/>
      <c r="W23" s="480">
        <f t="shared" si="4"/>
        <v>0</v>
      </c>
      <c r="X23" s="59"/>
      <c r="Y23" s="1125">
        <f>P23-V23-(IF(AND(Motpart!$Y$10="",Motpart!$Z$10=""),0,IF(AND(Motpart!$Y$10=0,Motpart!$Z$10=0),0,((T23/$T$30)*(Motpart!$Y$10+Motpart!$Z$10)))))</f>
        <v>0</v>
      </c>
      <c r="Z23" s="1981"/>
      <c r="AA23" s="1978"/>
      <c r="AB23" s="1979"/>
      <c r="AC23" s="1980"/>
      <c r="AD23" s="1089" t="str">
        <f>IF(P23=0,"Belopp saknas",IF(F23&lt;G23,"Kommentera köp av huvudverksamhet",IF(H23&lt;'Verks int o kostn'!I43+'Verks int o kostn'!I44,"Bidrag infrastr.saknas på rad 249","")))</f>
        <v>Belopp saknas</v>
      </c>
      <c r="AE23" s="1095"/>
      <c r="AF23" s="1091">
        <f t="shared" si="0"/>
        <v>0</v>
      </c>
      <c r="AG23" s="1912">
        <f t="shared" si="1"/>
        <v>0</v>
      </c>
      <c r="AH23" s="2222">
        <f>W23-V23-(IF(AND(Motpart!$Y$10="",Motpart!$Z$10=""),0,IF(AND(Motpart!$Y$10=0,Motpart!$Z$10=0),0,((T23/$T$30)*(Motpart!$Y$10+Motpart!$Z$10)))))</f>
        <v>0</v>
      </c>
    </row>
    <row r="24" spans="1:34">
      <c r="A24" s="2548" t="s">
        <v>234</v>
      </c>
      <c r="B24" s="974" t="s">
        <v>16</v>
      </c>
      <c r="C24" s="19"/>
      <c r="D24" s="20"/>
      <c r="E24" s="19"/>
      <c r="F24" s="19"/>
      <c r="G24" s="19"/>
      <c r="H24" s="20"/>
      <c r="I24" s="19"/>
      <c r="J24" s="107"/>
      <c r="K24" s="30"/>
      <c r="L24" s="111"/>
      <c r="M24" s="22"/>
      <c r="N24" s="20"/>
      <c r="O24" s="442">
        <f t="shared" si="3"/>
        <v>0</v>
      </c>
      <c r="P24" s="441">
        <f t="shared" si="5"/>
        <v>0</v>
      </c>
      <c r="Q24" s="52"/>
      <c r="R24" s="111"/>
      <c r="S24" s="22"/>
      <c r="T24" s="108"/>
      <c r="U24" s="53"/>
      <c r="V24" s="121"/>
      <c r="W24" s="480">
        <f t="shared" si="4"/>
        <v>0</v>
      </c>
      <c r="X24" s="59"/>
      <c r="Y24" s="1125">
        <f>P24-V24-(IF(AND(Motpart!$Y$10="",Motpart!$Z$10=""),0,IF(AND(Motpart!$Y$10=0,Motpart!$Z$10=0),0,((T24/$T$30)*(Motpart!$Y$10+Motpart!$Z$10)))))</f>
        <v>0</v>
      </c>
      <c r="Z24" s="1981"/>
      <c r="AA24" s="1978"/>
      <c r="AB24" s="1979"/>
      <c r="AC24" s="1980"/>
      <c r="AD24" s="1089" t="str">
        <f>IF(P24=0,"Belopp saknas","")</f>
        <v>Belopp saknas</v>
      </c>
      <c r="AE24" s="1095"/>
      <c r="AF24" s="1091">
        <f t="shared" si="0"/>
        <v>0</v>
      </c>
      <c r="AG24" s="1912">
        <f t="shared" si="1"/>
        <v>0</v>
      </c>
      <c r="AH24" s="2222">
        <f>W24-V24-(IF(AND(Motpart!$Y$10="",Motpart!$Z$10=""),0,IF(AND(Motpart!$Y$10=0,Motpart!$Z$10=0),0,((T24/$T$30)*(Motpart!$Y$10+Motpart!$Z$10)))))</f>
        <v>0</v>
      </c>
    </row>
    <row r="25" spans="1:34">
      <c r="A25" s="2548" t="s">
        <v>235</v>
      </c>
      <c r="B25" s="974" t="s">
        <v>61</v>
      </c>
      <c r="C25" s="19"/>
      <c r="D25" s="20"/>
      <c r="E25" s="19"/>
      <c r="F25" s="19"/>
      <c r="G25" s="19"/>
      <c r="H25" s="20"/>
      <c r="I25" s="19"/>
      <c r="J25" s="107"/>
      <c r="K25" s="30"/>
      <c r="L25" s="111"/>
      <c r="M25" s="22"/>
      <c r="N25" s="20"/>
      <c r="O25" s="442">
        <f t="shared" si="3"/>
        <v>0</v>
      </c>
      <c r="P25" s="441">
        <f t="shared" si="5"/>
        <v>0</v>
      </c>
      <c r="Q25" s="52"/>
      <c r="R25" s="111"/>
      <c r="S25" s="22"/>
      <c r="T25" s="108"/>
      <c r="U25" s="53"/>
      <c r="V25" s="121"/>
      <c r="W25" s="480">
        <f t="shared" si="4"/>
        <v>0</v>
      </c>
      <c r="X25" s="59"/>
      <c r="Y25" s="1125">
        <f>P25-V25-(IF(AND(Motpart!$Y$10="",Motpart!$Z$10=""),0,IF(AND(Motpart!$Y$10=0,Motpart!$Z$10=0),0,((T25/$T$30)*(Motpart!$Y$10+Motpart!$Z$10)))))</f>
        <v>0</v>
      </c>
      <c r="Z25" s="1959"/>
      <c r="AA25" s="1978"/>
      <c r="AB25" s="1979"/>
      <c r="AC25" s="1980"/>
      <c r="AD25" s="1096"/>
      <c r="AE25" s="1095"/>
      <c r="AF25" s="1091">
        <f t="shared" si="0"/>
        <v>0</v>
      </c>
      <c r="AG25" s="1912">
        <f t="shared" si="1"/>
        <v>0</v>
      </c>
      <c r="AH25" s="2222">
        <f>W25-V25-(IF(AND(Motpart!$Y$10="",Motpart!$Z$10=""),0,IF(AND(Motpart!$Y$10=0,Motpart!$Z$10=0),0,((T25/$T$30)*(Motpart!$Y$10+Motpart!$Z$10)))))</f>
        <v>0</v>
      </c>
    </row>
    <row r="26" spans="1:34">
      <c r="A26" s="2548" t="s">
        <v>236</v>
      </c>
      <c r="B26" s="974" t="s">
        <v>62</v>
      </c>
      <c r="C26" s="19"/>
      <c r="D26" s="20"/>
      <c r="E26" s="19"/>
      <c r="F26" s="19"/>
      <c r="G26" s="19"/>
      <c r="H26" s="20"/>
      <c r="I26" s="19"/>
      <c r="J26" s="107"/>
      <c r="K26" s="30"/>
      <c r="L26" s="111"/>
      <c r="M26" s="22"/>
      <c r="N26" s="20"/>
      <c r="O26" s="442">
        <f t="shared" si="3"/>
        <v>0</v>
      </c>
      <c r="P26" s="441">
        <f t="shared" si="5"/>
        <v>0</v>
      </c>
      <c r="Q26" s="52"/>
      <c r="R26" s="111"/>
      <c r="S26" s="22"/>
      <c r="T26" s="108"/>
      <c r="U26" s="53"/>
      <c r="V26" s="121"/>
      <c r="W26" s="480">
        <f t="shared" si="4"/>
        <v>0</v>
      </c>
      <c r="X26" s="59"/>
      <c r="Y26" s="1125">
        <f>P26-V26-(IF(AND(Motpart!$Y$10="",Motpart!$Z$10=""),0,IF(AND(Motpart!$Y$10=0,Motpart!$Z$10=0),0,((T26/$T$30)*(Motpart!$Y$10+Motpart!$Z$10)))))</f>
        <v>0</v>
      </c>
      <c r="Z26" s="1982"/>
      <c r="AA26" s="1964"/>
      <c r="AB26" s="1964"/>
      <c r="AC26" s="1965"/>
      <c r="AD26" s="1090"/>
      <c r="AE26" s="1095"/>
      <c r="AF26" s="1091">
        <f t="shared" si="0"/>
        <v>0</v>
      </c>
      <c r="AG26" s="1912">
        <f t="shared" si="1"/>
        <v>0</v>
      </c>
      <c r="AH26" s="2222">
        <f>W26-V26-(IF(AND(Motpart!$Y$10="",Motpart!$Z$10=""),0,IF(AND(Motpart!$Y$10=0,Motpart!$Z$10=0),0,((T26/$T$30)*(Motpart!$Y$10+Motpart!$Z$10)))))</f>
        <v>0</v>
      </c>
    </row>
    <row r="27" spans="1:34">
      <c r="A27" s="2548" t="s">
        <v>237</v>
      </c>
      <c r="B27" s="974" t="s">
        <v>63</v>
      </c>
      <c r="C27" s="19"/>
      <c r="D27" s="20"/>
      <c r="E27" s="19"/>
      <c r="F27" s="19"/>
      <c r="G27" s="19"/>
      <c r="H27" s="20"/>
      <c r="I27" s="19"/>
      <c r="J27" s="107"/>
      <c r="K27" s="30"/>
      <c r="L27" s="111"/>
      <c r="M27" s="22"/>
      <c r="N27" s="20"/>
      <c r="O27" s="442">
        <f t="shared" si="3"/>
        <v>0</v>
      </c>
      <c r="P27" s="441">
        <f t="shared" si="5"/>
        <v>0</v>
      </c>
      <c r="Q27" s="52"/>
      <c r="R27" s="111"/>
      <c r="S27" s="22"/>
      <c r="T27" s="108"/>
      <c r="U27" s="53"/>
      <c r="V27" s="121"/>
      <c r="W27" s="480">
        <f t="shared" si="4"/>
        <v>0</v>
      </c>
      <c r="X27" s="59"/>
      <c r="Y27" s="1125">
        <f>P27-V27-(IF(AND(Motpart!$Y$10="",Motpart!$Z$10=""),0,IF(AND(Motpart!$Y$10=0,Motpart!$Z$10=0),0,((T27/$T$30)*(Motpart!$Y$10+Motpart!$Z$10)))))</f>
        <v>0</v>
      </c>
      <c r="Z27" s="1963"/>
      <c r="AA27" s="1964"/>
      <c r="AB27" s="1964"/>
      <c r="AC27" s="1965"/>
      <c r="AD27" s="1090"/>
      <c r="AE27" s="1095"/>
      <c r="AF27" s="1091">
        <f t="shared" si="0"/>
        <v>0</v>
      </c>
      <c r="AG27" s="1912">
        <f t="shared" si="1"/>
        <v>0</v>
      </c>
      <c r="AH27" s="2222">
        <f>W27-V27-(IF(AND(Motpart!$Y$10="",Motpart!$Z$10=""),0,IF(AND(Motpart!$Y$10=0,Motpart!$Z$10=0),0,((T27/$T$30)*(Motpart!$Y$10+Motpart!$Z$10)))))</f>
        <v>0</v>
      </c>
    </row>
    <row r="28" spans="1:34">
      <c r="A28" s="2548" t="s">
        <v>238</v>
      </c>
      <c r="B28" s="974" t="s">
        <v>17</v>
      </c>
      <c r="C28" s="19"/>
      <c r="D28" s="20"/>
      <c r="E28" s="19"/>
      <c r="F28" s="19"/>
      <c r="G28" s="19"/>
      <c r="H28" s="20"/>
      <c r="I28" s="19"/>
      <c r="J28" s="107"/>
      <c r="K28" s="30"/>
      <c r="L28" s="111"/>
      <c r="M28" s="22"/>
      <c r="N28" s="20"/>
      <c r="O28" s="442">
        <f t="shared" si="3"/>
        <v>0</v>
      </c>
      <c r="P28" s="441">
        <f t="shared" si="5"/>
        <v>0</v>
      </c>
      <c r="Q28" s="52"/>
      <c r="R28" s="111"/>
      <c r="S28" s="22"/>
      <c r="T28" s="108"/>
      <c r="U28" s="53"/>
      <c r="V28" s="121"/>
      <c r="W28" s="480">
        <f t="shared" si="4"/>
        <v>0</v>
      </c>
      <c r="X28" s="59"/>
      <c r="Y28" s="1125">
        <f>P28-V28-(IF(AND(Motpart!$Y$10="",Motpart!$Z$10=""),0,IF(AND(Motpart!$Y$10=0,Motpart!$Z$10=0),0,((T28/$T$30)*(Motpart!$Y$10+Motpart!$Z$10)))))</f>
        <v>0</v>
      </c>
      <c r="Z28" s="1963"/>
      <c r="AA28" s="1964"/>
      <c r="AB28" s="1964"/>
      <c r="AC28" s="1965"/>
      <c r="AD28" s="1090" t="str">
        <f>IF(P28=0,"Belopp saknas","")</f>
        <v>Belopp saknas</v>
      </c>
      <c r="AE28" s="1095"/>
      <c r="AF28" s="1091">
        <f t="shared" si="0"/>
        <v>0</v>
      </c>
      <c r="AG28" s="1912">
        <f t="shared" si="1"/>
        <v>0</v>
      </c>
      <c r="AH28" s="2222">
        <f>W28-V28-(IF(AND(Motpart!$Y$10="",Motpart!$Z$10=""),0,IF(AND(Motpart!$Y$10=0,Motpart!$Z$10=0),0,((T28/$T$30)*(Motpart!$Y$10+Motpart!$Z$10)))))</f>
        <v>0</v>
      </c>
    </row>
    <row r="29" spans="1:34">
      <c r="A29" s="2548" t="s">
        <v>239</v>
      </c>
      <c r="B29" s="974" t="s">
        <v>64</v>
      </c>
      <c r="C29" s="19"/>
      <c r="D29" s="20"/>
      <c r="E29" s="19"/>
      <c r="F29" s="19"/>
      <c r="G29" s="19"/>
      <c r="H29" s="20"/>
      <c r="I29" s="19"/>
      <c r="J29" s="107"/>
      <c r="K29" s="30"/>
      <c r="L29" s="111"/>
      <c r="M29" s="22"/>
      <c r="N29" s="20"/>
      <c r="O29" s="442">
        <f t="shared" si="3"/>
        <v>0</v>
      </c>
      <c r="P29" s="441">
        <f t="shared" si="5"/>
        <v>0</v>
      </c>
      <c r="Q29" s="52"/>
      <c r="R29" s="111"/>
      <c r="S29" s="22"/>
      <c r="T29" s="108"/>
      <c r="U29" s="53"/>
      <c r="V29" s="121"/>
      <c r="W29" s="480">
        <f t="shared" si="4"/>
        <v>0</v>
      </c>
      <c r="X29" s="59"/>
      <c r="Y29" s="1125">
        <f>P29-V29-(IF(AND(Motpart!$Y$10="",Motpart!$Z$10=""),0,IF(AND(Motpart!$Y$10=0,Motpart!$Z$10=0),0,((T29/$T$30)*(Motpart!$Y$10+Motpart!$Z$10)))))</f>
        <v>0</v>
      </c>
      <c r="Z29" s="1974"/>
      <c r="AA29" s="1975"/>
      <c r="AB29" s="1975"/>
      <c r="AC29" s="1976"/>
      <c r="AD29" s="1097"/>
      <c r="AE29" s="1095"/>
      <c r="AF29" s="1091">
        <f t="shared" si="0"/>
        <v>0</v>
      </c>
      <c r="AG29" s="1912">
        <f t="shared" si="1"/>
        <v>0</v>
      </c>
      <c r="AH29" s="2222">
        <f>W29-V29-(IF(AND(Motpart!$Y$10="",Motpart!$Z$10=""),0,IF(AND(Motpart!$Y$10=0,Motpart!$Z$10=0),0,((T29/$T$30)*(Motpart!$Y$10+Motpart!$Z$10)))))</f>
        <v>0</v>
      </c>
    </row>
    <row r="30" spans="1:34" ht="12.75" customHeight="1" thickBot="1">
      <c r="A30" s="2561" t="s">
        <v>240</v>
      </c>
      <c r="B30" s="974" t="s">
        <v>65</v>
      </c>
      <c r="C30" s="434">
        <f t="shared" ref="C30:M30" si="6">SUM(C19:C29)</f>
        <v>0</v>
      </c>
      <c r="D30" s="25">
        <f t="shared" si="6"/>
        <v>0</v>
      </c>
      <c r="E30" s="25">
        <f t="shared" si="6"/>
        <v>0</v>
      </c>
      <c r="F30" s="445">
        <f t="shared" si="6"/>
        <v>0</v>
      </c>
      <c r="G30" s="446">
        <f t="shared" si="6"/>
        <v>0</v>
      </c>
      <c r="H30" s="447">
        <f t="shared" si="6"/>
        <v>0</v>
      </c>
      <c r="I30" s="434">
        <f t="shared" si="6"/>
        <v>0</v>
      </c>
      <c r="J30" s="112">
        <f t="shared" si="6"/>
        <v>0</v>
      </c>
      <c r="K30" s="157"/>
      <c r="L30" s="443">
        <f>SUM(L19:L29)</f>
        <v>0</v>
      </c>
      <c r="M30" s="434">
        <f t="shared" si="6"/>
        <v>0</v>
      </c>
      <c r="N30" s="25">
        <f t="shared" ref="N30:W30" si="7">SUM(N19:N29)</f>
        <v>0</v>
      </c>
      <c r="O30" s="25">
        <f t="shared" si="7"/>
        <v>0</v>
      </c>
      <c r="P30" s="112">
        <f t="shared" si="7"/>
        <v>0</v>
      </c>
      <c r="Q30" s="52"/>
      <c r="R30" s="443">
        <f t="shared" si="7"/>
        <v>0</v>
      </c>
      <c r="S30" s="434">
        <f t="shared" si="7"/>
        <v>0</v>
      </c>
      <c r="T30" s="112">
        <f t="shared" si="7"/>
        <v>0</v>
      </c>
      <c r="U30" s="52"/>
      <c r="V30" s="124">
        <f t="shared" si="7"/>
        <v>0</v>
      </c>
      <c r="W30" s="125">
        <f t="shared" si="7"/>
        <v>0</v>
      </c>
      <c r="X30" s="59"/>
      <c r="Y30" s="1984">
        <f>P30-V30-SUM(Motpart!Y10:Z10)</f>
        <v>0</v>
      </c>
      <c r="Z30" s="1092" t="e">
        <f>(P30-W30)*1000/invanare</f>
        <v>#DIV/0!</v>
      </c>
      <c r="AA30" s="1092" t="e">
        <f>Y30*1000/invanare</f>
        <v>#DIV/0!</v>
      </c>
      <c r="AB30" s="1092"/>
      <c r="AC30" s="1098" t="str">
        <f>IF(ISERROR((AA30-AB30)/AB30)," ",((AA30-AB30)/AB30))</f>
        <v xml:space="preserve"> </v>
      </c>
      <c r="AD30" s="1908" t="e">
        <f>IF(AA30="","Belopp saknas",IF(OR(AC30&gt;30%,AC30&lt;-15%),"Kommentera förändringen",""))</f>
        <v>#DIV/0!</v>
      </c>
      <c r="AE30" s="1917" t="str">
        <f>IF(ISERROR(F30/(AA30/1000*invanare)),"",(F30/(AA30/100000*invanare)))</f>
        <v/>
      </c>
      <c r="AF30" s="1091">
        <f t="shared" si="0"/>
        <v>0</v>
      </c>
      <c r="AG30" s="1915">
        <f t="shared" si="1"/>
        <v>0</v>
      </c>
      <c r="AH30" s="2224">
        <f>W30-V30-SUM(Motpart!Y10:Z10)</f>
        <v>0</v>
      </c>
    </row>
    <row r="31" spans="1:34" ht="37.5" customHeight="1" thickBot="1">
      <c r="A31" s="2557"/>
      <c r="B31" s="977" t="s">
        <v>66</v>
      </c>
      <c r="C31" s="1017"/>
      <c r="D31" s="1018"/>
      <c r="E31" s="1019"/>
      <c r="F31" s="1020"/>
      <c r="G31" s="1021"/>
      <c r="H31" s="1022"/>
      <c r="I31" s="1021"/>
      <c r="J31" s="1023"/>
      <c r="K31" s="30"/>
      <c r="L31" s="1048"/>
      <c r="M31" s="1021"/>
      <c r="N31" s="1018"/>
      <c r="O31" s="1018"/>
      <c r="P31" s="1023"/>
      <c r="Q31" s="53"/>
      <c r="R31" s="1048"/>
      <c r="S31" s="1021"/>
      <c r="T31" s="1023"/>
      <c r="U31" s="53"/>
      <c r="V31" s="1063"/>
      <c r="W31" s="1064"/>
      <c r="X31" s="30"/>
      <c r="Y31" s="1985" t="s">
        <v>1306</v>
      </c>
      <c r="Z31" s="3005"/>
      <c r="AA31" s="2977"/>
      <c r="AB31" s="2977"/>
      <c r="AC31" s="2978"/>
      <c r="AD31" s="1085"/>
      <c r="AE31" s="1095" t="str">
        <f>IF(ISERROR(F30/(AA30/1000*invanare)),"",(SUM(Motpart!D10,Motpart!F10)/(AA30/100000*invanare)))</f>
        <v/>
      </c>
      <c r="AF31" s="1808"/>
      <c r="AG31" s="1914"/>
      <c r="AH31" s="2225"/>
    </row>
    <row r="32" spans="1:34" ht="9" customHeight="1">
      <c r="A32" s="2563"/>
      <c r="B32" s="978" t="s">
        <v>67</v>
      </c>
      <c r="C32" s="1024"/>
      <c r="D32" s="1025"/>
      <c r="E32" s="1026"/>
      <c r="F32" s="1027"/>
      <c r="G32" s="1028"/>
      <c r="H32" s="1029"/>
      <c r="I32" s="1028"/>
      <c r="J32" s="1030"/>
      <c r="K32" s="30"/>
      <c r="L32" s="1049"/>
      <c r="M32" s="1028"/>
      <c r="N32" s="1025"/>
      <c r="O32" s="1025"/>
      <c r="P32" s="1030"/>
      <c r="Q32" s="53"/>
      <c r="R32" s="1049"/>
      <c r="S32" s="1028"/>
      <c r="T32" s="1030"/>
      <c r="U32" s="53"/>
      <c r="V32" s="1065"/>
      <c r="W32" s="1066"/>
      <c r="X32" s="30"/>
      <c r="Y32" s="1809"/>
      <c r="Z32" s="1077"/>
      <c r="AA32" s="1078"/>
      <c r="AB32" s="1079"/>
      <c r="AC32" s="1080"/>
      <c r="AD32" s="1085"/>
      <c r="AE32" s="1095"/>
      <c r="AF32" s="1809"/>
      <c r="AG32" s="1913"/>
      <c r="AH32" s="2226"/>
    </row>
    <row r="33" spans="1:34" ht="12" customHeight="1">
      <c r="A33" s="2548" t="s">
        <v>241</v>
      </c>
      <c r="B33" s="976" t="s">
        <v>68</v>
      </c>
      <c r="C33" s="19"/>
      <c r="D33" s="20"/>
      <c r="E33" s="554"/>
      <c r="F33" s="555"/>
      <c r="G33" s="19"/>
      <c r="H33" s="556"/>
      <c r="I33" s="19"/>
      <c r="J33" s="107"/>
      <c r="K33" s="30"/>
      <c r="L33" s="110"/>
      <c r="M33" s="19"/>
      <c r="N33" s="20"/>
      <c r="O33" s="442">
        <f>IF(I$120=0,0,(SUM(C33:E33,G33,I33:M33)-V33)/(SUM(C$110:E$110,G$110,I$110:M$110)-V$110)*I$120)</f>
        <v>0</v>
      </c>
      <c r="P33" s="441">
        <f>SUM(C33:O33)</f>
        <v>0</v>
      </c>
      <c r="Q33" s="52"/>
      <c r="R33" s="110"/>
      <c r="S33" s="19"/>
      <c r="T33" s="107"/>
      <c r="U33" s="53"/>
      <c r="V33" s="120"/>
      <c r="W33" s="480">
        <f>SUM(R33:V33)</f>
        <v>0</v>
      </c>
      <c r="X33" s="59"/>
      <c r="Y33" s="1091">
        <f>P33-V33-(IF(AND(Motpart!$Y$11="",Motpart!$Z$11=""),0,IF(AND(Motpart!$Y$11=0,Motpart!$Z$11=0),0,((T33/$T$37)*(Motpart!$Y$11+Motpart!$Z$11)))))</f>
        <v>0</v>
      </c>
      <c r="Z33" s="1077"/>
      <c r="AA33" s="1077"/>
      <c r="AB33" s="1077"/>
      <c r="AC33" s="1077"/>
      <c r="AD33" s="1090"/>
      <c r="AE33" s="1095"/>
      <c r="AF33" s="1091">
        <f>P33-W33</f>
        <v>0</v>
      </c>
      <c r="AG33" s="1912">
        <f t="shared" si="1"/>
        <v>0</v>
      </c>
      <c r="AH33" s="2222">
        <f>W33-V33-(IF(AND(Motpart!$Y$11="",Motpart!$Z$11=""),0,IF(AND(Motpart!$Y$11=0,Motpart!$Z$11=0),0,((T33/$T$37)*(Motpart!$Y$11+Motpart!$Z$11)))))</f>
        <v>0</v>
      </c>
    </row>
    <row r="34" spans="1:34">
      <c r="A34" s="2548" t="s">
        <v>242</v>
      </c>
      <c r="B34" s="974" t="s">
        <v>69</v>
      </c>
      <c r="C34" s="19"/>
      <c r="D34" s="20"/>
      <c r="E34" s="19"/>
      <c r="F34" s="19"/>
      <c r="G34" s="19"/>
      <c r="H34" s="23"/>
      <c r="I34" s="22"/>
      <c r="J34" s="108"/>
      <c r="K34" s="30"/>
      <c r="L34" s="111"/>
      <c r="M34" s="22"/>
      <c r="N34" s="20"/>
      <c r="O34" s="442">
        <f>IF(I$120=0,0,(SUM(C34:E34,G34,I34:M34)-V34)/(SUM(C$110:E$110,G$110,I$110:M$110)-V$110)*I$120)</f>
        <v>0</v>
      </c>
      <c r="P34" s="441">
        <f>SUM(C34:O34)</f>
        <v>0</v>
      </c>
      <c r="Q34" s="52"/>
      <c r="R34" s="111"/>
      <c r="S34" s="22"/>
      <c r="T34" s="108"/>
      <c r="U34" s="53"/>
      <c r="V34" s="121"/>
      <c r="W34" s="480">
        <f>SUM(R34:V34)</f>
        <v>0</v>
      </c>
      <c r="X34" s="59"/>
      <c r="Y34" s="1125">
        <f>P34-V34-(IF(AND(Motpart!$Y$11="",Motpart!$Z$11=""),0,IF(AND(Motpart!$Y$11=0,Motpart!$Z$11=0),0,((T34/$T$37)*(Motpart!$Y$11+Motpart!$Z$11)))))</f>
        <v>0</v>
      </c>
      <c r="Z34" s="1077"/>
      <c r="AA34" s="1077"/>
      <c r="AB34" s="1077"/>
      <c r="AC34" s="1077"/>
      <c r="AD34" s="1097"/>
      <c r="AE34" s="1095"/>
      <c r="AF34" s="1091">
        <f t="shared" ref="AF34:AF97" si="8">P34-W34</f>
        <v>0</v>
      </c>
      <c r="AG34" s="1912">
        <f t="shared" si="1"/>
        <v>0</v>
      </c>
      <c r="AH34" s="2222">
        <f>W34-V34-(IF(AND(Motpart!$Y$11="",Motpart!$Z$11=""),0,IF(AND(Motpart!$Y$11=0,Motpart!$Z$11=0),0,((T34/$T$37)*(Motpart!$Y$11+Motpart!$Z$11)))))</f>
        <v>0</v>
      </c>
    </row>
    <row r="35" spans="1:34">
      <c r="A35" s="2548" t="s">
        <v>243</v>
      </c>
      <c r="B35" s="974" t="s">
        <v>70</v>
      </c>
      <c r="C35" s="19"/>
      <c r="D35" s="20"/>
      <c r="E35" s="22"/>
      <c r="F35" s="22"/>
      <c r="G35" s="22"/>
      <c r="H35" s="23"/>
      <c r="I35" s="22"/>
      <c r="J35" s="108"/>
      <c r="K35" s="30"/>
      <c r="L35" s="111"/>
      <c r="M35" s="22"/>
      <c r="N35" s="20"/>
      <c r="O35" s="442">
        <f>IF(I$120=0,0,(SUM(C35:E35,G35,I35:M35)-V35)/(SUM(C$110:E$110,G$110,I$110:M$110)-V$110)*I$120)</f>
        <v>0</v>
      </c>
      <c r="P35" s="441">
        <f>SUM(C35:O35)</f>
        <v>0</v>
      </c>
      <c r="Q35" s="52"/>
      <c r="R35" s="111"/>
      <c r="S35" s="22"/>
      <c r="T35" s="108"/>
      <c r="U35" s="53"/>
      <c r="V35" s="121"/>
      <c r="W35" s="480">
        <f>SUM(R35:V35)</f>
        <v>0</v>
      </c>
      <c r="X35" s="59"/>
      <c r="Y35" s="1125">
        <f>P35-V35-(IF(AND(Motpart!$Y$11="",Motpart!$Z$11=""),0,IF(AND(Motpart!$Y$11=0,Motpart!$Z$11=0),0,((T35/$T$37)*(Motpart!$Y$11+Motpart!$Z$11)))))</f>
        <v>0</v>
      </c>
      <c r="Z35" s="1077"/>
      <c r="AA35" s="1077"/>
      <c r="AB35" s="1077"/>
      <c r="AC35" s="1077"/>
      <c r="AD35" s="1090"/>
      <c r="AE35" s="1095"/>
      <c r="AF35" s="1091">
        <f t="shared" si="8"/>
        <v>0</v>
      </c>
      <c r="AG35" s="1912">
        <f t="shared" si="1"/>
        <v>0</v>
      </c>
      <c r="AH35" s="2222">
        <f>W35-V35-(IF(AND(Motpart!$Y$11="",Motpart!$Z$11=""),0,IF(AND(Motpart!$Y$11=0,Motpart!$Z$11=0),0,((T35/$T$37)*(Motpart!$Y$11+Motpart!$Z$11)))))</f>
        <v>0</v>
      </c>
    </row>
    <row r="36" spans="1:34">
      <c r="A36" s="2548" t="s">
        <v>244</v>
      </c>
      <c r="B36" s="974" t="s">
        <v>71</v>
      </c>
      <c r="C36" s="19"/>
      <c r="D36" s="20"/>
      <c r="E36" s="22"/>
      <c r="F36" s="22"/>
      <c r="G36" s="22"/>
      <c r="H36" s="23"/>
      <c r="I36" s="22"/>
      <c r="J36" s="108"/>
      <c r="K36" s="30"/>
      <c r="L36" s="111"/>
      <c r="M36" s="22"/>
      <c r="N36" s="20"/>
      <c r="O36" s="442">
        <f>IF(I$120=0,0,(SUM(C36:E36,G36,I36:M36)-V36)/(SUM(C$110:E$110,G$110,I$110:M$110)-V$110)*I$120)</f>
        <v>0</v>
      </c>
      <c r="P36" s="441">
        <f>SUM(C36:O36)</f>
        <v>0</v>
      </c>
      <c r="Q36" s="52"/>
      <c r="R36" s="111"/>
      <c r="S36" s="22"/>
      <c r="T36" s="108"/>
      <c r="U36" s="53"/>
      <c r="V36" s="121"/>
      <c r="W36" s="480">
        <f>SUM(R36:V36)</f>
        <v>0</v>
      </c>
      <c r="X36" s="59"/>
      <c r="Y36" s="1125">
        <f>P36-V36-(IF(AND(Motpart!$Y$11="",Motpart!$Z$11=""),0,IF(AND(Motpart!$Y$11=0,Motpart!$Z$11=0),0,((T36/$T$37)*(Motpart!$Y$11+Motpart!$Z$11)))))</f>
        <v>0</v>
      </c>
      <c r="Z36" s="1100" t="e">
        <f>(P36-W36)*1000/invanare</f>
        <v>#DIV/0!</v>
      </c>
      <c r="AA36" s="1100" t="e">
        <f>Y36*1000/inv7_15</f>
        <v>#DIV/0!</v>
      </c>
      <c r="AB36" s="1100"/>
      <c r="AC36" s="1101" t="str">
        <f>IF(ISERROR((AA36-AB36)/AB36)," ",((AA36-AB36)/AB36))</f>
        <v xml:space="preserve"> </v>
      </c>
      <c r="AD36" s="1094" t="e">
        <f>IF(AND(AB36=0,AA36=0),"",IF(AA36="","Belopp saknas",IF(OR(AC36&gt;30%,AC36&lt;-10%),"Kommentera förändringen","")))</f>
        <v>#DIV/0!</v>
      </c>
      <c r="AE36" s="1095"/>
      <c r="AF36" s="1091">
        <f t="shared" si="8"/>
        <v>0</v>
      </c>
      <c r="AG36" s="1912">
        <f t="shared" si="1"/>
        <v>0</v>
      </c>
      <c r="AH36" s="2222">
        <f>W36-V36-(IF(AND(Motpart!$Y$11="",Motpart!$Z$11=""),0,IF(AND(Motpart!$Y$11=0,Motpart!$Z$11=0),0,((T36/$T$37)*(Motpart!$Y$11+Motpart!$Z$11)))))</f>
        <v>0</v>
      </c>
    </row>
    <row r="37" spans="1:34">
      <c r="A37" s="2548" t="s">
        <v>245</v>
      </c>
      <c r="B37" s="974" t="s">
        <v>72</v>
      </c>
      <c r="C37" s="434">
        <f t="shared" ref="C37:M37" si="9">SUM(C33:C36)</f>
        <v>0</v>
      </c>
      <c r="D37" s="25">
        <f t="shared" si="9"/>
        <v>0</v>
      </c>
      <c r="E37" s="434">
        <f t="shared" si="9"/>
        <v>0</v>
      </c>
      <c r="F37" s="434">
        <f t="shared" si="9"/>
        <v>0</v>
      </c>
      <c r="G37" s="434">
        <f t="shared" si="9"/>
        <v>0</v>
      </c>
      <c r="H37" s="25">
        <f t="shared" si="9"/>
        <v>0</v>
      </c>
      <c r="I37" s="434">
        <f t="shared" si="9"/>
        <v>0</v>
      </c>
      <c r="J37" s="112">
        <f t="shared" si="9"/>
        <v>0</v>
      </c>
      <c r="K37" s="157"/>
      <c r="L37" s="443">
        <f>SUM(L33:L36)</f>
        <v>0</v>
      </c>
      <c r="M37" s="434">
        <f t="shared" si="9"/>
        <v>0</v>
      </c>
      <c r="N37" s="25">
        <f t="shared" ref="N37:W37" si="10">SUM(N33:N36)</f>
        <v>0</v>
      </c>
      <c r="O37" s="25">
        <f t="shared" si="10"/>
        <v>0</v>
      </c>
      <c r="P37" s="112">
        <f t="shared" si="10"/>
        <v>0</v>
      </c>
      <c r="Q37" s="52"/>
      <c r="R37" s="443">
        <f t="shared" si="10"/>
        <v>0</v>
      </c>
      <c r="S37" s="434">
        <f t="shared" si="10"/>
        <v>0</v>
      </c>
      <c r="T37" s="112">
        <f t="shared" si="10"/>
        <v>0</v>
      </c>
      <c r="U37" s="52"/>
      <c r="V37" s="124">
        <f t="shared" si="10"/>
        <v>0</v>
      </c>
      <c r="W37" s="125">
        <f t="shared" si="10"/>
        <v>0</v>
      </c>
      <c r="X37" s="59"/>
      <c r="Y37" s="1091">
        <f>P37-V37-SUM(Motpart!Y11:Z11)</f>
        <v>0</v>
      </c>
      <c r="Z37" s="1102" t="e">
        <f>(P37-W37)*1000/invanare</f>
        <v>#DIV/0!</v>
      </c>
      <c r="AA37" s="1103" t="e">
        <f>Y37*1000/invanare</f>
        <v>#DIV/0!</v>
      </c>
      <c r="AB37" s="1103"/>
      <c r="AC37" s="1104" t="str">
        <f>IF(ISERROR((AA37-AB37)/AB37)," ",((AA37-AB37)/AB37))</f>
        <v xml:space="preserve"> </v>
      </c>
      <c r="AD37" s="1094" t="e">
        <f>IF(AA37="","Belopp saknas",IF(OR(AC37&gt;25%,AC37&lt;-15%),"Kommentera förändringen",""))</f>
        <v>#DIV/0!</v>
      </c>
      <c r="AE37" s="1095"/>
      <c r="AF37" s="1091">
        <f t="shared" si="8"/>
        <v>0</v>
      </c>
      <c r="AG37" s="1912">
        <f t="shared" si="1"/>
        <v>0</v>
      </c>
      <c r="AH37" s="2222">
        <f>W37-V37-SUM(Motpart!Y11:Z11)</f>
        <v>0</v>
      </c>
    </row>
    <row r="38" spans="1:34" ht="9" customHeight="1">
      <c r="A38" s="2563"/>
      <c r="B38" s="978" t="s">
        <v>73</v>
      </c>
      <c r="C38" s="1031"/>
      <c r="D38" s="1032"/>
      <c r="E38" s="1033"/>
      <c r="F38" s="1033"/>
      <c r="G38" s="1033"/>
      <c r="H38" s="1032"/>
      <c r="I38" s="1033"/>
      <c r="J38" s="1034"/>
      <c r="K38" s="30"/>
      <c r="L38" s="1050"/>
      <c r="M38" s="1033"/>
      <c r="N38" s="1032"/>
      <c r="O38" s="1032"/>
      <c r="P38" s="1034"/>
      <c r="Q38" s="53"/>
      <c r="R38" s="1050"/>
      <c r="S38" s="1033"/>
      <c r="T38" s="1034"/>
      <c r="U38" s="53"/>
      <c r="V38" s="1067"/>
      <c r="W38" s="1068"/>
      <c r="X38" s="30"/>
      <c r="Y38" s="1809"/>
      <c r="Z38" s="1077"/>
      <c r="AA38" s="1078"/>
      <c r="AB38" s="1079"/>
      <c r="AC38" s="1080"/>
      <c r="AD38" s="1085"/>
      <c r="AE38" s="1095"/>
      <c r="AF38" s="1091">
        <f t="shared" si="8"/>
        <v>0</v>
      </c>
      <c r="AG38" s="1912">
        <f t="shared" si="1"/>
        <v>0</v>
      </c>
      <c r="AH38" s="2222"/>
    </row>
    <row r="39" spans="1:34" ht="11.25" customHeight="1">
      <c r="A39" s="2548" t="s">
        <v>246</v>
      </c>
      <c r="B39" s="976" t="s">
        <v>74</v>
      </c>
      <c r="C39" s="19"/>
      <c r="D39" s="20"/>
      <c r="E39" s="19"/>
      <c r="F39" s="19"/>
      <c r="G39" s="19"/>
      <c r="H39" s="20"/>
      <c r="I39" s="19"/>
      <c r="J39" s="107"/>
      <c r="K39" s="30"/>
      <c r="L39" s="110"/>
      <c r="M39" s="19"/>
      <c r="N39" s="20"/>
      <c r="O39" s="442">
        <f>IF(I$120=0,0,(SUM(C39:E39,G39,I39:M39)-V39)/(SUM(C$110:E$110,G$110,I$110:M$110)-V$110)*I$120)</f>
        <v>0</v>
      </c>
      <c r="P39" s="441">
        <f>SUM(C39:O39)</f>
        <v>0</v>
      </c>
      <c r="Q39" s="52"/>
      <c r="R39" s="110"/>
      <c r="S39" s="19"/>
      <c r="T39" s="107"/>
      <c r="U39" s="53"/>
      <c r="V39" s="120"/>
      <c r="W39" s="480">
        <f>SUM(R39:V39)</f>
        <v>0</v>
      </c>
      <c r="X39" s="59"/>
      <c r="Y39" s="1125">
        <f>P39-V39-(IF(AND(Motpart!$Y$12="",Motpart!$Z$12=""),0,IF(AND(Motpart!$Y$12=0,Motpart!$Z$12=0),0,((T39/$T$42)*(Motpart!$Y$12+Motpart!$Z$12)))))</f>
        <v>0</v>
      </c>
      <c r="Z39" s="1987"/>
      <c r="AA39" s="1988"/>
      <c r="AB39" s="1988"/>
      <c r="AC39" s="1989"/>
      <c r="AD39" s="1097"/>
      <c r="AE39" s="1095"/>
      <c r="AF39" s="1091">
        <f t="shared" si="8"/>
        <v>0</v>
      </c>
      <c r="AG39" s="1912">
        <f t="shared" si="1"/>
        <v>0</v>
      </c>
      <c r="AH39" s="2222">
        <f>W39-V39-(IF(AND(Motpart!$Y$12="",Motpart!$Z$12=""),0,IF(AND(Motpart!$Y$12=0,Motpart!$Z$12=0),0,((T39/$T$42)*(Motpart!$Y$12+Motpart!$Z$12)))))</f>
        <v>0</v>
      </c>
    </row>
    <row r="40" spans="1:34">
      <c r="A40" s="2548" t="s">
        <v>247</v>
      </c>
      <c r="B40" s="974" t="s">
        <v>75</v>
      </c>
      <c r="C40" s="19"/>
      <c r="D40" s="20"/>
      <c r="E40" s="22"/>
      <c r="F40" s="22"/>
      <c r="G40" s="22"/>
      <c r="H40" s="23"/>
      <c r="I40" s="22"/>
      <c r="J40" s="108"/>
      <c r="K40" s="30"/>
      <c r="L40" s="111"/>
      <c r="M40" s="22"/>
      <c r="N40" s="20"/>
      <c r="O40" s="442">
        <f>IF(I$120=0,0,(SUM(C40:E40,G40,I40:M40)-V40)/(SUM(C$110:E$110,G$110,I$110:M$110)-V$110)*I$120)</f>
        <v>0</v>
      </c>
      <c r="P40" s="441">
        <f>SUM(C40:O40)</f>
        <v>0</v>
      </c>
      <c r="Q40" s="52"/>
      <c r="R40" s="111"/>
      <c r="S40" s="22"/>
      <c r="T40" s="108"/>
      <c r="U40" s="53"/>
      <c r="V40" s="121"/>
      <c r="W40" s="480">
        <f>SUM(R40:V40)</f>
        <v>0</v>
      </c>
      <c r="X40" s="59"/>
      <c r="Y40" s="1125">
        <f>P40-V40-(IF(AND(Motpart!$Y$12="",Motpart!$Z$12=""),0,IF(AND(Motpart!$Y$12=0,Motpart!$Z$12=0),0,((T40/$T$42)*(Motpart!$Y$12+Motpart!$Z$12)))))</f>
        <v>0</v>
      </c>
      <c r="Z40" s="1987"/>
      <c r="AA40" s="1988"/>
      <c r="AB40" s="1988"/>
      <c r="AC40" s="1989"/>
      <c r="AD40" s="1090"/>
      <c r="AE40" s="1095"/>
      <c r="AF40" s="1091">
        <f t="shared" si="8"/>
        <v>0</v>
      </c>
      <c r="AG40" s="1912">
        <f t="shared" si="1"/>
        <v>0</v>
      </c>
      <c r="AH40" s="2222">
        <f>W40-V40-(IF(AND(Motpart!$Y$12="",Motpart!$Z$12=""),0,IF(AND(Motpart!$Y$12=0,Motpart!$Z$12=0),0,((T40/$T$42)*(Motpart!$Y$12+Motpart!$Z$12)))))</f>
        <v>0</v>
      </c>
    </row>
    <row r="41" spans="1:34">
      <c r="A41" s="2548" t="s">
        <v>248</v>
      </c>
      <c r="B41" s="974" t="s">
        <v>76</v>
      </c>
      <c r="C41" s="19"/>
      <c r="D41" s="20"/>
      <c r="E41" s="22"/>
      <c r="F41" s="22"/>
      <c r="G41" s="22"/>
      <c r="H41" s="23"/>
      <c r="I41" s="22"/>
      <c r="J41" s="108"/>
      <c r="K41" s="30"/>
      <c r="L41" s="111"/>
      <c r="M41" s="22"/>
      <c r="N41" s="20"/>
      <c r="O41" s="442">
        <f>IF(I$120=0,0,(SUM(C41:E41,G41,I41:M41)-V41)/(SUM(C$110:E$110,G$110,I$110:M$110)-V$110)*I$120)</f>
        <v>0</v>
      </c>
      <c r="P41" s="441">
        <f>SUM(C41:O41)</f>
        <v>0</v>
      </c>
      <c r="Q41" s="52"/>
      <c r="R41" s="111"/>
      <c r="S41" s="22"/>
      <c r="T41" s="108"/>
      <c r="U41" s="53"/>
      <c r="V41" s="121"/>
      <c r="W41" s="480">
        <f>SUM(R41:V41)</f>
        <v>0</v>
      </c>
      <c r="X41" s="59"/>
      <c r="Y41" s="1125">
        <f>P41-V41-(IF(AND(Motpart!$Y$12="",Motpart!$Z$12=""),0,IF(AND(Motpart!$Y$12=0,Motpart!$Z$12=0),0,((T41/$T$42)*(Motpart!$Y$12+Motpart!$Z$12)))))</f>
        <v>0</v>
      </c>
      <c r="Z41" s="1987"/>
      <c r="AA41" s="1988"/>
      <c r="AB41" s="1988"/>
      <c r="AC41" s="1989"/>
      <c r="AD41" s="1097"/>
      <c r="AE41" s="1095"/>
      <c r="AF41" s="1091">
        <f t="shared" si="8"/>
        <v>0</v>
      </c>
      <c r="AG41" s="1912">
        <f t="shared" si="1"/>
        <v>0</v>
      </c>
      <c r="AH41" s="2222">
        <f>W41-V41-(IF(AND(Motpart!$Y$12="",Motpart!$Z$12=""),0,IF(AND(Motpart!$Y$12=0,Motpart!$Z$12=0),0,((T41/$T$42)*(Motpart!$Y$12+Motpart!$Z$12)))))</f>
        <v>0</v>
      </c>
    </row>
    <row r="42" spans="1:34">
      <c r="A42" s="2548" t="s">
        <v>249</v>
      </c>
      <c r="B42" s="974" t="s">
        <v>77</v>
      </c>
      <c r="C42" s="434">
        <f t="shared" ref="C42:W42" si="11">SUM(C39:C41)</f>
        <v>0</v>
      </c>
      <c r="D42" s="25">
        <f t="shared" si="11"/>
        <v>0</v>
      </c>
      <c r="E42" s="434">
        <f t="shared" si="11"/>
        <v>0</v>
      </c>
      <c r="F42" s="434">
        <f t="shared" si="11"/>
        <v>0</v>
      </c>
      <c r="G42" s="434">
        <f t="shared" si="11"/>
        <v>0</v>
      </c>
      <c r="H42" s="25">
        <f t="shared" si="11"/>
        <v>0</v>
      </c>
      <c r="I42" s="434">
        <f t="shared" si="11"/>
        <v>0</v>
      </c>
      <c r="J42" s="112">
        <f t="shared" si="11"/>
        <v>0</v>
      </c>
      <c r="K42" s="157"/>
      <c r="L42" s="443">
        <f>SUM(L39:L41)</f>
        <v>0</v>
      </c>
      <c r="M42" s="434">
        <f t="shared" si="11"/>
        <v>0</v>
      </c>
      <c r="N42" s="25">
        <f t="shared" si="11"/>
        <v>0</v>
      </c>
      <c r="O42" s="25">
        <f t="shared" si="11"/>
        <v>0</v>
      </c>
      <c r="P42" s="441">
        <f>SUM(C42:O42)</f>
        <v>0</v>
      </c>
      <c r="Q42" s="52"/>
      <c r="R42" s="443">
        <f t="shared" si="11"/>
        <v>0</v>
      </c>
      <c r="S42" s="434">
        <f t="shared" si="11"/>
        <v>0</v>
      </c>
      <c r="T42" s="112">
        <f t="shared" si="11"/>
        <v>0</v>
      </c>
      <c r="U42" s="52"/>
      <c r="V42" s="124">
        <f t="shared" si="11"/>
        <v>0</v>
      </c>
      <c r="W42" s="125">
        <f t="shared" si="11"/>
        <v>0</v>
      </c>
      <c r="X42" s="59"/>
      <c r="Y42" s="1091">
        <f>P42-V42-SUM(Motpart!Y12:Z12)</f>
        <v>0</v>
      </c>
      <c r="Z42" s="1102" t="e">
        <f>(P42-W42)*1000/invanare</f>
        <v>#DIV/0!</v>
      </c>
      <c r="AA42" s="1103" t="e">
        <f>Y42*1000/invanare</f>
        <v>#DIV/0!</v>
      </c>
      <c r="AB42" s="1103"/>
      <c r="AC42" s="1104" t="str">
        <f>IF(ISERROR((AA42-AB42)/AB42)," ",((AA42-AB42)/AB42))</f>
        <v xml:space="preserve"> </v>
      </c>
      <c r="AD42" s="1094" t="e">
        <f>IF(AA42="","Belopp saknas",IF(OR(AC42&gt;35%,AC42&lt;-15%),"Kommentera förändringen",IF(OR(AC42&gt;25%),"Kontrollera förändringen","")))</f>
        <v>#DIV/0!</v>
      </c>
      <c r="AE42" s="1095"/>
      <c r="AF42" s="1091">
        <f t="shared" si="8"/>
        <v>0</v>
      </c>
      <c r="AG42" s="1912">
        <f t="shared" si="1"/>
        <v>0</v>
      </c>
      <c r="AH42" s="2222">
        <f>W42-V42-SUM(Motpart!Y12:Z12)</f>
        <v>0</v>
      </c>
    </row>
    <row r="43" spans="1:34" ht="12.75" customHeight="1" thickBot="1">
      <c r="A43" s="2559" t="s">
        <v>250</v>
      </c>
      <c r="B43" s="979" t="s">
        <v>78</v>
      </c>
      <c r="C43" s="448">
        <f>SUM(C37,C42)</f>
        <v>0</v>
      </c>
      <c r="D43" s="449">
        <f t="shared" ref="D43:P43" si="12">SUM(D37,D42)</f>
        <v>0</v>
      </c>
      <c r="E43" s="448">
        <f t="shared" si="12"/>
        <v>0</v>
      </c>
      <c r="F43" s="448">
        <f t="shared" si="12"/>
        <v>0</v>
      </c>
      <c r="G43" s="448">
        <f t="shared" si="12"/>
        <v>0</v>
      </c>
      <c r="H43" s="449">
        <f t="shared" si="12"/>
        <v>0</v>
      </c>
      <c r="I43" s="448">
        <f t="shared" si="12"/>
        <v>0</v>
      </c>
      <c r="J43" s="450">
        <f t="shared" si="12"/>
        <v>0</v>
      </c>
      <c r="K43" s="157"/>
      <c r="L43" s="451">
        <f>SUM(L37,L42)</f>
        <v>0</v>
      </c>
      <c r="M43" s="448">
        <f t="shared" si="12"/>
        <v>0</v>
      </c>
      <c r="N43" s="449">
        <f t="shared" si="12"/>
        <v>0</v>
      </c>
      <c r="O43" s="449">
        <f t="shared" si="12"/>
        <v>0</v>
      </c>
      <c r="P43" s="450">
        <f t="shared" si="12"/>
        <v>0</v>
      </c>
      <c r="Q43" s="52"/>
      <c r="R43" s="451">
        <f>SUM(R37,R42)</f>
        <v>0</v>
      </c>
      <c r="S43" s="448">
        <f>SUM(S37,S42)</f>
        <v>0</v>
      </c>
      <c r="T43" s="450">
        <f>SUM(T37,T42)</f>
        <v>0</v>
      </c>
      <c r="U43" s="52"/>
      <c r="V43" s="482">
        <f>SUM(V37,V42)</f>
        <v>0</v>
      </c>
      <c r="W43" s="481">
        <f>SUM(W37,W42)</f>
        <v>0</v>
      </c>
      <c r="X43" s="59"/>
      <c r="Y43" s="1134">
        <f>Y37+Y42</f>
        <v>0</v>
      </c>
      <c r="Z43" s="1105"/>
      <c r="AA43" s="1106"/>
      <c r="AB43" s="1107"/>
      <c r="AC43" s="1108"/>
      <c r="AD43" s="1283"/>
      <c r="AE43" s="1918"/>
      <c r="AF43" s="1134">
        <f t="shared" si="8"/>
        <v>0</v>
      </c>
      <c r="AG43" s="1915">
        <f t="shared" si="1"/>
        <v>0</v>
      </c>
      <c r="AH43" s="2224">
        <f>AH37+AH42</f>
        <v>0</v>
      </c>
    </row>
    <row r="44" spans="1:34" ht="48" customHeight="1" thickBot="1">
      <c r="A44" s="2563"/>
      <c r="B44" s="980" t="s">
        <v>79</v>
      </c>
      <c r="C44" s="1110"/>
      <c r="D44" s="1111"/>
      <c r="E44" s="1112"/>
      <c r="F44" s="1112"/>
      <c r="G44" s="1112"/>
      <c r="H44" s="1111"/>
      <c r="I44" s="1112"/>
      <c r="J44" s="1113"/>
      <c r="K44" s="31"/>
      <c r="L44" s="584"/>
      <c r="M44" s="585"/>
      <c r="N44" s="578"/>
      <c r="O44" s="578"/>
      <c r="P44" s="580"/>
      <c r="Q44" s="224"/>
      <c r="R44" s="584"/>
      <c r="S44" s="579"/>
      <c r="T44" s="580"/>
      <c r="U44" s="224"/>
      <c r="V44" s="588"/>
      <c r="W44" s="589"/>
      <c r="X44" s="31"/>
      <c r="Y44" s="1985" t="s">
        <v>1307</v>
      </c>
      <c r="Z44" s="2976"/>
      <c r="AA44" s="2977"/>
      <c r="AB44" s="2977"/>
      <c r="AC44" s="2978"/>
      <c r="AD44" s="1085"/>
      <c r="AE44" s="1095"/>
      <c r="AF44" s="1924"/>
      <c r="AG44" s="1914"/>
      <c r="AH44" s="2225"/>
    </row>
    <row r="45" spans="1:34" ht="39.75" customHeight="1">
      <c r="A45" s="2564" t="s">
        <v>430</v>
      </c>
      <c r="B45" s="981" t="s">
        <v>630</v>
      </c>
      <c r="C45" s="1114"/>
      <c r="D45" s="1115"/>
      <c r="E45" s="1116"/>
      <c r="F45" s="1116"/>
      <c r="G45" s="1116"/>
      <c r="H45" s="1115"/>
      <c r="I45" s="1116"/>
      <c r="J45" s="1117"/>
      <c r="K45" s="31"/>
      <c r="L45" s="586"/>
      <c r="M45" s="587"/>
      <c r="N45" s="581"/>
      <c r="O45" s="581"/>
      <c r="P45" s="583"/>
      <c r="Q45" s="224"/>
      <c r="R45" s="586"/>
      <c r="S45" s="582"/>
      <c r="T45" s="583"/>
      <c r="U45" s="224"/>
      <c r="V45" s="590"/>
      <c r="W45" s="591"/>
      <c r="X45" s="31"/>
      <c r="Y45" s="2001"/>
      <c r="Z45" s="3006" t="s">
        <v>1310</v>
      </c>
      <c r="AA45" s="3007"/>
      <c r="AB45" s="2012"/>
      <c r="AC45" s="2013"/>
      <c r="AD45" s="1085"/>
      <c r="AE45" s="1095"/>
      <c r="AF45" s="1125"/>
      <c r="AG45" s="1913"/>
      <c r="AH45" s="2226"/>
    </row>
    <row r="46" spans="1:34">
      <c r="A46" s="2548" t="s">
        <v>251</v>
      </c>
      <c r="B46" s="976" t="s">
        <v>80</v>
      </c>
      <c r="C46" s="19"/>
      <c r="D46" s="20"/>
      <c r="E46" s="19"/>
      <c r="F46" s="19"/>
      <c r="G46" s="19"/>
      <c r="H46" s="20"/>
      <c r="I46" s="19"/>
      <c r="J46" s="107"/>
      <c r="K46" s="30"/>
      <c r="L46" s="110"/>
      <c r="M46" s="19"/>
      <c r="N46" s="20"/>
      <c r="O46" s="442">
        <f>IF(I$120=0,0,(SUM(C46:E46,G46,I46:M46)-V46)/(SUM(C$110:E$110,G$110,I$110:M$110)-V$110)*I$120)</f>
        <v>0</v>
      </c>
      <c r="P46" s="441">
        <f>SUM(C46:O46)</f>
        <v>0</v>
      </c>
      <c r="Q46" s="52"/>
      <c r="R46" s="110"/>
      <c r="S46" s="19"/>
      <c r="T46" s="107"/>
      <c r="U46" s="53"/>
      <c r="V46" s="120"/>
      <c r="W46" s="480">
        <f t="shared" ref="W46:W51" si="13">SUM(R46:V46)</f>
        <v>0</v>
      </c>
      <c r="X46" s="59"/>
      <c r="Y46" s="1091">
        <f>P46-V46-(IF(AND(Motpart!$Y$16="",Motpart!$Z$16=""),0,IF(AND(Motpart!$Y$16=0,Motpart!$Z$16=0),0,((T46/($T$46+$T$49))*(Motpart!$Y$16+Motpart!$Z$16)))))</f>
        <v>0</v>
      </c>
      <c r="Z46" s="1959"/>
      <c r="AA46" s="1978"/>
      <c r="AB46" s="1979"/>
      <c r="AC46" s="1980"/>
      <c r="AD46" s="1085"/>
      <c r="AE46" s="1095"/>
      <c r="AF46" s="1091">
        <f t="shared" si="8"/>
        <v>0</v>
      </c>
      <c r="AG46" s="1912">
        <f t="shared" si="1"/>
        <v>0</v>
      </c>
      <c r="AH46" s="2222">
        <f>W46-V46-(IF(AND(Motpart!$Y$16="",Motpart!$Z$16=""),0,IF(AND(Motpart!$Y$16=0,Motpart!$Z$16=0),0,((T46/($T$46+$T$49))*(Motpart!$Y$16+Motpart!$Z$16)))))</f>
        <v>0</v>
      </c>
    </row>
    <row r="47" spans="1:34">
      <c r="A47" s="2548" t="s">
        <v>252</v>
      </c>
      <c r="B47" s="974" t="s">
        <v>81</v>
      </c>
      <c r="C47" s="19"/>
      <c r="D47" s="20"/>
      <c r="E47" s="22"/>
      <c r="F47" s="22"/>
      <c r="G47" s="22"/>
      <c r="H47" s="23"/>
      <c r="I47" s="22"/>
      <c r="J47" s="108"/>
      <c r="K47" s="30"/>
      <c r="L47" s="111"/>
      <c r="M47" s="22"/>
      <c r="N47" s="20"/>
      <c r="O47" s="442">
        <f>IF(I$120=0,0,(SUM(C47:E47,G47,I47:M47)-V47)/(SUM(C$110:E$110,G$110,I$110:M$110)-V$110)*I$120)</f>
        <v>0</v>
      </c>
      <c r="P47" s="441">
        <f>SUM(C47:O47)</f>
        <v>0</v>
      </c>
      <c r="Q47" s="52"/>
      <c r="R47" s="2280"/>
      <c r="S47" s="2281"/>
      <c r="T47" s="243"/>
      <c r="U47" s="53"/>
      <c r="V47" s="121"/>
      <c r="W47" s="480">
        <f t="shared" si="13"/>
        <v>0</v>
      </c>
      <c r="X47" s="59"/>
      <c r="Y47" s="1091">
        <f>P47-V47-SUM(Motpart!Y13:Z13)</f>
        <v>0</v>
      </c>
      <c r="Z47" s="1982"/>
      <c r="AA47" s="1964"/>
      <c r="AB47" s="1964"/>
      <c r="AC47" s="1965"/>
      <c r="AD47" s="1097" t="str">
        <f>IF(H47&gt;F47,"Annan utförare:Köp av verks.i RS!","")</f>
        <v/>
      </c>
      <c r="AE47" s="1095"/>
      <c r="AF47" s="1091">
        <f t="shared" si="8"/>
        <v>0</v>
      </c>
      <c r="AG47" s="1912">
        <f t="shared" si="1"/>
        <v>0</v>
      </c>
      <c r="AH47" s="2222">
        <f>W47-V47-SUM(Motpart!Y13:Z13)</f>
        <v>0</v>
      </c>
    </row>
    <row r="48" spans="1:34">
      <c r="A48" s="2548" t="s">
        <v>253</v>
      </c>
      <c r="B48" s="974" t="s">
        <v>82</v>
      </c>
      <c r="C48" s="22"/>
      <c r="D48" s="20"/>
      <c r="E48" s="22"/>
      <c r="F48" s="22"/>
      <c r="G48" s="22"/>
      <c r="H48" s="23"/>
      <c r="I48" s="26"/>
      <c r="J48" s="108"/>
      <c r="K48" s="30"/>
      <c r="L48" s="111"/>
      <c r="M48" s="22"/>
      <c r="N48" s="20"/>
      <c r="O48" s="442">
        <f>IF(I$120=0,0,(SUM(C48:E48,G48,I48:M48)-V48)/(SUM(C$110:E$110,G$110,I$110:M$110)-V$110)*I$120)</f>
        <v>0</v>
      </c>
      <c r="P48" s="441">
        <f>SUM(C48:O48)</f>
        <v>0</v>
      </c>
      <c r="Q48" s="52"/>
      <c r="R48" s="2280"/>
      <c r="S48" s="2281"/>
      <c r="T48" s="243"/>
      <c r="U48" s="53"/>
      <c r="V48" s="121"/>
      <c r="W48" s="480">
        <f t="shared" si="13"/>
        <v>0</v>
      </c>
      <c r="X48" s="59"/>
      <c r="Y48" s="1125">
        <f>P48-V48-SUM(Motpart!Y14:Z14)</f>
        <v>0</v>
      </c>
      <c r="Z48" s="1963"/>
      <c r="AA48" s="1964"/>
      <c r="AB48" s="1964"/>
      <c r="AC48" s="1965"/>
      <c r="AD48" s="1097" t="str">
        <f>IF(AND(C48&gt;5000,R48&lt;50),"Kommentera Taxor o avgifter","")</f>
        <v/>
      </c>
      <c r="AE48" s="1118" t="e">
        <f>(SUM(I51:L51))*1000/invanare</f>
        <v>#DIV/0!</v>
      </c>
      <c r="AF48" s="1091">
        <f t="shared" si="8"/>
        <v>0</v>
      </c>
      <c r="AG48" s="1912">
        <f t="shared" si="1"/>
        <v>0</v>
      </c>
      <c r="AH48" s="2222">
        <f>W48-V48-SUM(Motpart!Y14:Z14)</f>
        <v>0</v>
      </c>
    </row>
    <row r="49" spans="1:34">
      <c r="A49" s="2548" t="s">
        <v>254</v>
      </c>
      <c r="B49" s="976" t="s">
        <v>83</v>
      </c>
      <c r="C49" s="19"/>
      <c r="D49" s="20"/>
      <c r="E49" s="19"/>
      <c r="F49" s="19"/>
      <c r="G49" s="19"/>
      <c r="H49" s="20"/>
      <c r="I49" s="19"/>
      <c r="J49" s="107"/>
      <c r="K49" s="30"/>
      <c r="L49" s="110"/>
      <c r="M49" s="19"/>
      <c r="N49" s="20"/>
      <c r="O49" s="442">
        <f>IF(I$120=0,0,(SUM(C49:E49,G49,I49:M49)-V49)/(SUM(C$110:E$110,G$110,I$110:M$110)-V$110)*I$120)</f>
        <v>0</v>
      </c>
      <c r="P49" s="441">
        <f>SUM(C49:O49)</f>
        <v>0</v>
      </c>
      <c r="Q49" s="52"/>
      <c r="R49" s="2282"/>
      <c r="S49" s="2283"/>
      <c r="T49" s="246"/>
      <c r="U49" s="53"/>
      <c r="V49" s="120"/>
      <c r="W49" s="480">
        <f t="shared" si="13"/>
        <v>0</v>
      </c>
      <c r="X49" s="59"/>
      <c r="Y49" s="1125">
        <f>P49-V49-(IF(AND(Motpart!$Y$16="",Motpart!$Z$16=""),0,IF(AND(Motpart!$Y$16=0,Motpart!$Z$16=0),0,((T49/($T$49+$T$46))*(Motpart!$Y$16+Motpart!$Z$16)))))</f>
        <v>0</v>
      </c>
      <c r="Z49" s="1963"/>
      <c r="AA49" s="1964"/>
      <c r="AB49" s="1964"/>
      <c r="AC49" s="1965"/>
      <c r="AD49" s="1097"/>
      <c r="AE49" s="1118" t="e">
        <f>(R51)*1000/invanare</f>
        <v>#DIV/0!</v>
      </c>
      <c r="AF49" s="1091">
        <f t="shared" si="8"/>
        <v>0</v>
      </c>
      <c r="AG49" s="1912">
        <f t="shared" si="1"/>
        <v>0</v>
      </c>
      <c r="AH49" s="2222">
        <f>W49-V49-(IF(AND(Motpart!$Y$16="",Motpart!$Z$16=""),0,IF(AND(Motpart!$Y$16=0,Motpart!$Z$16=0),0,((T49/($T$49+$T$46))*(Motpart!$Y$16+Motpart!$Z$16)))))</f>
        <v>0</v>
      </c>
    </row>
    <row r="50" spans="1:34">
      <c r="A50" s="2548" t="s">
        <v>255</v>
      </c>
      <c r="B50" s="974" t="s">
        <v>84</v>
      </c>
      <c r="C50" s="19"/>
      <c r="D50" s="20"/>
      <c r="E50" s="22"/>
      <c r="F50" s="22"/>
      <c r="G50" s="22"/>
      <c r="H50" s="23"/>
      <c r="I50" s="26"/>
      <c r="J50" s="108"/>
      <c r="K50" s="30"/>
      <c r="L50" s="111"/>
      <c r="M50" s="22"/>
      <c r="N50" s="20"/>
      <c r="O50" s="442">
        <f>IF(I$120=0,0,(SUM(C50:E50,G50,I50:M50)-V50)/(SUM(C$110:E$110,G$110,I$110:M$110)-V$110)*I$120)</f>
        <v>0</v>
      </c>
      <c r="P50" s="441">
        <f>SUM(C50:O50)</f>
        <v>0</v>
      </c>
      <c r="Q50" s="52"/>
      <c r="R50" s="2280"/>
      <c r="S50" s="2281"/>
      <c r="T50" s="243"/>
      <c r="U50" s="53"/>
      <c r="V50" s="121"/>
      <c r="W50" s="480">
        <f t="shared" si="13"/>
        <v>0</v>
      </c>
      <c r="X50" s="59"/>
      <c r="Y50" s="1125">
        <f>P50-V50-SUM(Motpart!Y15:Z15)</f>
        <v>0</v>
      </c>
      <c r="Z50" s="1963"/>
      <c r="AA50" s="1964"/>
      <c r="AB50" s="1964"/>
      <c r="AC50" s="1965"/>
      <c r="AD50" s="1525"/>
      <c r="AE50" s="1095"/>
      <c r="AF50" s="1091">
        <f t="shared" si="8"/>
        <v>0</v>
      </c>
      <c r="AG50" s="1912">
        <f t="shared" si="1"/>
        <v>0</v>
      </c>
      <c r="AH50" s="2222">
        <f>W50-V50-SUM(Motpart!Y15:Z15)</f>
        <v>0</v>
      </c>
    </row>
    <row r="51" spans="1:34" ht="13" thickBot="1">
      <c r="A51" s="2548" t="s">
        <v>256</v>
      </c>
      <c r="B51" s="982" t="s">
        <v>1736</v>
      </c>
      <c r="C51" s="434">
        <f t="shared" ref="C51:M51" si="14">SUM(C46:C50)</f>
        <v>0</v>
      </c>
      <c r="D51" s="25">
        <f t="shared" si="14"/>
        <v>0</v>
      </c>
      <c r="E51" s="434">
        <f t="shared" si="14"/>
        <v>0</v>
      </c>
      <c r="F51" s="434">
        <f t="shared" si="14"/>
        <v>0</v>
      </c>
      <c r="G51" s="434">
        <f t="shared" si="14"/>
        <v>0</v>
      </c>
      <c r="H51" s="25">
        <f t="shared" si="14"/>
        <v>0</v>
      </c>
      <c r="I51" s="434">
        <f t="shared" si="14"/>
        <v>0</v>
      </c>
      <c r="J51" s="112">
        <f t="shared" si="14"/>
        <v>0</v>
      </c>
      <c r="K51" s="157"/>
      <c r="L51" s="443">
        <f>SUM(L46:L50)</f>
        <v>0</v>
      </c>
      <c r="M51" s="434">
        <f t="shared" si="14"/>
        <v>0</v>
      </c>
      <c r="N51" s="25">
        <f t="shared" ref="N51:V51" si="15">SUM(N46:N50)</f>
        <v>0</v>
      </c>
      <c r="O51" s="25">
        <f t="shared" si="15"/>
        <v>0</v>
      </c>
      <c r="P51" s="112">
        <f t="shared" si="15"/>
        <v>0</v>
      </c>
      <c r="Q51" s="52"/>
      <c r="R51" s="443">
        <f t="shared" si="15"/>
        <v>0</v>
      </c>
      <c r="S51" s="434">
        <f t="shared" si="15"/>
        <v>0</v>
      </c>
      <c r="T51" s="112">
        <f>SUM(T46:T50)</f>
        <v>0</v>
      </c>
      <c r="U51" s="52"/>
      <c r="V51" s="124">
        <f t="shared" si="15"/>
        <v>0</v>
      </c>
      <c r="W51" s="480">
        <f t="shared" si="13"/>
        <v>0</v>
      </c>
      <c r="X51" s="59"/>
      <c r="Y51" s="1091">
        <f>P51-V51-SUM(Motpart!Y13:Z16)</f>
        <v>0</v>
      </c>
      <c r="Z51" s="2005" t="e">
        <f>(P51-W51)*1000/invanare</f>
        <v>#DIV/0!</v>
      </c>
      <c r="AA51" s="2006" t="e">
        <f>Y51*1000/invanare</f>
        <v>#DIV/0!</v>
      </c>
      <c r="AB51" s="2006"/>
      <c r="AC51" s="2007" t="str">
        <f>IF(ISERROR((AA51-AB51)/AB51)," ",((AA51-AB51)/AB51))</f>
        <v xml:space="preserve"> </v>
      </c>
      <c r="AD51" s="1094" t="e">
        <f>IF(AA51="","Belopp saknas",IF(T51-SUM(Motpart!Y13:Z16,Motpart!AB13:AC16)&lt;SUM(AB45:AC45),"Är alla riktade statsbidrag för förskola med i kol T?",IF(OR(AC51&gt;20%,AC51&lt;-5%),"Kommentera förändringen","")))</f>
        <v>#DIV/0!</v>
      </c>
      <c r="AE51" s="1099" t="str">
        <f>IF(ISERROR(F51/(AA51/1000*invanare)),"",(F51/(AA51/100000*invanare)))</f>
        <v/>
      </c>
      <c r="AF51" s="1091">
        <f t="shared" si="8"/>
        <v>0</v>
      </c>
      <c r="AG51" s="1912">
        <f t="shared" si="1"/>
        <v>0</v>
      </c>
      <c r="AH51" s="2222">
        <f>W51-V51-SUM(Motpart!Y13:Z16)</f>
        <v>0</v>
      </c>
    </row>
    <row r="52" spans="1:34" ht="44.25" customHeight="1" thickBot="1">
      <c r="A52" s="2565"/>
      <c r="B52" s="980" t="s">
        <v>85</v>
      </c>
      <c r="C52" s="577"/>
      <c r="D52" s="576"/>
      <c r="E52" s="574"/>
      <c r="F52" s="574"/>
      <c r="G52" s="574"/>
      <c r="H52" s="576"/>
      <c r="I52" s="574"/>
      <c r="J52" s="575"/>
      <c r="K52" s="30"/>
      <c r="L52" s="573"/>
      <c r="M52" s="574"/>
      <c r="N52" s="576"/>
      <c r="O52" s="592"/>
      <c r="P52" s="575"/>
      <c r="Q52" s="53"/>
      <c r="R52" s="573"/>
      <c r="S52" s="574"/>
      <c r="T52" s="575"/>
      <c r="U52" s="53"/>
      <c r="V52" s="571"/>
      <c r="W52" s="572"/>
      <c r="X52" s="30"/>
      <c r="Y52" s="1985" t="s">
        <v>705</v>
      </c>
      <c r="Z52" s="2976"/>
      <c r="AA52" s="2977"/>
      <c r="AB52" s="2977"/>
      <c r="AC52" s="2978"/>
      <c r="AD52" s="1119"/>
      <c r="AE52" s="1095" t="str">
        <f>IF(ISERROR(F51/(AA51/1000*invanare)),"",(SUM(Motpart!D13:D16,Motpart!F13:F16)/(AA51/100000*invanare)))</f>
        <v/>
      </c>
      <c r="AF52" s="1810"/>
      <c r="AG52" s="1916"/>
      <c r="AH52" s="2227"/>
    </row>
    <row r="53" spans="1:34">
      <c r="A53" s="2548" t="s">
        <v>437</v>
      </c>
      <c r="B53" s="966" t="s">
        <v>527</v>
      </c>
      <c r="C53" s="19"/>
      <c r="D53" s="20"/>
      <c r="E53" s="19"/>
      <c r="F53" s="19"/>
      <c r="G53" s="19"/>
      <c r="H53" s="20"/>
      <c r="I53" s="19"/>
      <c r="J53" s="107"/>
      <c r="K53" s="30"/>
      <c r="L53" s="110"/>
      <c r="M53" s="19"/>
      <c r="N53" s="20"/>
      <c r="O53" s="442">
        <f>IF(I$120=0,0,(SUM(C53:E53,G53,I53:M53)-V53)/(SUM(C$110:E$110,G$110,I$110:M$110)-V$110)*I$120)</f>
        <v>0</v>
      </c>
      <c r="P53" s="441">
        <f>SUM(C53:O53)</f>
        <v>0</v>
      </c>
      <c r="Q53" s="52"/>
      <c r="R53" s="110"/>
      <c r="S53" s="19"/>
      <c r="T53" s="107"/>
      <c r="U53" s="53"/>
      <c r="V53" s="120"/>
      <c r="W53" s="480">
        <f>SUM(R53:V53)</f>
        <v>0</v>
      </c>
      <c r="X53" s="59"/>
      <c r="Y53" s="1811">
        <f>P53-V53-SUM(Motpart!Y17:Z17)</f>
        <v>0</v>
      </c>
      <c r="Z53" s="2301"/>
      <c r="AA53" s="2302"/>
      <c r="AB53" s="2303"/>
      <c r="AC53" s="2304"/>
      <c r="AD53" s="1096" t="str">
        <f>IF(R53&gt;100,"Varför avgifter?","")</f>
        <v/>
      </c>
      <c r="AE53" s="1095"/>
      <c r="AF53" s="1125">
        <f t="shared" si="8"/>
        <v>0</v>
      </c>
      <c r="AG53" s="1913">
        <f t="shared" si="1"/>
        <v>0</v>
      </c>
      <c r="AH53" s="2226">
        <f>W53-V53-SUM(Motpart!Y17:Z17)</f>
        <v>0</v>
      </c>
    </row>
    <row r="54" spans="1:34">
      <c r="A54" s="2548" t="s">
        <v>526</v>
      </c>
      <c r="B54" s="964" t="s">
        <v>419</v>
      </c>
      <c r="C54" s="19"/>
      <c r="D54" s="20"/>
      <c r="E54" s="22"/>
      <c r="F54" s="22"/>
      <c r="G54" s="22"/>
      <c r="H54" s="23"/>
      <c r="I54" s="22"/>
      <c r="J54" s="108"/>
      <c r="K54" s="30"/>
      <c r="L54" s="111"/>
      <c r="M54" s="22"/>
      <c r="N54" s="20"/>
      <c r="O54" s="442">
        <f>IF(I$120=0,0,(SUM(C54:E54,G54,I54:M54)-V54)/(SUM(C$110:E$110,G$110,I$110:M$110)-V$110)*I$120)</f>
        <v>0</v>
      </c>
      <c r="P54" s="441">
        <f>SUM(C54:O54)</f>
        <v>0</v>
      </c>
      <c r="Q54" s="52"/>
      <c r="R54" s="111"/>
      <c r="S54" s="22"/>
      <c r="T54" s="108"/>
      <c r="U54" s="53"/>
      <c r="V54" s="121"/>
      <c r="W54" s="480">
        <f>SUM(R54:V54)</f>
        <v>0</v>
      </c>
      <c r="X54" s="59"/>
      <c r="Y54" s="1811">
        <f>P54-V54-SUM(Motpart!Y18:Z18)</f>
        <v>0</v>
      </c>
      <c r="Z54" s="2002"/>
      <c r="AA54" s="2003"/>
      <c r="AB54" s="2305"/>
      <c r="AC54" s="1962"/>
      <c r="AD54" s="1085"/>
      <c r="AE54" s="1095"/>
      <c r="AF54" s="1091">
        <f t="shared" si="8"/>
        <v>0</v>
      </c>
      <c r="AG54" s="1912">
        <f t="shared" si="1"/>
        <v>0</v>
      </c>
      <c r="AH54" s="2226">
        <f>W54-V54-SUM(Motpart!Y18:Z18)</f>
        <v>0</v>
      </c>
    </row>
    <row r="55" spans="1:34">
      <c r="A55" s="2548" t="s">
        <v>257</v>
      </c>
      <c r="B55" s="974" t="s">
        <v>1744</v>
      </c>
      <c r="C55" s="19"/>
      <c r="D55" s="20"/>
      <c r="E55" s="22"/>
      <c r="F55" s="22"/>
      <c r="G55" s="22"/>
      <c r="H55" s="23"/>
      <c r="I55" s="22"/>
      <c r="J55" s="108"/>
      <c r="K55" s="30"/>
      <c r="L55" s="111"/>
      <c r="M55" s="22"/>
      <c r="N55" s="20"/>
      <c r="O55" s="442">
        <f>IF(I$120=0,0,(SUM(C55:E55,G55,I55:M55)-V55)/(SUM(C$110:E$110,G$110,I$110:M$110)-V$110)*I$120)</f>
        <v>0</v>
      </c>
      <c r="P55" s="441">
        <f>SUM(C55:O55)</f>
        <v>0</v>
      </c>
      <c r="Q55" s="52"/>
      <c r="R55" s="111"/>
      <c r="S55" s="22"/>
      <c r="T55" s="108"/>
      <c r="U55" s="53"/>
      <c r="V55" s="121"/>
      <c r="W55" s="480">
        <f>SUM(R55:V55)</f>
        <v>0</v>
      </c>
      <c r="X55" s="59"/>
      <c r="Y55" s="1811">
        <f>P55-V55-SUM(Motpart!Y19:Z19)</f>
        <v>0</v>
      </c>
      <c r="Z55" s="2002"/>
      <c r="AA55" s="2003"/>
      <c r="AB55" s="2305"/>
      <c r="AC55" s="1962"/>
      <c r="AD55" s="1085"/>
      <c r="AE55" s="1095"/>
      <c r="AF55" s="1091">
        <f t="shared" si="8"/>
        <v>0</v>
      </c>
      <c r="AG55" s="1912">
        <f t="shared" si="1"/>
        <v>0</v>
      </c>
      <c r="AH55" s="2226">
        <f>W55-V55-SUM(Motpart!Y19:Z19)</f>
        <v>0</v>
      </c>
    </row>
    <row r="56" spans="1:34">
      <c r="A56" s="2548" t="s">
        <v>258</v>
      </c>
      <c r="B56" s="974" t="s">
        <v>86</v>
      </c>
      <c r="C56" s="19"/>
      <c r="D56" s="20"/>
      <c r="E56" s="22"/>
      <c r="F56" s="22"/>
      <c r="G56" s="22"/>
      <c r="H56" s="23"/>
      <c r="I56" s="22"/>
      <c r="J56" s="108"/>
      <c r="K56" s="30"/>
      <c r="L56" s="111"/>
      <c r="M56" s="22"/>
      <c r="N56" s="20"/>
      <c r="O56" s="442">
        <f>IF(I$120=0,0,(SUM(C56:E56,G56,I56:M56)-V56)/(SUM(C$110:E$110,G$110,I$110:M$110)-V$110)*I$120)</f>
        <v>0</v>
      </c>
      <c r="P56" s="441">
        <f>SUM(C56:O56)</f>
        <v>0</v>
      </c>
      <c r="Q56" s="52"/>
      <c r="R56" s="111"/>
      <c r="S56" s="22"/>
      <c r="T56" s="108"/>
      <c r="U56" s="53"/>
      <c r="V56" s="121"/>
      <c r="W56" s="480">
        <f>SUM(R56:V56)</f>
        <v>0</v>
      </c>
      <c r="X56" s="59"/>
      <c r="Y56" s="1811">
        <f>P56-V56-SUM(Motpart!Y20:Z20)</f>
        <v>0</v>
      </c>
      <c r="Z56" s="1577"/>
      <c r="AA56" s="2004"/>
      <c r="AB56" s="868"/>
      <c r="AC56" s="1962"/>
      <c r="AD56" s="1085"/>
      <c r="AE56" s="1095"/>
      <c r="AF56" s="1091">
        <f t="shared" si="8"/>
        <v>0</v>
      </c>
      <c r="AG56" s="1912">
        <f t="shared" si="1"/>
        <v>0</v>
      </c>
      <c r="AH56" s="2226">
        <f>W56-V56-SUM(Motpart!Y20:Z20)</f>
        <v>0</v>
      </c>
    </row>
    <row r="57" spans="1:34">
      <c r="A57" s="2548" t="s">
        <v>259</v>
      </c>
      <c r="B57" s="974" t="s">
        <v>1745</v>
      </c>
      <c r="C57" s="19"/>
      <c r="D57" s="20"/>
      <c r="E57" s="22"/>
      <c r="F57" s="22"/>
      <c r="G57" s="22"/>
      <c r="H57" s="23"/>
      <c r="I57" s="22"/>
      <c r="J57" s="108"/>
      <c r="K57" s="30"/>
      <c r="L57" s="111"/>
      <c r="M57" s="22"/>
      <c r="N57" s="20"/>
      <c r="O57" s="442">
        <f>IF(I$120=0,0,(SUM(C57:E57,G57,I57:M57)-V57)/(SUM(C$110:E$110,G$110,I$110:M$110)-V$110)*I$120)</f>
        <v>0</v>
      </c>
      <c r="P57" s="441">
        <f>SUM(C57:O57)</f>
        <v>0</v>
      </c>
      <c r="Q57" s="52"/>
      <c r="R57" s="111"/>
      <c r="S57" s="22"/>
      <c r="T57" s="108"/>
      <c r="U57" s="53"/>
      <c r="V57" s="121"/>
      <c r="W57" s="480">
        <f>SUM(R57:V57)</f>
        <v>0</v>
      </c>
      <c r="X57" s="59"/>
      <c r="Y57" s="1125">
        <f>P57-V57-SUM(Motpart!Y21:Z21)</f>
        <v>0</v>
      </c>
      <c r="Z57" s="1577"/>
      <c r="AA57" s="1960"/>
      <c r="AB57" s="868"/>
      <c r="AC57" s="1962"/>
      <c r="AD57" s="1085"/>
      <c r="AE57" s="1095"/>
      <c r="AF57" s="1091">
        <f t="shared" si="8"/>
        <v>0</v>
      </c>
      <c r="AG57" s="1912">
        <f t="shared" si="1"/>
        <v>0</v>
      </c>
      <c r="AH57" s="2226">
        <f>W57-V57-SUM(Motpart!Y21:Z21)</f>
        <v>0</v>
      </c>
    </row>
    <row r="58" spans="1:34">
      <c r="A58" s="2548" t="s">
        <v>260</v>
      </c>
      <c r="B58" s="974" t="s">
        <v>87</v>
      </c>
      <c r="C58" s="434">
        <f t="shared" ref="C58:J58" si="16">SUM(C53:C57)</f>
        <v>0</v>
      </c>
      <c r="D58" s="25">
        <f t="shared" si="16"/>
        <v>0</v>
      </c>
      <c r="E58" s="434">
        <f t="shared" si="16"/>
        <v>0</v>
      </c>
      <c r="F58" s="434">
        <f t="shared" si="16"/>
        <v>0</v>
      </c>
      <c r="G58" s="434">
        <f t="shared" si="16"/>
        <v>0</v>
      </c>
      <c r="H58" s="25">
        <f t="shared" si="16"/>
        <v>0</v>
      </c>
      <c r="I58" s="434">
        <f t="shared" si="16"/>
        <v>0</v>
      </c>
      <c r="J58" s="112">
        <f t="shared" si="16"/>
        <v>0</v>
      </c>
      <c r="K58" s="157"/>
      <c r="L58" s="443">
        <f>SUM(L53:L57)</f>
        <v>0</v>
      </c>
      <c r="M58" s="434">
        <f>SUM(M53:M57)</f>
        <v>0</v>
      </c>
      <c r="N58" s="25">
        <f>SUM(N53:N57)</f>
        <v>0</v>
      </c>
      <c r="O58" s="25">
        <f>SUM(O53:O57)</f>
        <v>0</v>
      </c>
      <c r="P58" s="112">
        <f>SUM(P53:P57)</f>
        <v>0</v>
      </c>
      <c r="Q58" s="52"/>
      <c r="R58" s="443">
        <f>SUM(R53:R57)</f>
        <v>0</v>
      </c>
      <c r="S58" s="434">
        <f>SUM(S53:S57)</f>
        <v>0</v>
      </c>
      <c r="T58" s="112">
        <f>SUM(T53:T57)</f>
        <v>0</v>
      </c>
      <c r="U58" s="52"/>
      <c r="V58" s="124">
        <f>SUM(V53:V57)</f>
        <v>0</v>
      </c>
      <c r="W58" s="125">
        <f>SUM(W53:W57)</f>
        <v>0</v>
      </c>
      <c r="X58" s="59"/>
      <c r="Y58" s="2008">
        <f>P58-V58-SUM(Motpart!Y17:Z21)</f>
        <v>0</v>
      </c>
      <c r="Z58" s="1981"/>
      <c r="AA58" s="1960"/>
      <c r="AB58" s="1961"/>
      <c r="AC58" s="1962"/>
      <c r="AD58" s="1085"/>
      <c r="AE58" s="1095"/>
      <c r="AF58" s="1091">
        <f t="shared" si="8"/>
        <v>0</v>
      </c>
      <c r="AG58" s="1912">
        <f t="shared" si="1"/>
        <v>0</v>
      </c>
      <c r="AH58" s="2222">
        <f>W58-V58-SUM(Motpart!Y17:Z21)</f>
        <v>0</v>
      </c>
    </row>
    <row r="59" spans="1:34" ht="13.5" customHeight="1">
      <c r="A59" s="2566"/>
      <c r="B59" s="983" t="s">
        <v>88</v>
      </c>
      <c r="C59" s="594"/>
      <c r="D59" s="595"/>
      <c r="E59" s="596"/>
      <c r="F59" s="597"/>
      <c r="G59" s="596"/>
      <c r="H59" s="598"/>
      <c r="I59" s="596"/>
      <c r="J59" s="599"/>
      <c r="K59" s="31"/>
      <c r="L59" s="600"/>
      <c r="M59" s="596"/>
      <c r="N59" s="595"/>
      <c r="O59" s="595"/>
      <c r="P59" s="599"/>
      <c r="Q59" s="224"/>
      <c r="R59" s="600"/>
      <c r="S59" s="596"/>
      <c r="T59" s="599"/>
      <c r="U59" s="224"/>
      <c r="V59" s="601"/>
      <c r="W59" s="602"/>
      <c r="X59" s="31"/>
      <c r="Y59" s="2009"/>
      <c r="Z59" s="2010"/>
      <c r="AA59" s="2010"/>
      <c r="AB59" s="2010"/>
      <c r="AC59" s="2011"/>
      <c r="AD59" s="1119"/>
      <c r="AE59" s="1095"/>
      <c r="AF59" s="1091"/>
      <c r="AG59" s="1912"/>
      <c r="AH59" s="2222"/>
    </row>
    <row r="60" spans="1:34">
      <c r="A60" s="2567" t="s">
        <v>534</v>
      </c>
      <c r="B60" s="984" t="s">
        <v>420</v>
      </c>
      <c r="C60" s="593"/>
      <c r="D60" s="20"/>
      <c r="E60" s="19"/>
      <c r="F60" s="19"/>
      <c r="G60" s="19"/>
      <c r="H60" s="20"/>
      <c r="I60" s="19"/>
      <c r="J60" s="107"/>
      <c r="K60" s="30"/>
      <c r="L60" s="110"/>
      <c r="M60" s="19"/>
      <c r="N60" s="20"/>
      <c r="O60" s="442">
        <f>IF(I$120=0,0,(SUM(C60:E60,G60,I60:M60)-V60)/(SUM(C$110:E$110,G$110,I$110:M$110)-V$110)*I$120)</f>
        <v>0</v>
      </c>
      <c r="P60" s="441">
        <f>SUM(C60:O60)</f>
        <v>0</v>
      </c>
      <c r="Q60" s="52"/>
      <c r="R60" s="110"/>
      <c r="S60" s="19"/>
      <c r="T60" s="107"/>
      <c r="U60" s="53"/>
      <c r="V60" s="120"/>
      <c r="W60" s="480">
        <f t="shared" ref="W60:W66" si="17">SUM(R60:V60)</f>
        <v>0</v>
      </c>
      <c r="X60" s="59"/>
      <c r="Y60" s="1125">
        <f>P60-V60-SUM(Motpart!Y22:Z22)</f>
        <v>0</v>
      </c>
      <c r="Z60" s="1981"/>
      <c r="AA60" s="1960"/>
      <c r="AB60" s="1961"/>
      <c r="AC60" s="1962"/>
      <c r="AD60" s="1085"/>
      <c r="AE60" s="1095"/>
      <c r="AF60" s="1091">
        <f t="shared" si="8"/>
        <v>0</v>
      </c>
      <c r="AG60" s="1912">
        <f t="shared" si="1"/>
        <v>0</v>
      </c>
      <c r="AH60" s="2222">
        <f>W60-V60-SUM(Motpart!Y22:Z22)</f>
        <v>0</v>
      </c>
    </row>
    <row r="61" spans="1:34">
      <c r="A61" s="2561" t="s">
        <v>535</v>
      </c>
      <c r="B61" s="985" t="s">
        <v>421</v>
      </c>
      <c r="C61" s="21"/>
      <c r="D61" s="20"/>
      <c r="E61" s="19"/>
      <c r="F61" s="19"/>
      <c r="G61" s="19"/>
      <c r="H61" s="20"/>
      <c r="I61" s="19"/>
      <c r="J61" s="107"/>
      <c r="K61" s="603"/>
      <c r="L61" s="110"/>
      <c r="M61" s="19"/>
      <c r="N61" s="20"/>
      <c r="O61" s="442">
        <f>IF(I$120=0,0,(SUM(C61:E61,G61,I61:M61)-V61)/(SUM(C$110:E$110,G$110,I$110:M$110)-V$110)*I$120)</f>
        <v>0</v>
      </c>
      <c r="P61" s="441">
        <f>SUM(C61:O61)</f>
        <v>0</v>
      </c>
      <c r="Q61" s="52"/>
      <c r="R61" s="111"/>
      <c r="S61" s="22"/>
      <c r="T61" s="108"/>
      <c r="U61" s="53"/>
      <c r="V61" s="121"/>
      <c r="W61" s="480">
        <f t="shared" si="17"/>
        <v>0</v>
      </c>
      <c r="X61" s="59"/>
      <c r="Y61" s="1125">
        <f>P61-V61-SUM(Motpart!Y23:Z23)</f>
        <v>0</v>
      </c>
      <c r="Z61" s="1959"/>
      <c r="AA61" s="1960"/>
      <c r="AB61" s="1961"/>
      <c r="AC61" s="1962"/>
      <c r="AD61" s="1097"/>
      <c r="AE61" s="1095"/>
      <c r="AF61" s="1091">
        <f t="shared" si="8"/>
        <v>0</v>
      </c>
      <c r="AG61" s="1912">
        <f t="shared" si="1"/>
        <v>0</v>
      </c>
      <c r="AH61" s="2222">
        <f>W61-V61-SUM(Motpart!Y23:Z23)</f>
        <v>0</v>
      </c>
    </row>
    <row r="62" spans="1:34">
      <c r="A62" s="2561">
        <v>476</v>
      </c>
      <c r="B62" s="985" t="s">
        <v>1769</v>
      </c>
      <c r="C62" s="21"/>
      <c r="D62" s="20"/>
      <c r="E62" s="19"/>
      <c r="F62" s="19"/>
      <c r="G62" s="19"/>
      <c r="H62" s="20"/>
      <c r="I62" s="19"/>
      <c r="J62" s="107"/>
      <c r="K62" s="603"/>
      <c r="L62" s="110"/>
      <c r="M62" s="19"/>
      <c r="N62" s="20"/>
      <c r="O62" s="442">
        <f>IF(I$120=0,0,(SUM(C62:E62,G62,I62:M62)-V62)/(SUM(C$110:E$110,G$110,I$110:M$110)-V$110)*I$120)</f>
        <v>0</v>
      </c>
      <c r="P62" s="441">
        <f>SUM(C62:O62)</f>
        <v>0</v>
      </c>
      <c r="Q62" s="52"/>
      <c r="R62" s="111"/>
      <c r="S62" s="22"/>
      <c r="T62" s="108"/>
      <c r="U62" s="53"/>
      <c r="V62" s="121"/>
      <c r="W62" s="480">
        <f>SUM(R62:V62)</f>
        <v>0</v>
      </c>
      <c r="X62" s="59"/>
      <c r="Y62" s="1809">
        <f>P62-V62-SUM(Motpart!Y24:Z24)</f>
        <v>0</v>
      </c>
      <c r="Z62" s="1959"/>
      <c r="AA62" s="1960"/>
      <c r="AB62" s="1961"/>
      <c r="AC62" s="1962"/>
      <c r="AD62" s="1097"/>
      <c r="AE62" s="1095"/>
      <c r="AF62" s="1091">
        <f t="shared" si="8"/>
        <v>0</v>
      </c>
      <c r="AG62" s="1912">
        <f t="shared" si="1"/>
        <v>0</v>
      </c>
      <c r="AH62" s="2222">
        <f>W62-V62-SUM(Motpart!Y24:Z24)</f>
        <v>0</v>
      </c>
    </row>
    <row r="63" spans="1:34" ht="13.5" customHeight="1">
      <c r="A63" s="2563"/>
      <c r="B63" s="980" t="s">
        <v>18</v>
      </c>
      <c r="C63" s="577"/>
      <c r="D63" s="576"/>
      <c r="E63" s="574"/>
      <c r="F63" s="597"/>
      <c r="G63" s="574"/>
      <c r="H63" s="598"/>
      <c r="I63" s="574"/>
      <c r="J63" s="575"/>
      <c r="K63" s="603"/>
      <c r="L63" s="573"/>
      <c r="M63" s="574"/>
      <c r="N63" s="576"/>
      <c r="O63" s="576"/>
      <c r="P63" s="575"/>
      <c r="Q63" s="53"/>
      <c r="R63" s="573"/>
      <c r="S63" s="574"/>
      <c r="T63" s="575"/>
      <c r="U63" s="53"/>
      <c r="V63" s="571"/>
      <c r="W63" s="572"/>
      <c r="X63" s="30"/>
      <c r="Y63" s="1091"/>
      <c r="Z63" s="1982"/>
      <c r="AA63" s="1964"/>
      <c r="AB63" s="1964"/>
      <c r="AC63" s="1965"/>
      <c r="AD63" s="1097"/>
      <c r="AE63" s="1095"/>
      <c r="AF63" s="1091"/>
      <c r="AG63" s="1912"/>
      <c r="AH63" s="2222"/>
    </row>
    <row r="64" spans="1:34">
      <c r="A64" s="2548" t="s">
        <v>261</v>
      </c>
      <c r="B64" s="974" t="s">
        <v>1760</v>
      </c>
      <c r="C64" s="19"/>
      <c r="D64" s="20"/>
      <c r="E64" s="19"/>
      <c r="F64" s="19"/>
      <c r="G64" s="19"/>
      <c r="H64" s="20"/>
      <c r="I64" s="19"/>
      <c r="J64" s="107"/>
      <c r="K64" s="30"/>
      <c r="L64" s="110"/>
      <c r="M64" s="19"/>
      <c r="N64" s="20"/>
      <c r="O64" s="442">
        <f>IF(I$120=0,0,(SUM(C64:E64,G64,I64:M64)-V64)/(SUM(C$110:E$110,G$110,I$110:M$110)-V$110)*I$120)</f>
        <v>0</v>
      </c>
      <c r="P64" s="441">
        <f>SUM(C64:O64)</f>
        <v>0</v>
      </c>
      <c r="Q64" s="52"/>
      <c r="R64" s="110"/>
      <c r="S64" s="19"/>
      <c r="T64" s="107"/>
      <c r="U64" s="53"/>
      <c r="V64" s="120"/>
      <c r="W64" s="480">
        <f t="shared" si="17"/>
        <v>0</v>
      </c>
      <c r="X64" s="59"/>
      <c r="Y64" s="1091">
        <f>P64-V64-SUM(Motpart!Y25:Z25)</f>
        <v>0</v>
      </c>
      <c r="Z64" s="1963"/>
      <c r="AA64" s="1964"/>
      <c r="AB64" s="1964"/>
      <c r="AC64" s="1965"/>
      <c r="AD64" s="1097"/>
      <c r="AE64" s="1095"/>
      <c r="AF64" s="1091">
        <f t="shared" si="8"/>
        <v>0</v>
      </c>
      <c r="AG64" s="1912">
        <f t="shared" si="1"/>
        <v>0</v>
      </c>
      <c r="AH64" s="2222">
        <f>W64-V64-SUM(Motpart!Y25:Z25)</f>
        <v>0</v>
      </c>
    </row>
    <row r="65" spans="1:34">
      <c r="A65" s="2548" t="s">
        <v>262</v>
      </c>
      <c r="B65" s="974" t="s">
        <v>89</v>
      </c>
      <c r="C65" s="19"/>
      <c r="D65" s="20"/>
      <c r="E65" s="22"/>
      <c r="F65" s="22"/>
      <c r="G65" s="22"/>
      <c r="H65" s="23"/>
      <c r="I65" s="22"/>
      <c r="J65" s="108"/>
      <c r="K65" s="30"/>
      <c r="L65" s="111"/>
      <c r="M65" s="22"/>
      <c r="N65" s="20"/>
      <c r="O65" s="442">
        <f>IF(I$120=0,0,(SUM(C65:E65,G65,I65:M65)-V65)/(SUM(C$110:E$110,G$110,I$110:M$110)-V$110)*I$120)</f>
        <v>0</v>
      </c>
      <c r="P65" s="441">
        <f>SUM(C65:O65)</f>
        <v>0</v>
      </c>
      <c r="Q65" s="52"/>
      <c r="R65" s="111"/>
      <c r="S65" s="22"/>
      <c r="T65" s="108"/>
      <c r="U65" s="53"/>
      <c r="V65" s="121"/>
      <c r="W65" s="480">
        <f t="shared" si="17"/>
        <v>0</v>
      </c>
      <c r="X65" s="59"/>
      <c r="Y65" s="1125">
        <f>P65-V65-SUM(Motpart!Y26:Z26)</f>
        <v>0</v>
      </c>
      <c r="Z65" s="1963"/>
      <c r="AA65" s="1964"/>
      <c r="AB65" s="1964"/>
      <c r="AC65" s="1965"/>
      <c r="AD65" s="1097"/>
      <c r="AE65" s="1095"/>
      <c r="AF65" s="1091">
        <f t="shared" si="8"/>
        <v>0</v>
      </c>
      <c r="AG65" s="1912">
        <f t="shared" si="1"/>
        <v>0</v>
      </c>
      <c r="AH65" s="2222">
        <f>W65-V65-SUM(Motpart!Y26:Z26)</f>
        <v>0</v>
      </c>
    </row>
    <row r="66" spans="1:34">
      <c r="A66" s="2548" t="s">
        <v>263</v>
      </c>
      <c r="B66" s="982" t="s">
        <v>1195</v>
      </c>
      <c r="C66" s="19"/>
      <c r="D66" s="20"/>
      <c r="E66" s="22"/>
      <c r="F66" s="22"/>
      <c r="G66" s="22"/>
      <c r="H66" s="23"/>
      <c r="I66" s="22"/>
      <c r="J66" s="108"/>
      <c r="K66" s="30"/>
      <c r="L66" s="111"/>
      <c r="M66" s="22"/>
      <c r="N66" s="20"/>
      <c r="O66" s="442">
        <f>IF(I$120=0,0,(SUM(C66:E66,G66,I66:M66)-V66)/(SUM(C$110:E$110,G$110,I$110:M$110)-V$110)*I$120)</f>
        <v>0</v>
      </c>
      <c r="P66" s="441">
        <f>SUM(C66:O66)</f>
        <v>0</v>
      </c>
      <c r="Q66" s="52"/>
      <c r="R66" s="111"/>
      <c r="S66" s="22"/>
      <c r="T66" s="108"/>
      <c r="U66" s="53"/>
      <c r="V66" s="121"/>
      <c r="W66" s="480">
        <f t="shared" si="17"/>
        <v>0</v>
      </c>
      <c r="X66" s="59"/>
      <c r="Y66" s="1125">
        <f>P66-V66-SUM(Motpart!Y27:Z27)</f>
        <v>0</v>
      </c>
      <c r="Z66" s="996" t="s">
        <v>103</v>
      </c>
      <c r="AA66" s="1078"/>
      <c r="AB66" s="1079"/>
      <c r="AC66" s="1080"/>
      <c r="AD66" s="1085"/>
      <c r="AE66" s="1095"/>
      <c r="AF66" s="1091">
        <f t="shared" si="8"/>
        <v>0</v>
      </c>
      <c r="AG66" s="1912">
        <f t="shared" si="1"/>
        <v>0</v>
      </c>
      <c r="AH66" s="2222">
        <f>W66-V66-SUM(Motpart!Y27:Z27)</f>
        <v>0</v>
      </c>
    </row>
    <row r="67" spans="1:34">
      <c r="A67" s="2548" t="s">
        <v>264</v>
      </c>
      <c r="B67" s="974" t="s">
        <v>19</v>
      </c>
      <c r="C67" s="434">
        <f t="shared" ref="C67:J67" si="18">SUM(C58,C60:C62,C64:C66)</f>
        <v>0</v>
      </c>
      <c r="D67" s="25">
        <f t="shared" si="18"/>
        <v>0</v>
      </c>
      <c r="E67" s="641">
        <f t="shared" si="18"/>
        <v>0</v>
      </c>
      <c r="F67" s="434">
        <f t="shared" si="18"/>
        <v>0</v>
      </c>
      <c r="G67" s="434">
        <f t="shared" si="18"/>
        <v>0</v>
      </c>
      <c r="H67" s="434">
        <f t="shared" si="18"/>
        <v>0</v>
      </c>
      <c r="I67" s="434">
        <f t="shared" si="18"/>
        <v>0</v>
      </c>
      <c r="J67" s="112">
        <f t="shared" si="18"/>
        <v>0</v>
      </c>
      <c r="K67" s="157"/>
      <c r="L67" s="443">
        <f>SUM(L58,L60:L62,L64:L66)</f>
        <v>0</v>
      </c>
      <c r="M67" s="434">
        <f>SUM(M58,M60:M62,M64:M66)</f>
        <v>0</v>
      </c>
      <c r="N67" s="25">
        <f>SUM(N58,N60:N62,N64:N66)</f>
        <v>0</v>
      </c>
      <c r="O67" s="446">
        <f>SUM(O58,O60:O62,O64:O66)</f>
        <v>0</v>
      </c>
      <c r="P67" s="112">
        <f>SUM(P58,P60:P62,P64:P66)</f>
        <v>0</v>
      </c>
      <c r="Q67" s="52"/>
      <c r="R67" s="443">
        <f>SUM(R58,R60:R62,R64:R66)</f>
        <v>0</v>
      </c>
      <c r="S67" s="434">
        <f>SUM(S58,S60:S62,S64:S66)</f>
        <v>0</v>
      </c>
      <c r="T67" s="112">
        <f>SUM(T58,T60:T62,T64:T66)</f>
        <v>0</v>
      </c>
      <c r="U67" s="52"/>
      <c r="V67" s="124">
        <f>SUM(V58,V60:V62,V64:V66)</f>
        <v>0</v>
      </c>
      <c r="W67" s="125">
        <f>SUM(W58,W60:W62,W64:W66)</f>
        <v>0</v>
      </c>
      <c r="X67" s="59"/>
      <c r="Y67" s="1091">
        <f>P67-V67-SUM(Motpart!Y17:Z27)</f>
        <v>0</v>
      </c>
      <c r="Z67" s="1102" t="e">
        <f>(P67-W67)*1000/invanare</f>
        <v>#DIV/0!</v>
      </c>
      <c r="AA67" s="1103" t="e">
        <f>Y67*1000/invanare</f>
        <v>#DIV/0!</v>
      </c>
      <c r="AB67" s="1103"/>
      <c r="AC67" s="1121" t="str">
        <f>IF(ISERROR((AA67-AB67)/AB67)," ",((AA67-AB67)/AB67))</f>
        <v xml:space="preserve"> </v>
      </c>
      <c r="AD67" s="1094" t="e">
        <f>IF(AA67="","Belopp saknas",IF(OR(AC67&gt;20%,AC67&lt;-5%),"Kommentera förändringen",""))</f>
        <v>#DIV/0!</v>
      </c>
      <c r="AE67" s="1099" t="str">
        <f>IF(ISERROR(F67/(AA67/1000*invanare)),"",(F67/(AA67/100000*invanare)))</f>
        <v/>
      </c>
      <c r="AF67" s="1091">
        <f t="shared" si="8"/>
        <v>0</v>
      </c>
      <c r="AG67" s="1912">
        <f t="shared" si="1"/>
        <v>0</v>
      </c>
      <c r="AH67" s="2222">
        <f>W67-V67-SUM(Motpart!Y17:Z27)</f>
        <v>0</v>
      </c>
    </row>
    <row r="68" spans="1:34" ht="12.75" customHeight="1" thickBot="1">
      <c r="A68" s="2559" t="s">
        <v>265</v>
      </c>
      <c r="B68" s="979" t="s">
        <v>104</v>
      </c>
      <c r="C68" s="448">
        <f t="shared" ref="C68:J68" si="19">SUM(C51,C67)</f>
        <v>0</v>
      </c>
      <c r="D68" s="449">
        <f t="shared" si="19"/>
        <v>0</v>
      </c>
      <c r="E68" s="448">
        <f t="shared" si="19"/>
        <v>0</v>
      </c>
      <c r="F68" s="448">
        <f t="shared" si="19"/>
        <v>0</v>
      </c>
      <c r="G68" s="448">
        <f t="shared" si="19"/>
        <v>0</v>
      </c>
      <c r="H68" s="449">
        <f t="shared" si="19"/>
        <v>0</v>
      </c>
      <c r="I68" s="448">
        <f t="shared" si="19"/>
        <v>0</v>
      </c>
      <c r="J68" s="450">
        <f t="shared" si="19"/>
        <v>0</v>
      </c>
      <c r="K68" s="157"/>
      <c r="L68" s="451">
        <f>SUM(L51,L67)</f>
        <v>0</v>
      </c>
      <c r="M68" s="448">
        <f>SUM(M51,M67)</f>
        <v>0</v>
      </c>
      <c r="N68" s="449">
        <f>SUM(N51,N67)</f>
        <v>0</v>
      </c>
      <c r="O68" s="449">
        <f>SUM(O51,O67)</f>
        <v>0</v>
      </c>
      <c r="P68" s="450">
        <f>SUM(P51,P67)</f>
        <v>0</v>
      </c>
      <c r="Q68" s="52"/>
      <c r="R68" s="451">
        <f>SUM(R51,R67)</f>
        <v>0</v>
      </c>
      <c r="S68" s="448">
        <f>SUM(S51,S67)</f>
        <v>0</v>
      </c>
      <c r="T68" s="450">
        <f>SUM(T51,T67)</f>
        <v>0</v>
      </c>
      <c r="U68" s="52"/>
      <c r="V68" s="482">
        <f>SUM(V51,V67)</f>
        <v>0</v>
      </c>
      <c r="W68" s="481">
        <f>SUM(W51,W67)</f>
        <v>0</v>
      </c>
      <c r="X68" s="59"/>
      <c r="Y68" s="1134">
        <f>SUM(Y51,Y58,Y60:Y62,Y64:Y66)</f>
        <v>0</v>
      </c>
      <c r="Z68" s="1105"/>
      <c r="AA68" s="1106"/>
      <c r="AB68" s="1107"/>
      <c r="AC68" s="1108"/>
      <c r="AD68" s="1283"/>
      <c r="AE68" s="1918" t="str">
        <f>IF(ISERROR(F67/(AA67/1000*invanare)),"",(SUM(Motpart!D17:D27,Motpart!F17:F27)/(AA67/100000*invanare)))</f>
        <v/>
      </c>
      <c r="AF68" s="1134">
        <f t="shared" si="8"/>
        <v>0</v>
      </c>
      <c r="AG68" s="1915">
        <f t="shared" si="1"/>
        <v>0</v>
      </c>
      <c r="AH68" s="2224">
        <f>SUM(AH51,AH58,AH60:AH62,AH64:AH66)</f>
        <v>0</v>
      </c>
    </row>
    <row r="69" spans="1:34" ht="17.25" customHeight="1">
      <c r="A69" s="2563"/>
      <c r="B69" s="980" t="s">
        <v>105</v>
      </c>
      <c r="C69" s="604"/>
      <c r="D69" s="605"/>
      <c r="E69" s="606"/>
      <c r="F69" s="606"/>
      <c r="G69" s="606"/>
      <c r="H69" s="605"/>
      <c r="I69" s="606"/>
      <c r="J69" s="607"/>
      <c r="K69" s="37"/>
      <c r="L69" s="608"/>
      <c r="M69" s="606"/>
      <c r="N69" s="605"/>
      <c r="O69" s="605"/>
      <c r="P69" s="609"/>
      <c r="Q69" s="54"/>
      <c r="R69" s="608"/>
      <c r="S69" s="606"/>
      <c r="T69" s="607"/>
      <c r="U69" s="54"/>
      <c r="V69" s="610"/>
      <c r="W69" s="611"/>
      <c r="X69" s="37"/>
      <c r="Y69" s="1812"/>
      <c r="Z69" s="1995"/>
      <c r="AA69" s="1996"/>
      <c r="AB69" s="1997"/>
      <c r="AC69" s="1998"/>
      <c r="AD69" s="1097"/>
      <c r="AE69" s="1095"/>
      <c r="AF69" s="1923"/>
      <c r="AG69" s="1925"/>
      <c r="AH69" s="2223"/>
    </row>
    <row r="70" spans="1:34">
      <c r="A70" s="2548" t="s">
        <v>266</v>
      </c>
      <c r="B70" s="976" t="s">
        <v>106</v>
      </c>
      <c r="C70" s="19"/>
      <c r="D70" s="20"/>
      <c r="E70" s="19"/>
      <c r="F70" s="19"/>
      <c r="G70" s="19"/>
      <c r="H70" s="20"/>
      <c r="I70" s="19"/>
      <c r="J70" s="107"/>
      <c r="K70" s="30"/>
      <c r="L70" s="110"/>
      <c r="M70" s="19"/>
      <c r="N70" s="20"/>
      <c r="O70" s="442">
        <f>IF(I$120=0,0,(SUM(C70:E70,G70,I70:M70)-V70)/(SUM(C$110:E$110,G$110,I$110:M$110)-V$110)*I$120)</f>
        <v>0</v>
      </c>
      <c r="P70" s="441">
        <f>SUM(C70:O70)</f>
        <v>0</v>
      </c>
      <c r="Q70" s="52"/>
      <c r="R70" s="110"/>
      <c r="S70" s="19"/>
      <c r="T70" s="107"/>
      <c r="U70" s="53"/>
      <c r="V70" s="120"/>
      <c r="W70" s="480">
        <f>SUM(R70:V70)</f>
        <v>0</v>
      </c>
      <c r="X70" s="59"/>
      <c r="Y70" s="1091">
        <f>P70-V70-(IF(AND(Motpart!$Y$28="",Motpart!$Z$28=""),0,IF(AND(Motpart!$Y$28=0,Motpart!$Z$28=0),0,((T70/($T$70+$T$71))*(Motpart!$Y$28+Motpart!$Z$28)))))</f>
        <v>0</v>
      </c>
      <c r="Z70" s="1999"/>
      <c r="AA70" s="1990"/>
      <c r="AB70" s="1990"/>
      <c r="AC70" s="1991"/>
      <c r="AD70" s="1097" t="str">
        <f>IF(P70&gt;50,"Har kommunen primärvård?Kommentera","")</f>
        <v/>
      </c>
      <c r="AE70" s="1095"/>
      <c r="AF70" s="1091">
        <f t="shared" si="8"/>
        <v>0</v>
      </c>
      <c r="AG70" s="1912">
        <f t="shared" si="1"/>
        <v>0</v>
      </c>
      <c r="AH70" s="2222">
        <f>W70-V70-(IF(AND(Motpart!$Y$28="",Motpart!$Z$28=""),0,IF(AND(Motpart!$Y$28=0,Motpart!$Z$28=0),0,((T70/($T$70+$T$71))*(Motpart!$Y$28+Motpart!$Z$28)))))</f>
        <v>0</v>
      </c>
    </row>
    <row r="71" spans="1:34" ht="26.15" customHeight="1" thickBot="1">
      <c r="A71" s="2548" t="s">
        <v>267</v>
      </c>
      <c r="B71" s="2275" t="s">
        <v>1404</v>
      </c>
      <c r="C71" s="22"/>
      <c r="D71" s="20"/>
      <c r="E71" s="22"/>
      <c r="F71" s="22"/>
      <c r="G71" s="22"/>
      <c r="H71" s="23"/>
      <c r="I71" s="22"/>
      <c r="J71" s="108"/>
      <c r="K71" s="30"/>
      <c r="L71" s="111"/>
      <c r="M71" s="22"/>
      <c r="N71" s="20"/>
      <c r="O71" s="442">
        <f>IF(I$120=0,0,(SUM(C71:E71,G71,I71:M71)-V71)/(SUM(C$110:E$110,G$110,I$110:M$110)-V$110)*I$120)</f>
        <v>0</v>
      </c>
      <c r="P71" s="441">
        <f>SUM(C71:O71)</f>
        <v>0</v>
      </c>
      <c r="Q71" s="52"/>
      <c r="R71" s="111"/>
      <c r="S71" s="22"/>
      <c r="T71" s="108"/>
      <c r="U71" s="53"/>
      <c r="V71" s="121"/>
      <c r="W71" s="1109">
        <f>SUM(R71:V71)</f>
        <v>0</v>
      </c>
      <c r="X71" s="59"/>
      <c r="Y71" s="1125">
        <f>P71-V71-(IF(AND(Motpart!$Y$28="",Motpart!$Z$28=""),0,IF(AND(Motpart!$Y$28=0,Motpart!$Z$28=0),0,((T71/($T$70+$T$71))*(Motpart!$Y$28+Motpart!$Z$28)))))</f>
        <v>0</v>
      </c>
      <c r="Z71" s="1992"/>
      <c r="AA71" s="1993"/>
      <c r="AB71" s="1993"/>
      <c r="AC71" s="1994"/>
      <c r="AD71" s="1097" t="str">
        <f>IF(AND($P$71&gt;0,(Information!$B$3)="0188"),"",IF(AND($P$71&gt;0,(Information!$B$3)="0980"),"",IF(P71&gt;0,"Kommentera belopp","")))</f>
        <v/>
      </c>
      <c r="AE71" s="1095"/>
      <c r="AF71" s="1091">
        <f t="shared" si="8"/>
        <v>0</v>
      </c>
      <c r="AG71" s="1912">
        <f t="shared" si="1"/>
        <v>0</v>
      </c>
      <c r="AH71" s="2222">
        <f>W71-V71-(IF(AND(Motpart!$Y$28="",Motpart!$Z$28=""),0,IF(AND(Motpart!$Y$28=0,Motpart!$Z$28=0),0,((T71/($T$70+$T$71))*(Motpart!$Y$28+Motpart!$Z$28)))))</f>
        <v>0</v>
      </c>
    </row>
    <row r="72" spans="1:34" ht="36" customHeight="1" thickBot="1">
      <c r="A72" s="2568"/>
      <c r="B72" s="2000" t="s">
        <v>108</v>
      </c>
      <c r="C72" s="577"/>
      <c r="D72" s="576"/>
      <c r="E72" s="574"/>
      <c r="F72" s="574"/>
      <c r="G72" s="574"/>
      <c r="H72" s="576"/>
      <c r="I72" s="574"/>
      <c r="J72" s="575"/>
      <c r="K72" s="30"/>
      <c r="L72" s="573"/>
      <c r="M72" s="574"/>
      <c r="N72" s="576"/>
      <c r="O72" s="576"/>
      <c r="P72" s="575"/>
      <c r="Q72" s="53"/>
      <c r="R72" s="573"/>
      <c r="S72" s="574"/>
      <c r="T72" s="575"/>
      <c r="U72" s="53"/>
      <c r="V72" s="571"/>
      <c r="W72" s="572"/>
      <c r="X72" s="30"/>
      <c r="Y72" s="1985" t="s">
        <v>1312</v>
      </c>
      <c r="Z72" s="2976"/>
      <c r="AA72" s="2977"/>
      <c r="AB72" s="2977"/>
      <c r="AC72" s="2978"/>
      <c r="AD72" s="1097"/>
      <c r="AE72" s="1122" t="str">
        <f>IF(ISERROR((F73+F74)/((AA73+AA74)/1000*invanare)),"",((F73+F74)/((AA73+AA74)/100000*invanare)))</f>
        <v/>
      </c>
      <c r="AF72" s="1091"/>
      <c r="AG72" s="1912"/>
      <c r="AH72" s="2222"/>
    </row>
    <row r="73" spans="1:34">
      <c r="A73" s="2548" t="s">
        <v>484</v>
      </c>
      <c r="B73" s="982" t="s">
        <v>537</v>
      </c>
      <c r="C73" s="19"/>
      <c r="D73" s="20"/>
      <c r="E73" s="19"/>
      <c r="F73" s="19"/>
      <c r="G73" s="19"/>
      <c r="H73" s="20"/>
      <c r="I73" s="19"/>
      <c r="J73" s="107"/>
      <c r="K73" s="30"/>
      <c r="L73" s="110"/>
      <c r="M73" s="19"/>
      <c r="N73" s="20"/>
      <c r="O73" s="442">
        <f>IF(I$120=0,0,(SUM(C73:E73,G73,I73:M73)-V73)/(SUM(C$110:E$110,G$110,I$110:M$110)-V$110)*I$120)</f>
        <v>0</v>
      </c>
      <c r="P73" s="441">
        <f>SUM(C73:O73)</f>
        <v>0</v>
      </c>
      <c r="Q73" s="52"/>
      <c r="R73" s="2282"/>
      <c r="S73" s="19"/>
      <c r="T73" s="107"/>
      <c r="U73" s="53"/>
      <c r="V73" s="120"/>
      <c r="W73" s="480">
        <f>SUM(R73:V73)</f>
        <v>0</v>
      </c>
      <c r="X73" s="59"/>
      <c r="Y73" s="1091">
        <f>P73-V73-SUM(Motpart!Y29:Z29)</f>
        <v>0</v>
      </c>
      <c r="Z73" s="1102" t="e">
        <f>(P73-W73)*1000/invanare</f>
        <v>#DIV/0!</v>
      </c>
      <c r="AA73" s="1103" t="e">
        <f>Y73*1000/invanare</f>
        <v>#DIV/0!</v>
      </c>
      <c r="AB73" s="1123"/>
      <c r="AC73" s="1104" t="str">
        <f>IF(ISERROR((AA73-AB73)/AB73)," ",((AA73-AB73)/AB73))</f>
        <v xml:space="preserve"> </v>
      </c>
      <c r="AD73" s="1124" t="str">
        <f>IF(P73=0,"Belopp saknas",IF(AND(C73&gt;5000,R73&lt;50),"Kommentera Taxor o avgifter",""))</f>
        <v>Belopp saknas</v>
      </c>
      <c r="AE73" s="1099"/>
      <c r="AF73" s="1091">
        <f t="shared" si="8"/>
        <v>0</v>
      </c>
      <c r="AG73" s="1912">
        <f t="shared" si="1"/>
        <v>0</v>
      </c>
      <c r="AH73" s="2222">
        <f>W73-V73-SUM(Motpart!Y29:Z29)</f>
        <v>0</v>
      </c>
    </row>
    <row r="74" spans="1:34" ht="18.5">
      <c r="A74" s="2548" t="s">
        <v>483</v>
      </c>
      <c r="B74" s="986" t="s">
        <v>410</v>
      </c>
      <c r="C74" s="19"/>
      <c r="D74" s="20"/>
      <c r="E74" s="19"/>
      <c r="F74" s="19"/>
      <c r="G74" s="19"/>
      <c r="H74" s="20"/>
      <c r="I74" s="19"/>
      <c r="J74" s="107"/>
      <c r="K74" s="30"/>
      <c r="L74" s="110"/>
      <c r="M74" s="19"/>
      <c r="N74" s="20"/>
      <c r="O74" s="442">
        <f>IF(I$120=0,0,(SUM(C74:E74,G74,I74:M74)-V74)/(SUM(C$110:E$110,G$110,I$110:M$110)-V$110)*I$120)</f>
        <v>0</v>
      </c>
      <c r="P74" s="441">
        <f>SUM(C74:O74)</f>
        <v>0</v>
      </c>
      <c r="Q74" s="52"/>
      <c r="R74" s="2282"/>
      <c r="S74" s="19"/>
      <c r="T74" s="107"/>
      <c r="U74" s="53"/>
      <c r="V74" s="120"/>
      <c r="W74" s="480">
        <f>SUM(R74:V74)</f>
        <v>0</v>
      </c>
      <c r="X74" s="59"/>
      <c r="Y74" s="1091">
        <f>P74-V74-SUM(Motpart!Y30:Z30)</f>
        <v>0</v>
      </c>
      <c r="Z74" s="1102" t="e">
        <f>(P74-W74)*1000/invanare</f>
        <v>#DIV/0!</v>
      </c>
      <c r="AA74" s="1103" t="e">
        <f>Y74*1000/invanare</f>
        <v>#DIV/0!</v>
      </c>
      <c r="AB74" s="1123"/>
      <c r="AC74" s="1104" t="str">
        <f>IF(ISERROR((AA74-AB74)/AB74)," ",((AA74-AB74)/AB74))</f>
        <v xml:space="preserve"> </v>
      </c>
      <c r="AD74" s="1124" t="str">
        <f>IF(P74=0,"Belopp saknas",IF(AND(C74&gt;5000,R74&lt;50),"Kommentera Taxor o avgifter",""))</f>
        <v>Belopp saknas</v>
      </c>
      <c r="AE74" s="1118" t="e">
        <f>(Y77-Y76)*1000/invanare</f>
        <v>#DIV/0!</v>
      </c>
      <c r="AF74" s="1091">
        <f t="shared" si="8"/>
        <v>0</v>
      </c>
      <c r="AG74" s="1912">
        <f t="shared" si="1"/>
        <v>0</v>
      </c>
      <c r="AH74" s="2222">
        <f>W74-V74-SUM(Motpart!Y30:Z30)</f>
        <v>0</v>
      </c>
    </row>
    <row r="75" spans="1:34">
      <c r="A75" s="2548" t="s">
        <v>268</v>
      </c>
      <c r="B75" s="982" t="s">
        <v>411</v>
      </c>
      <c r="C75" s="452"/>
      <c r="D75" s="20"/>
      <c r="E75" s="22"/>
      <c r="F75" s="452"/>
      <c r="G75" s="22"/>
      <c r="H75" s="23"/>
      <c r="I75" s="22"/>
      <c r="J75" s="108"/>
      <c r="K75" s="30"/>
      <c r="L75" s="111"/>
      <c r="M75" s="452"/>
      <c r="N75" s="453"/>
      <c r="O75" s="454">
        <f>IF(I$120=0,0,(SUM(C75:E75,G75,I75:M75)-V75)/(SUM(C$110:E$110,G$110,I$110:M$110)-V$110)*I$120)</f>
        <v>0</v>
      </c>
      <c r="P75" s="441">
        <f>SUM(C75:O75)</f>
        <v>0</v>
      </c>
      <c r="Q75" s="52"/>
      <c r="R75" s="2280"/>
      <c r="S75" s="22"/>
      <c r="T75" s="108"/>
      <c r="U75" s="53"/>
      <c r="V75" s="455"/>
      <c r="W75" s="480">
        <f>SUM(R75:V75)</f>
        <v>0</v>
      </c>
      <c r="X75" s="59"/>
      <c r="Y75" s="1091">
        <f>P75-V75-SUM(Motpart!Y31:Z31)</f>
        <v>0</v>
      </c>
      <c r="Z75" s="1102" t="e">
        <f>(P75-W75)*1000/invanare</f>
        <v>#DIV/0!</v>
      </c>
      <c r="AA75" s="1103" t="e">
        <f>Y75*1000/invanare</f>
        <v>#DIV/0!</v>
      </c>
      <c r="AB75" s="1123"/>
      <c r="AC75" s="1104" t="str">
        <f>IF(ISERROR((AA75-AB75)/AB75)," ",((AA75-AB75)/AB75))</f>
        <v xml:space="preserve"> </v>
      </c>
      <c r="AD75" s="2377" t="e">
        <f>IF(AA75="","Belopp saknas",IF(OR(AC75&gt;20%,AC75&lt;-10%),"Kommentera förändringen",""))</f>
        <v>#DIV/0!</v>
      </c>
      <c r="AE75" s="1095"/>
      <c r="AF75" s="1091">
        <f t="shared" si="8"/>
        <v>0</v>
      </c>
      <c r="AG75" s="1912">
        <f t="shared" si="1"/>
        <v>0</v>
      </c>
      <c r="AH75" s="2222">
        <f>W75-V75-SUM(Motpart!Y31:Z31)</f>
        <v>0</v>
      </c>
    </row>
    <row r="76" spans="1:34">
      <c r="A76" s="2548" t="s">
        <v>269</v>
      </c>
      <c r="B76" s="974" t="s">
        <v>109</v>
      </c>
      <c r="C76" s="22"/>
      <c r="D76" s="20"/>
      <c r="E76" s="22"/>
      <c r="F76" s="22"/>
      <c r="G76" s="22"/>
      <c r="H76" s="23"/>
      <c r="I76" s="22"/>
      <c r="J76" s="108"/>
      <c r="K76" s="30"/>
      <c r="L76" s="111"/>
      <c r="M76" s="22"/>
      <c r="N76" s="20"/>
      <c r="O76" s="442">
        <f>IF(I$120=0,0,(SUM(C76:E76,G76,I76:M76)-V76)/(SUM(C$110:E$110,G$110,I$110:M$110)-V$110)*I$120)</f>
        <v>0</v>
      </c>
      <c r="P76" s="441">
        <f>SUM(C76:O76)</f>
        <v>0</v>
      </c>
      <c r="Q76" s="52"/>
      <c r="R76" s="2280"/>
      <c r="S76" s="22"/>
      <c r="T76" s="108"/>
      <c r="U76" s="53"/>
      <c r="V76" s="121"/>
      <c r="W76" s="480">
        <f>SUM(R76:V76)</f>
        <v>0</v>
      </c>
      <c r="X76" s="59"/>
      <c r="Y76" s="1091">
        <f>P76-V76-SUM(Motpart!Y32:Z32)</f>
        <v>0</v>
      </c>
      <c r="Z76" s="1102" t="e">
        <f>(P76-W76)*1000/invanare</f>
        <v>#DIV/0!</v>
      </c>
      <c r="AA76" s="1103" t="e">
        <f>Y76*1000/invanare</f>
        <v>#DIV/0!</v>
      </c>
      <c r="AB76" s="1126"/>
      <c r="AC76" s="1104" t="str">
        <f>IF(ISERROR((AA76-AB76)/AB76)," ",((AA76-AB76)/AB76))</f>
        <v xml:space="preserve"> </v>
      </c>
      <c r="AD76" s="2458" t="str">
        <f>IF(AND(P76=0,AB76&lt;&gt;0),"Belopp saknas",IF(AND(P76&lt;3000,AC76&gt;-50%),"",IF(OR(AC76&gt;25%,AC76&lt;-15%),"Kommentera förändringen",IF(AND(C76&gt;5000,R76&lt;50),"Kommentera Taxor o avgifter",""))))</f>
        <v/>
      </c>
      <c r="AE76" s="1118"/>
      <c r="AF76" s="1091">
        <f t="shared" si="8"/>
        <v>0</v>
      </c>
      <c r="AG76" s="1912">
        <f t="shared" si="1"/>
        <v>0</v>
      </c>
      <c r="AH76" s="2222">
        <f>W76-V76-SUM(Motpart!Y32:Z32)</f>
        <v>0</v>
      </c>
    </row>
    <row r="77" spans="1:34">
      <c r="A77" s="2548" t="s">
        <v>548</v>
      </c>
      <c r="B77" s="974" t="s">
        <v>111</v>
      </c>
      <c r="C77" s="434">
        <f t="shared" ref="C77:J77" si="20">SUM(C73:C76)</f>
        <v>0</v>
      </c>
      <c r="D77" s="25">
        <f t="shared" si="20"/>
        <v>0</v>
      </c>
      <c r="E77" s="434">
        <f t="shared" si="20"/>
        <v>0</v>
      </c>
      <c r="F77" s="434">
        <f t="shared" si="20"/>
        <v>0</v>
      </c>
      <c r="G77" s="434">
        <f t="shared" si="20"/>
        <v>0</v>
      </c>
      <c r="H77" s="25">
        <f t="shared" si="20"/>
        <v>0</v>
      </c>
      <c r="I77" s="434">
        <f t="shared" si="20"/>
        <v>0</v>
      </c>
      <c r="J77" s="112">
        <f t="shared" si="20"/>
        <v>0</v>
      </c>
      <c r="K77" s="157"/>
      <c r="L77" s="443">
        <f>SUM(L73:L76)</f>
        <v>0</v>
      </c>
      <c r="M77" s="434">
        <f>SUM(M73:M76)</f>
        <v>0</v>
      </c>
      <c r="N77" s="25">
        <f>SUM(N73:N76)</f>
        <v>0</v>
      </c>
      <c r="O77" s="25">
        <f>SUM(O73:O76)</f>
        <v>0</v>
      </c>
      <c r="P77" s="112">
        <f>SUM(P73:P76)</f>
        <v>0</v>
      </c>
      <c r="Q77" s="52"/>
      <c r="R77" s="443">
        <f>SUM(R73:R76)</f>
        <v>0</v>
      </c>
      <c r="S77" s="434">
        <f>SUM(S73:S76)</f>
        <v>0</v>
      </c>
      <c r="T77" s="112">
        <f>SUM(T73:T76)</f>
        <v>0</v>
      </c>
      <c r="U77" s="52"/>
      <c r="V77" s="124">
        <f>SUM(V73:V76)</f>
        <v>0</v>
      </c>
      <c r="W77" s="125">
        <f>SUM(W73:W76)</f>
        <v>0</v>
      </c>
      <c r="X77" s="59"/>
      <c r="Y77" s="1091">
        <f>P77-V77-SUM(Motpart!Y29:Z32)</f>
        <v>0</v>
      </c>
      <c r="Z77" s="2015" t="e">
        <f>(P77-W77)*1000/invanare</f>
        <v>#DIV/0!</v>
      </c>
      <c r="AA77" s="1126" t="e">
        <f>Y77*1000/invanare</f>
        <v>#DIV/0!</v>
      </c>
      <c r="AB77" s="2016"/>
      <c r="AC77" s="2007" t="str">
        <f t="shared" ref="AC77:AC84" si="21">IF(ISERROR((AA77-AB77)/AB77)," ",((AA77-AB77)/AB77))</f>
        <v xml:space="preserve"> </v>
      </c>
      <c r="AD77" s="1094" t="e">
        <f>IF(AA77="","Belopp saknas",IF(OR(AC77&gt;15%,AC77&lt;-5%),"Kommentera förändringen",""))</f>
        <v>#DIV/0!</v>
      </c>
      <c r="AE77" s="1099" t="str">
        <f>IF(ISERROR(F77/(AA77/1000*invanare)),"",(F77/(AA77/100000*invanare)))</f>
        <v/>
      </c>
      <c r="AF77" s="1091">
        <f t="shared" si="8"/>
        <v>0</v>
      </c>
      <c r="AG77" s="1912">
        <f t="shared" si="1"/>
        <v>0</v>
      </c>
      <c r="AH77" s="2222">
        <f>W77-V77-SUM(Motpart!Y29:Z32)</f>
        <v>0</v>
      </c>
    </row>
    <row r="78" spans="1:34" ht="13.5" customHeight="1">
      <c r="A78" s="2568"/>
      <c r="B78" s="987" t="s">
        <v>112</v>
      </c>
      <c r="C78" s="577"/>
      <c r="D78" s="576"/>
      <c r="E78" s="574"/>
      <c r="F78" s="574"/>
      <c r="G78" s="574"/>
      <c r="H78" s="576"/>
      <c r="I78" s="574"/>
      <c r="J78" s="575"/>
      <c r="K78" s="30"/>
      <c r="L78" s="573"/>
      <c r="M78" s="574"/>
      <c r="N78" s="576"/>
      <c r="O78" s="576"/>
      <c r="P78" s="575"/>
      <c r="Q78" s="53"/>
      <c r="R78" s="573"/>
      <c r="S78" s="574"/>
      <c r="T78" s="575"/>
      <c r="U78" s="53"/>
      <c r="V78" s="571"/>
      <c r="W78" s="572"/>
      <c r="X78" s="30"/>
      <c r="Y78" s="1983"/>
      <c r="Z78" s="2017"/>
      <c r="AA78" s="2037" t="str">
        <f>IF(P75&lt;1,"",IF('Verks int o kostn'!I41="","",IF('Verks int o kostn'!D21="","",((Drift!C75*1.4453)+0.85*(Drift!F75+Drift!M75+Drift!N75+Drift!O75)-0.85*(Drift!V75+'Verks int o kostn'!D21+'Äldre o personer funktionsn'!I32)+(0.85*0.2*(('Verks int o kostn'!I41/0.2)-'Verks int o kostn'!D21))))))</f>
        <v/>
      </c>
      <c r="AB78" s="2037"/>
      <c r="AC78" s="2038" t="str">
        <f t="shared" si="21"/>
        <v xml:space="preserve"> </v>
      </c>
      <c r="AD78" s="2014" t="str">
        <f>IF(ISERROR((AA78-AB78)/AB78),"",IF(AND(AC78&gt;-4%,AC78&lt;14%),"","Kontrollera LSS/SFB, gröna celler i blanketten. Kommentera förändring"))</f>
        <v/>
      </c>
      <c r="AE78" s="1095" t="str">
        <f>IF(ISERROR(F77/(AA77/1000*invanare)),"",(SUM(Motpart!D29:D32,Motpart!F29:F32)/(AA77/100000*invanare)))</f>
        <v/>
      </c>
      <c r="AF78" s="1091"/>
      <c r="AG78" s="1912"/>
      <c r="AH78" s="2222"/>
    </row>
    <row r="79" spans="1:34">
      <c r="A79" s="2548" t="s">
        <v>488</v>
      </c>
      <c r="B79" s="988" t="s">
        <v>214</v>
      </c>
      <c r="C79" s="19"/>
      <c r="D79" s="20"/>
      <c r="E79" s="19"/>
      <c r="F79" s="19"/>
      <c r="G79" s="19"/>
      <c r="H79" s="20"/>
      <c r="I79" s="19"/>
      <c r="J79" s="107"/>
      <c r="K79" s="30"/>
      <c r="L79" s="110"/>
      <c r="M79" s="19"/>
      <c r="N79" s="20"/>
      <c r="O79" s="442">
        <f t="shared" ref="O79:O84" si="22">IF(I$120=0,0,(SUM(C79:E79,G79,I79:M79)-V79)/(SUM(C$110:E$110,G$110,I$110:M$110)-V$110)*I$120)</f>
        <v>0</v>
      </c>
      <c r="P79" s="441">
        <f>SUM(C79:O79)</f>
        <v>0</v>
      </c>
      <c r="Q79" s="52"/>
      <c r="R79" s="110"/>
      <c r="S79" s="19"/>
      <c r="T79" s="107"/>
      <c r="U79" s="53"/>
      <c r="V79" s="120"/>
      <c r="W79" s="480">
        <f>SUM(R79:V79)</f>
        <v>0</v>
      </c>
      <c r="X79" s="59"/>
      <c r="Y79" s="1091">
        <f>P79-V79-SUM(Motpart!Y33:Z33)</f>
        <v>0</v>
      </c>
      <c r="Z79" s="1102" t="e">
        <f t="shared" ref="Z79:Z84" si="23">(P79-W79)*1000/invanare</f>
        <v>#DIV/0!</v>
      </c>
      <c r="AA79" s="1103" t="e">
        <f t="shared" ref="AA79:AA84" si="24">Y79*1000/invanare</f>
        <v>#DIV/0!</v>
      </c>
      <c r="AB79" s="1103"/>
      <c r="AC79" s="1104" t="str">
        <f t="shared" si="21"/>
        <v xml:space="preserve"> </v>
      </c>
      <c r="AD79" s="1124" t="str">
        <f>IF(AND(AC79&gt;-55%,AC79&lt;55%),"","Kommentera förändringen")</f>
        <v>Kommentera förändringen</v>
      </c>
      <c r="AE79" s="1118">
        <f>F85-F76-F71-F70</f>
        <v>0</v>
      </c>
      <c r="AF79" s="1091">
        <f t="shared" si="8"/>
        <v>0</v>
      </c>
      <c r="AG79" s="1912">
        <f t="shared" ref="AG79:AG108" si="25">P79-F79-H79-V79</f>
        <v>0</v>
      </c>
      <c r="AH79" s="2222">
        <f>W79-V79-SUM(Motpart!Y33:Z33)</f>
        <v>0</v>
      </c>
    </row>
    <row r="80" spans="1:34">
      <c r="A80" s="2548" t="s">
        <v>487</v>
      </c>
      <c r="B80" s="988" t="s">
        <v>113</v>
      </c>
      <c r="C80" s="19"/>
      <c r="D80" s="20"/>
      <c r="E80" s="19"/>
      <c r="F80" s="19"/>
      <c r="G80" s="19"/>
      <c r="H80" s="20"/>
      <c r="I80" s="19"/>
      <c r="J80" s="107"/>
      <c r="K80" s="30"/>
      <c r="L80" s="110"/>
      <c r="M80" s="19"/>
      <c r="N80" s="20"/>
      <c r="O80" s="442">
        <f t="shared" si="22"/>
        <v>0</v>
      </c>
      <c r="P80" s="441">
        <f>SUM(C80:O80)</f>
        <v>0</v>
      </c>
      <c r="Q80" s="52"/>
      <c r="R80" s="110"/>
      <c r="S80" s="19"/>
      <c r="T80" s="107"/>
      <c r="U80" s="53"/>
      <c r="V80" s="120"/>
      <c r="W80" s="480">
        <f>SUM(R80:V80)</f>
        <v>0</v>
      </c>
      <c r="X80" s="59"/>
      <c r="Y80" s="1125">
        <f>P80-V80-SUM(Motpart!Y35:Z35)</f>
        <v>0</v>
      </c>
      <c r="Z80" s="1102" t="e">
        <f t="shared" si="23"/>
        <v>#DIV/0!</v>
      </c>
      <c r="AA80" s="1103" t="e">
        <f t="shared" si="24"/>
        <v>#DIV/0!</v>
      </c>
      <c r="AB80" s="1123"/>
      <c r="AC80" s="1101" t="str">
        <f t="shared" si="21"/>
        <v xml:space="preserve"> </v>
      </c>
      <c r="AD80" s="1124" t="str">
        <f>IF(AND(AC80&gt;-30%,AC80&lt;50%),"","Kommentera förändringen")</f>
        <v>Kommentera förändringen</v>
      </c>
      <c r="AE80" s="1118">
        <f>H85-H76-H71-H70</f>
        <v>0</v>
      </c>
      <c r="AF80" s="1091">
        <f t="shared" si="8"/>
        <v>0</v>
      </c>
      <c r="AG80" s="1912">
        <f t="shared" si="25"/>
        <v>0</v>
      </c>
      <c r="AH80" s="2222">
        <f>W80-V80-SUM(Motpart!Y35:Z35)</f>
        <v>0</v>
      </c>
    </row>
    <row r="81" spans="1:34">
      <c r="A81" s="2548" t="s">
        <v>490</v>
      </c>
      <c r="B81" s="988" t="s">
        <v>181</v>
      </c>
      <c r="C81" s="19"/>
      <c r="D81" s="20"/>
      <c r="E81" s="19"/>
      <c r="F81" s="19"/>
      <c r="G81" s="19"/>
      <c r="H81" s="20"/>
      <c r="I81" s="19"/>
      <c r="J81" s="107"/>
      <c r="K81" s="30"/>
      <c r="L81" s="110"/>
      <c r="M81" s="19"/>
      <c r="N81" s="20"/>
      <c r="O81" s="442">
        <f t="shared" si="22"/>
        <v>0</v>
      </c>
      <c r="P81" s="441">
        <f>SUM(C81:O81)</f>
        <v>0</v>
      </c>
      <c r="Q81" s="52"/>
      <c r="R81" s="110"/>
      <c r="S81" s="19"/>
      <c r="T81" s="107"/>
      <c r="U81" s="53"/>
      <c r="V81" s="120"/>
      <c r="W81" s="480">
        <f>SUM(R81:V81)</f>
        <v>0</v>
      </c>
      <c r="X81" s="59"/>
      <c r="Y81" s="1125">
        <f>P81-V81-IFO!G29</f>
        <v>0</v>
      </c>
      <c r="Z81" s="1102" t="e">
        <f t="shared" si="23"/>
        <v>#DIV/0!</v>
      </c>
      <c r="AA81" s="1103" t="e">
        <f t="shared" si="24"/>
        <v>#DIV/0!</v>
      </c>
      <c r="AB81" s="1123"/>
      <c r="AC81" s="1101" t="str">
        <f t="shared" si="21"/>
        <v xml:space="preserve"> </v>
      </c>
      <c r="AD81" s="1096" t="e">
        <f>IF(AND(AB81=0,AA81=0),"",IF(AND(AB81&lt;50,AA81&lt;50),"",IF(AND(AC81&gt;-80%,AC81&lt;100%),"","Kommentera förändringen")))</f>
        <v>#DIV/0!</v>
      </c>
      <c r="AE81" s="1095"/>
      <c r="AF81" s="1091">
        <f t="shared" si="8"/>
        <v>0</v>
      </c>
      <c r="AG81" s="1912">
        <f t="shared" si="25"/>
        <v>0</v>
      </c>
      <c r="AH81" s="2222">
        <f>W81-V81-IFO!G29</f>
        <v>0</v>
      </c>
    </row>
    <row r="82" spans="1:34">
      <c r="A82" s="2548" t="s">
        <v>489</v>
      </c>
      <c r="B82" s="988" t="s">
        <v>114</v>
      </c>
      <c r="C82" s="19"/>
      <c r="D82" s="20"/>
      <c r="E82" s="19"/>
      <c r="F82" s="19"/>
      <c r="G82" s="19"/>
      <c r="H82" s="20"/>
      <c r="I82" s="19"/>
      <c r="J82" s="107"/>
      <c r="K82" s="30"/>
      <c r="L82" s="110"/>
      <c r="M82" s="19"/>
      <c r="N82" s="20"/>
      <c r="O82" s="442">
        <f t="shared" si="22"/>
        <v>0</v>
      </c>
      <c r="P82" s="441">
        <f>SUM(C82:O82)</f>
        <v>0</v>
      </c>
      <c r="Q82" s="52"/>
      <c r="R82" s="110"/>
      <c r="S82" s="19"/>
      <c r="T82" s="107"/>
      <c r="U82" s="53"/>
      <c r="V82" s="120"/>
      <c r="W82" s="480">
        <f>SUM(R82:V82)</f>
        <v>0</v>
      </c>
      <c r="X82" s="59"/>
      <c r="Y82" s="1125">
        <f>P82-V82-IFO!G30</f>
        <v>0</v>
      </c>
      <c r="Z82" s="1102" t="e">
        <f t="shared" si="23"/>
        <v>#DIV/0!</v>
      </c>
      <c r="AA82" s="1103" t="e">
        <f t="shared" si="24"/>
        <v>#DIV/0!</v>
      </c>
      <c r="AB82" s="1123"/>
      <c r="AC82" s="1101" t="str">
        <f t="shared" si="21"/>
        <v xml:space="preserve"> </v>
      </c>
      <c r="AD82" s="1124" t="str">
        <f>IF(AND(AC82&gt;-20%,AC82&lt;30%),"","Kommentera förändringen")</f>
        <v>Kommentera förändringen</v>
      </c>
      <c r="AE82" s="1095"/>
      <c r="AF82" s="1091">
        <f t="shared" si="8"/>
        <v>0</v>
      </c>
      <c r="AG82" s="1912">
        <f t="shared" si="25"/>
        <v>0</v>
      </c>
      <c r="AH82" s="2222">
        <f>W82-V82-IFO!G30</f>
        <v>0</v>
      </c>
    </row>
    <row r="83" spans="1:34">
      <c r="A83" s="2548" t="s">
        <v>361</v>
      </c>
      <c r="B83" s="974" t="s">
        <v>115</v>
      </c>
      <c r="C83" s="434">
        <f>SUM(C79:C82)</f>
        <v>0</v>
      </c>
      <c r="D83" s="25">
        <f t="shared" ref="D83:J83" si="26">SUM(D79:D82)</f>
        <v>0</v>
      </c>
      <c r="E83" s="444">
        <f t="shared" si="26"/>
        <v>0</v>
      </c>
      <c r="F83" s="434">
        <f t="shared" si="26"/>
        <v>0</v>
      </c>
      <c r="G83" s="434">
        <f t="shared" si="26"/>
        <v>0</v>
      </c>
      <c r="H83" s="25">
        <f t="shared" si="26"/>
        <v>0</v>
      </c>
      <c r="I83" s="641">
        <f t="shared" si="26"/>
        <v>0</v>
      </c>
      <c r="J83" s="112">
        <f t="shared" si="26"/>
        <v>0</v>
      </c>
      <c r="K83" s="157"/>
      <c r="L83" s="443">
        <f>SUM(L79:L82)</f>
        <v>0</v>
      </c>
      <c r="M83" s="434">
        <f>SUM(M79:M82)</f>
        <v>0</v>
      </c>
      <c r="N83" s="25">
        <f>SUM(N79:N82)</f>
        <v>0</v>
      </c>
      <c r="O83" s="456">
        <f t="shared" si="22"/>
        <v>0</v>
      </c>
      <c r="P83" s="441">
        <f>SUM(P79:P82)</f>
        <v>0</v>
      </c>
      <c r="Q83" s="52"/>
      <c r="R83" s="443">
        <f>SUM(R79:R82)</f>
        <v>0</v>
      </c>
      <c r="S83" s="434">
        <f>SUM(S79:S82)</f>
        <v>0</v>
      </c>
      <c r="T83" s="112">
        <f>SUM(T79:T82)</f>
        <v>0</v>
      </c>
      <c r="U83" s="52"/>
      <c r="V83" s="124">
        <f>SUM(V79:V82)</f>
        <v>0</v>
      </c>
      <c r="W83" s="480">
        <f>SUM(W79:W82)</f>
        <v>0</v>
      </c>
      <c r="X83" s="59"/>
      <c r="Y83" s="1127">
        <f>P83-V83-IFO!G31</f>
        <v>0</v>
      </c>
      <c r="Z83" s="1102" t="e">
        <f>(P83+P84-W83-W84)*1000/invanare</f>
        <v>#DIV/0!</v>
      </c>
      <c r="AA83" s="1103" t="e">
        <f>SUM(Y83:Y84)*1000/invanare</f>
        <v>#DIV/0!</v>
      </c>
      <c r="AB83" s="1103"/>
      <c r="AC83" s="1101" t="str">
        <f t="shared" si="21"/>
        <v xml:space="preserve"> </v>
      </c>
      <c r="AD83" s="1124" t="str">
        <f>IF(AND(AC83&gt;-15%,AC83&lt;30%),"","Kommentera förändringen")</f>
        <v>Kommentera förändringen</v>
      </c>
      <c r="AE83" s="1099" t="str">
        <f>IF(ISERROR((F83+F84)/((F83+F84)/1000*invanare)),"",((F83+F84)/(AA83/100000*invanare)))</f>
        <v/>
      </c>
      <c r="AF83" s="1091">
        <f t="shared" si="8"/>
        <v>0</v>
      </c>
      <c r="AG83" s="1912">
        <f t="shared" si="25"/>
        <v>0</v>
      </c>
      <c r="AH83" s="2222">
        <f>W83-V83-IFO!G31</f>
        <v>0</v>
      </c>
    </row>
    <row r="84" spans="1:34">
      <c r="A84" s="2548" t="s">
        <v>496</v>
      </c>
      <c r="B84" s="974" t="s">
        <v>116</v>
      </c>
      <c r="C84" s="22"/>
      <c r="D84" s="20"/>
      <c r="E84" s="22"/>
      <c r="F84" s="22"/>
      <c r="G84" s="22"/>
      <c r="H84" s="23"/>
      <c r="I84" s="22"/>
      <c r="J84" s="108"/>
      <c r="K84" s="29"/>
      <c r="L84" s="111"/>
      <c r="M84" s="22"/>
      <c r="N84" s="23"/>
      <c r="O84" s="442">
        <f t="shared" si="22"/>
        <v>0</v>
      </c>
      <c r="P84" s="441">
        <f>SUM(C84:O84)</f>
        <v>0</v>
      </c>
      <c r="Q84" s="52"/>
      <c r="R84" s="111"/>
      <c r="S84" s="22"/>
      <c r="T84" s="108"/>
      <c r="U84" s="225"/>
      <c r="V84" s="121"/>
      <c r="W84" s="480">
        <f>SUM(R84:V84)</f>
        <v>0</v>
      </c>
      <c r="X84" s="59"/>
      <c r="Y84" s="1125">
        <f>P84-V84-SUM(IFO!G33:G34)</f>
        <v>0</v>
      </c>
      <c r="Z84" s="1102" t="e">
        <f t="shared" si="23"/>
        <v>#DIV/0!</v>
      </c>
      <c r="AA84" s="1103" t="e">
        <f t="shared" si="24"/>
        <v>#DIV/0!</v>
      </c>
      <c r="AB84" s="1123"/>
      <c r="AC84" s="1101" t="str">
        <f t="shared" si="21"/>
        <v xml:space="preserve"> </v>
      </c>
      <c r="AD84" s="1124" t="str">
        <f>IF(AND(AC84&gt;-50%,AC84&lt;70%),"","Kommentera förändringen")</f>
        <v>Kommentera förändringen</v>
      </c>
      <c r="AE84" s="1095" t="str">
        <f>IF(ISERROR(F83+F84/(F83+F84/1000*invanare)),"",(SUM(Motpart!D33,Motpart!D35,Motpart!D37,Motpart!F33,Motpart!F35,Motpart!F37)/(AA83/100000*invanare)))</f>
        <v/>
      </c>
      <c r="AF84" s="1091">
        <f t="shared" si="8"/>
        <v>0</v>
      </c>
      <c r="AG84" s="1912">
        <f t="shared" si="25"/>
        <v>0</v>
      </c>
      <c r="AH84" s="2222">
        <f>W84-V84-SUM(IFO!G33:G34)</f>
        <v>0</v>
      </c>
    </row>
    <row r="85" spans="1:34" ht="13" thickBot="1">
      <c r="A85" s="2559" t="s">
        <v>362</v>
      </c>
      <c r="B85" s="979" t="s">
        <v>117</v>
      </c>
      <c r="C85" s="448">
        <f t="shared" ref="C85:J85" si="27">SUM(C70:C71,C77,C83,C84)</f>
        <v>0</v>
      </c>
      <c r="D85" s="449">
        <f t="shared" si="27"/>
        <v>0</v>
      </c>
      <c r="E85" s="445">
        <f t="shared" si="27"/>
        <v>0</v>
      </c>
      <c r="F85" s="448">
        <f t="shared" si="27"/>
        <v>0</v>
      </c>
      <c r="G85" s="448">
        <f t="shared" si="27"/>
        <v>0</v>
      </c>
      <c r="H85" s="449">
        <f t="shared" si="27"/>
        <v>0</v>
      </c>
      <c r="I85" s="448">
        <f t="shared" si="27"/>
        <v>0</v>
      </c>
      <c r="J85" s="450">
        <f t="shared" si="27"/>
        <v>0</v>
      </c>
      <c r="K85" s="157"/>
      <c r="L85" s="451">
        <f>SUM(L70:L71,L77,L83,L84)</f>
        <v>0</v>
      </c>
      <c r="M85" s="448">
        <f>SUM(M70:M71,M77,M83,M84)</f>
        <v>0</v>
      </c>
      <c r="N85" s="449">
        <f>SUM(N70:N71,N77,N83,N84)</f>
        <v>0</v>
      </c>
      <c r="O85" s="449">
        <f>SUM(O70:O71,O77,O83,O84)</f>
        <v>0</v>
      </c>
      <c r="P85" s="450">
        <f>SUM(P70:P71,P77,P83,P84)</f>
        <v>0</v>
      </c>
      <c r="Q85" s="52"/>
      <c r="R85" s="451">
        <f>SUM(R70:R71,R77,R83,R84)</f>
        <v>0</v>
      </c>
      <c r="S85" s="448">
        <f>SUM(S70:S71,S77,S83,S84)</f>
        <v>0</v>
      </c>
      <c r="T85" s="450">
        <f>SUM(T70:T71,T77,T83,T84)</f>
        <v>0</v>
      </c>
      <c r="U85" s="52"/>
      <c r="V85" s="482">
        <f>SUM(V70:V71,V77,V83,V84)</f>
        <v>0</v>
      </c>
      <c r="W85" s="481">
        <f>SUM(W70:W71,W77,W83,W84)</f>
        <v>0</v>
      </c>
      <c r="X85" s="59"/>
      <c r="Y85" s="1813">
        <f>SUM(Y70,Y71,Y77,Y83,Y84)</f>
        <v>0</v>
      </c>
      <c r="Z85" s="1105"/>
      <c r="AA85" s="1106"/>
      <c r="AB85" s="1107"/>
      <c r="AC85" s="1108"/>
      <c r="AD85" s="1283"/>
      <c r="AE85" s="1919" t="str">
        <f>IF(ISERROR((F83)/((F83)/1000*invanare)),"",SUM(AA77,AA83)*100/AA90)</f>
        <v/>
      </c>
      <c r="AF85" s="1134">
        <f t="shared" si="8"/>
        <v>0</v>
      </c>
      <c r="AG85" s="1915">
        <f t="shared" si="25"/>
        <v>0</v>
      </c>
      <c r="AH85" s="2224">
        <f>SUM(AH70,AH71,AH77,AH83,AH84)</f>
        <v>0</v>
      </c>
    </row>
    <row r="86" spans="1:34" ht="40.5" customHeight="1" thickBot="1">
      <c r="A86" s="2568"/>
      <c r="B86" s="983" t="s">
        <v>118</v>
      </c>
      <c r="C86" s="553"/>
      <c r="D86" s="552"/>
      <c r="E86" s="550"/>
      <c r="F86" s="550"/>
      <c r="G86" s="550"/>
      <c r="H86" s="552"/>
      <c r="I86" s="550"/>
      <c r="J86" s="551"/>
      <c r="K86" s="30"/>
      <c r="L86" s="549"/>
      <c r="M86" s="550"/>
      <c r="N86" s="552"/>
      <c r="O86" s="552"/>
      <c r="P86" s="551"/>
      <c r="Q86" s="53"/>
      <c r="R86" s="549"/>
      <c r="S86" s="550"/>
      <c r="T86" s="551"/>
      <c r="U86" s="53"/>
      <c r="V86" s="547"/>
      <c r="W86" s="548"/>
      <c r="X86" s="30"/>
      <c r="Y86" s="1985" t="s">
        <v>1305</v>
      </c>
      <c r="Z86" s="2976"/>
      <c r="AA86" s="2977"/>
      <c r="AB86" s="2977"/>
      <c r="AC86" s="2978"/>
      <c r="AD86" s="1085"/>
      <c r="AE86" s="1128" t="str">
        <f>IF(ISERROR((F83)/((F83)/1000*invanare)),"",(F83/((AA83-AA84)/100000*invanare)))</f>
        <v/>
      </c>
      <c r="AF86" s="1923"/>
      <c r="AG86" s="1925"/>
      <c r="AH86" s="2223"/>
    </row>
    <row r="87" spans="1:34">
      <c r="A87" s="2548" t="s">
        <v>270</v>
      </c>
      <c r="B87" s="976" t="s">
        <v>121</v>
      </c>
      <c r="C87" s="19"/>
      <c r="D87" s="20"/>
      <c r="E87" s="19"/>
      <c r="F87" s="19"/>
      <c r="G87" s="19"/>
      <c r="H87" s="20"/>
      <c r="I87" s="19"/>
      <c r="J87" s="107"/>
      <c r="K87" s="30"/>
      <c r="L87" s="110"/>
      <c r="M87" s="19"/>
      <c r="N87" s="20"/>
      <c r="O87" s="442">
        <f>IF(I$120=0,0,(SUM(C87:E87,G87,I87:M87)-V87)/(SUM(C$110:E$110,G$110,I$110:M$110)-V$110)*I$120)</f>
        <v>0</v>
      </c>
      <c r="P87" s="441">
        <f>SUM(C87:O87)</f>
        <v>0</v>
      </c>
      <c r="Q87" s="52"/>
      <c r="R87" s="110"/>
      <c r="S87" s="19"/>
      <c r="T87" s="107"/>
      <c r="U87" s="53"/>
      <c r="V87" s="120"/>
      <c r="W87" s="480">
        <f>SUM(R87:V87)</f>
        <v>0</v>
      </c>
      <c r="X87" s="59"/>
      <c r="Y87" s="1091">
        <f>P87-V87-SUM(Motpart!Y38:Z38)</f>
        <v>0</v>
      </c>
      <c r="Z87" s="1102" t="e">
        <f>(P87-W87)*1000/invanare</f>
        <v>#DIV/0!</v>
      </c>
      <c r="AA87" s="1103" t="e">
        <f>Y87*1000/invanare</f>
        <v>#DIV/0!</v>
      </c>
      <c r="AB87" s="1133"/>
      <c r="AC87" s="1104" t="str">
        <f>IF(ISERROR((AA87-AB87)/AB87)," ",((AA87-AB87)/AB87))</f>
        <v xml:space="preserve"> </v>
      </c>
      <c r="AD87" s="1090" t="e">
        <f>IF(AA87="","Belopp saknas",IF(OR(AC87&gt;20%,AC87&lt;-50%),"Kommentera förändringen",IF(OR(AC87&gt;2%),"Kontrollera förändringen","")))</f>
        <v>#DIV/0!</v>
      </c>
      <c r="AE87" s="1095"/>
      <c r="AF87" s="1091">
        <f t="shared" si="8"/>
        <v>0</v>
      </c>
      <c r="AG87" s="1912">
        <f t="shared" si="25"/>
        <v>0</v>
      </c>
      <c r="AH87" s="2222">
        <f>W87-V87-SUM(Motpart!Y38:Z38)</f>
        <v>0</v>
      </c>
    </row>
    <row r="88" spans="1:34">
      <c r="A88" s="2548" t="s">
        <v>271</v>
      </c>
      <c r="B88" s="974" t="s">
        <v>122</v>
      </c>
      <c r="C88" s="22"/>
      <c r="D88" s="20"/>
      <c r="E88" s="22"/>
      <c r="F88" s="22"/>
      <c r="G88" s="22"/>
      <c r="H88" s="23"/>
      <c r="I88" s="22"/>
      <c r="J88" s="108"/>
      <c r="K88" s="30"/>
      <c r="L88" s="111"/>
      <c r="M88" s="22"/>
      <c r="N88" s="23"/>
      <c r="O88" s="442">
        <f>IF(I$120=0,0,(SUM(C88:E88,G88,I88:M88)-V88)/(SUM(C$110:E$110,G$110,I$110:M$110)-V$110)*I$120)</f>
        <v>0</v>
      </c>
      <c r="P88" s="441">
        <f>SUM(C88:O88)</f>
        <v>0</v>
      </c>
      <c r="Q88" s="52"/>
      <c r="R88" s="111"/>
      <c r="S88" s="22"/>
      <c r="T88" s="108"/>
      <c r="U88" s="53"/>
      <c r="V88" s="121"/>
      <c r="W88" s="480">
        <f>SUM(R88:V88)</f>
        <v>0</v>
      </c>
      <c r="X88" s="59"/>
      <c r="Y88" s="1983">
        <f>P88-V88-SUM(Motpart!Y39:Z39)</f>
        <v>0</v>
      </c>
      <c r="Z88" s="1102" t="e">
        <f>(P88-W88)*1000/invanare</f>
        <v>#DIV/0!</v>
      </c>
      <c r="AA88" s="1103" t="e">
        <f>Y88*1000/invanare</f>
        <v>#DIV/0!</v>
      </c>
      <c r="AB88" s="1133"/>
      <c r="AC88" s="1104" t="str">
        <f>IF(ISERROR((AA88-AB88)/AB88)," ",((AA88-AB88)/AB88))</f>
        <v xml:space="preserve"> </v>
      </c>
      <c r="AD88" s="1094" t="e">
        <f>IF(AA88="","Belopp saknas",IF(OR(AC88&gt;40%,AC88&lt;-40%),"Kommentera förändringen",IF(OR(AC88&gt;30%,AC88&lt;-30%),"Kontrollera förändringen","")))</f>
        <v>#DIV/0!</v>
      </c>
      <c r="AE88" s="1095"/>
      <c r="AF88" s="1091">
        <f t="shared" si="8"/>
        <v>0</v>
      </c>
      <c r="AG88" s="1912">
        <f t="shared" si="25"/>
        <v>0</v>
      </c>
      <c r="AH88" s="2222">
        <f>W88-V88-SUM(Motpart!Y39:Z39)</f>
        <v>0</v>
      </c>
    </row>
    <row r="89" spans="1:34" ht="12.75" customHeight="1" thickBot="1">
      <c r="A89" s="2559" t="s">
        <v>272</v>
      </c>
      <c r="B89" s="979" t="s">
        <v>123</v>
      </c>
      <c r="C89" s="458">
        <f>SUM(C87:C88)</f>
        <v>0</v>
      </c>
      <c r="D89" s="459">
        <f t="shared" ref="D89:P89" si="28">SUM(D87:D88)</f>
        <v>0</v>
      </c>
      <c r="E89" s="458">
        <f t="shared" si="28"/>
        <v>0</v>
      </c>
      <c r="F89" s="458">
        <f t="shared" si="28"/>
        <v>0</v>
      </c>
      <c r="G89" s="458">
        <f t="shared" si="28"/>
        <v>0</v>
      </c>
      <c r="H89" s="459">
        <f t="shared" si="28"/>
        <v>0</v>
      </c>
      <c r="I89" s="458">
        <f t="shared" si="28"/>
        <v>0</v>
      </c>
      <c r="J89" s="460">
        <f t="shared" si="28"/>
        <v>0</v>
      </c>
      <c r="K89" s="158"/>
      <c r="L89" s="457">
        <f>SUM(L87:L88)</f>
        <v>0</v>
      </c>
      <c r="M89" s="458">
        <f t="shared" si="28"/>
        <v>0</v>
      </c>
      <c r="N89" s="459">
        <f t="shared" si="28"/>
        <v>0</v>
      </c>
      <c r="O89" s="459">
        <f t="shared" si="28"/>
        <v>0</v>
      </c>
      <c r="P89" s="460">
        <f t="shared" si="28"/>
        <v>0</v>
      </c>
      <c r="Q89" s="55"/>
      <c r="R89" s="457">
        <f>SUM(R87:R88)</f>
        <v>0</v>
      </c>
      <c r="S89" s="458">
        <f>SUM(S87:S88)</f>
        <v>0</v>
      </c>
      <c r="T89" s="460">
        <f>SUM(T87:T88)</f>
        <v>0</v>
      </c>
      <c r="U89" s="55"/>
      <c r="V89" s="484">
        <f>SUM(V87:V88)</f>
        <v>0</v>
      </c>
      <c r="W89" s="483">
        <f>SUM(W87:W88)</f>
        <v>0</v>
      </c>
      <c r="X89" s="60"/>
      <c r="Y89" s="1983">
        <f>P89-V89-SUM(Motpart!Y38:Z39)</f>
        <v>0</v>
      </c>
      <c r="Z89" s="1135" t="e">
        <f>(P89-W89)*1000/invanare</f>
        <v>#DIV/0!</v>
      </c>
      <c r="AA89" s="1136" t="e">
        <f>Y89*1000/invanare</f>
        <v>#DIV/0!</v>
      </c>
      <c r="AB89" s="1092"/>
      <c r="AC89" s="1137" t="str">
        <f>IF(ISERROR((AA89-AB89)/AB89)," ",((AA89-AB89)/AB89))</f>
        <v xml:space="preserve"> </v>
      </c>
      <c r="AD89" s="1094"/>
      <c r="AE89" s="1095"/>
      <c r="AF89" s="1810">
        <f t="shared" si="8"/>
        <v>0</v>
      </c>
      <c r="AG89" s="1916">
        <f t="shared" si="25"/>
        <v>0</v>
      </c>
      <c r="AH89" s="2227">
        <f>W89-V89-SUM(Motpart!Y38:Z39)</f>
        <v>0</v>
      </c>
    </row>
    <row r="90" spans="1:34" ht="12.75" customHeight="1" thickBot="1">
      <c r="A90" s="2559" t="s">
        <v>273</v>
      </c>
      <c r="B90" s="979" t="s">
        <v>20</v>
      </c>
      <c r="C90" s="448">
        <f t="shared" ref="C90:J90" si="29">SUM(C17,C30,C43,C68,C85,C89)</f>
        <v>0</v>
      </c>
      <c r="D90" s="449">
        <f t="shared" si="29"/>
        <v>0</v>
      </c>
      <c r="E90" s="448">
        <f t="shared" si="29"/>
        <v>0</v>
      </c>
      <c r="F90" s="448">
        <f t="shared" si="29"/>
        <v>0</v>
      </c>
      <c r="G90" s="448">
        <f t="shared" si="29"/>
        <v>0</v>
      </c>
      <c r="H90" s="449">
        <f t="shared" si="29"/>
        <v>0</v>
      </c>
      <c r="I90" s="448">
        <f t="shared" si="29"/>
        <v>0</v>
      </c>
      <c r="J90" s="450">
        <f t="shared" si="29"/>
        <v>0</v>
      </c>
      <c r="K90" s="157"/>
      <c r="L90" s="451">
        <f>SUM(L17,L30,L43,L68,L85,L89)</f>
        <v>0</v>
      </c>
      <c r="M90" s="448">
        <f>SUM(M17,M30,M43,M68,M85,M89)</f>
        <v>0</v>
      </c>
      <c r="N90" s="449">
        <f>SUM(N17,N30,N43,N68,N85,N89)</f>
        <v>0</v>
      </c>
      <c r="O90" s="449">
        <f>SUM(O17,O30,O43,O68,O85,O89)</f>
        <v>0</v>
      </c>
      <c r="P90" s="450">
        <f>SUM(P17,P30,P43,P68,P85,P89)</f>
        <v>0</v>
      </c>
      <c r="Q90" s="52"/>
      <c r="R90" s="451">
        <f>SUM(R17,R30,R43,R68,R85,R89)</f>
        <v>0</v>
      </c>
      <c r="S90" s="448">
        <f>SUM(S17,S30,S43,S68,S85,S89)</f>
        <v>0</v>
      </c>
      <c r="T90" s="450">
        <f>SUM(T17,T30,T43,T68,T85,T89)</f>
        <v>0</v>
      </c>
      <c r="U90" s="52"/>
      <c r="V90" s="482">
        <f>SUM(V17,V30,V43,V68,V85,V89)</f>
        <v>0</v>
      </c>
      <c r="W90" s="481">
        <f>SUM(W17,W30,W43,W68,W85,W89)</f>
        <v>0</v>
      </c>
      <c r="X90" s="59"/>
      <c r="Y90" s="1134">
        <f>SUM(Y17,Y30,Y43,Y51,Y67,Y85,Y89)</f>
        <v>0</v>
      </c>
      <c r="Z90" s="1135" t="e">
        <f>(P90-W90)*1000/invanare</f>
        <v>#DIV/0!</v>
      </c>
      <c r="AA90" s="1136" t="e">
        <f>SUM(AA17,AA30,AA37,AA42,AA51,AA67,AA77,AA83,AA89)</f>
        <v>#DIV/0!</v>
      </c>
      <c r="AB90" s="1092"/>
      <c r="AC90" s="1920" t="str">
        <f>IF(ISERROR((AA90-AB90)/AB90)," ",((AA90-AB90)/AB90))</f>
        <v xml:space="preserve"> </v>
      </c>
      <c r="AD90" s="2308" t="e">
        <f>IF(AA90="","Belopp saknas",IF(OR(AC90&gt;40%,AC90&lt;-30%),"Kommentera förändringen",""))</f>
        <v>#DIV/0!</v>
      </c>
      <c r="AE90" s="1921" t="str">
        <f>IF(ISERROR(F90/(AA90/1000*invanare)),"",(F90/(AA90/100000*invanare)))</f>
        <v/>
      </c>
      <c r="AF90" s="1926">
        <f t="shared" si="8"/>
        <v>0</v>
      </c>
      <c r="AG90" s="1927">
        <f t="shared" si="25"/>
        <v>0</v>
      </c>
      <c r="AH90" s="2228">
        <f>SUM(AH17,AH30,AH43,AH51,AH67,AH85,AH89)</f>
        <v>0</v>
      </c>
    </row>
    <row r="91" spans="1:34" ht="38.25" customHeight="1" thickBot="1">
      <c r="A91" s="2563"/>
      <c r="B91" s="980" t="s">
        <v>124</v>
      </c>
      <c r="C91" s="557"/>
      <c r="D91" s="558"/>
      <c r="E91" s="559"/>
      <c r="F91" s="559"/>
      <c r="G91" s="559"/>
      <c r="H91" s="558"/>
      <c r="I91" s="559"/>
      <c r="J91" s="560"/>
      <c r="K91" s="30"/>
      <c r="L91" s="565"/>
      <c r="M91" s="559"/>
      <c r="N91" s="558"/>
      <c r="O91" s="558"/>
      <c r="P91" s="560"/>
      <c r="Q91" s="53"/>
      <c r="R91" s="565"/>
      <c r="S91" s="559"/>
      <c r="T91" s="560"/>
      <c r="U91" s="53"/>
      <c r="V91" s="567"/>
      <c r="W91" s="568"/>
      <c r="X91" s="30"/>
      <c r="Y91" s="1985" t="s">
        <v>1308</v>
      </c>
      <c r="Z91" s="2976"/>
      <c r="AA91" s="2977"/>
      <c r="AB91" s="2977"/>
      <c r="AC91" s="2978"/>
      <c r="AD91" s="1085"/>
      <c r="AE91" s="1095" t="str">
        <f>IF(ISERROR(F90/(AA90/1000*invanare)),"",((SUM(Motpart!D42,Motpart!F42)-SUM(Motpart!D40,Motpart!D41,Motpart!F40,Motpart!F41))/(AA90/100000*invanare)))</f>
        <v/>
      </c>
      <c r="AF91" s="1808"/>
      <c r="AG91" s="1914"/>
      <c r="AH91" s="2225"/>
    </row>
    <row r="92" spans="1:34">
      <c r="A92" s="2563"/>
      <c r="B92" s="980" t="s">
        <v>125</v>
      </c>
      <c r="C92" s="561"/>
      <c r="D92" s="562"/>
      <c r="E92" s="563"/>
      <c r="F92" s="563"/>
      <c r="G92" s="563"/>
      <c r="H92" s="562"/>
      <c r="I92" s="563"/>
      <c r="J92" s="564"/>
      <c r="K92" s="30"/>
      <c r="L92" s="566"/>
      <c r="M92" s="563"/>
      <c r="N92" s="562"/>
      <c r="O92" s="562"/>
      <c r="P92" s="564"/>
      <c r="Q92" s="53"/>
      <c r="R92" s="566"/>
      <c r="S92" s="563"/>
      <c r="T92" s="564"/>
      <c r="U92" s="53"/>
      <c r="V92" s="569"/>
      <c r="W92" s="570"/>
      <c r="X92" s="30"/>
      <c r="Y92" s="1809"/>
      <c r="Z92" s="1078"/>
      <c r="AA92" s="1078"/>
      <c r="AB92" s="1079"/>
      <c r="AC92" s="1080"/>
      <c r="AD92" s="1085"/>
      <c r="AE92" s="1118" t="e">
        <f>(C113-C109+D113-D109)*1000/invanare</f>
        <v>#DIV/0!</v>
      </c>
      <c r="AF92" s="1125"/>
      <c r="AG92" s="1913"/>
      <c r="AH92" s="2226"/>
    </row>
    <row r="93" spans="1:34" s="659" customFormat="1">
      <c r="A93" s="2569" t="s">
        <v>274</v>
      </c>
      <c r="B93" s="989" t="s">
        <v>126</v>
      </c>
      <c r="C93" s="69"/>
      <c r="D93" s="1684"/>
      <c r="E93" s="69"/>
      <c r="F93" s="69"/>
      <c r="G93" s="69"/>
      <c r="H93" s="1684"/>
      <c r="I93" s="69"/>
      <c r="J93" s="106"/>
      <c r="K93" s="655"/>
      <c r="L93" s="541"/>
      <c r="M93" s="69"/>
      <c r="N93" s="1684"/>
      <c r="O93" s="1685">
        <f>IF(I$120=0,0,(SUM(C93:E93,G93,I93:M93)-V93)/(SUM(C$110:E$110,G$110,I$110:M$110)-V$110)*I$120)</f>
        <v>0</v>
      </c>
      <c r="P93" s="538">
        <f>SUM(C93:O93)</f>
        <v>0</v>
      </c>
      <c r="Q93" s="656"/>
      <c r="R93" s="541"/>
      <c r="S93" s="69"/>
      <c r="T93" s="106"/>
      <c r="U93" s="657"/>
      <c r="V93" s="1686"/>
      <c r="W93" s="1687">
        <f>SUM(R93:V93)</f>
        <v>0</v>
      </c>
      <c r="X93" s="658"/>
      <c r="Y93" s="1091">
        <f>P93-V93-(IF(AND(Motpart!$Y$40="",Motpart!$Z$40=""),0,IF(AND(Motpart!$Y$40=0,Motpart!$Z$40=0),0,((T93/$T$109)*(Motpart!$Y$40+Motpart!$Z$40)))))</f>
        <v>0</v>
      </c>
      <c r="Z93" s="1138"/>
      <c r="AA93" s="1139"/>
      <c r="AB93" s="1139"/>
      <c r="AC93" s="1140"/>
      <c r="AD93" s="1141"/>
      <c r="AE93" s="1142" t="str">
        <f>IF(ISERROR(F90/(AA90/1000*invanare)),"",AE92*invanare/10/(P125-P109+J109))</f>
        <v/>
      </c>
      <c r="AF93" s="1091">
        <f t="shared" si="8"/>
        <v>0</v>
      </c>
      <c r="AG93" s="1912">
        <f t="shared" si="25"/>
        <v>0</v>
      </c>
      <c r="AH93" s="2222">
        <f>W93-V93-(IF(AND(Motpart!$Y$40="",Motpart!$Z$40=""),0,IF(AND(Motpart!$Y$40=0,Motpart!$Z$40=0),0,((T93/$T$109)*(Motpart!$Y$40+Motpart!$Z$40)))))</f>
        <v>0</v>
      </c>
    </row>
    <row r="94" spans="1:34">
      <c r="A94" s="2548" t="s">
        <v>275</v>
      </c>
      <c r="B94" s="974" t="s">
        <v>21</v>
      </c>
      <c r="C94" s="22"/>
      <c r="D94" s="20"/>
      <c r="E94" s="22"/>
      <c r="F94" s="22"/>
      <c r="G94" s="22"/>
      <c r="H94" s="23"/>
      <c r="I94" s="22"/>
      <c r="J94" s="108"/>
      <c r="K94" s="30"/>
      <c r="L94" s="111"/>
      <c r="M94" s="22"/>
      <c r="N94" s="23"/>
      <c r="O94" s="442">
        <f>IF(I$120=0,0,(SUM(C94:E94,G94,I94:M94)-V94)/(SUM(C$110:E$110,G$110,I$110:M$110)-V$110)*I$120)</f>
        <v>0</v>
      </c>
      <c r="P94" s="441">
        <f>SUM(C94:O94)</f>
        <v>0</v>
      </c>
      <c r="Q94" s="52"/>
      <c r="R94" s="111"/>
      <c r="S94" s="22"/>
      <c r="T94" s="108"/>
      <c r="U94" s="53"/>
      <c r="V94" s="121"/>
      <c r="W94" s="480">
        <f>SUM(R94:V94)</f>
        <v>0</v>
      </c>
      <c r="X94" s="59"/>
      <c r="Y94" s="1091">
        <f>P94-V94-(IF(AND(Motpart!$Y$40="",Motpart!$Z$40=""),0,IF(AND(Motpart!$Y$40=0,Motpart!$Z$40=0),0,((T94/$T$109)*(Motpart!$Y$40+Motpart!$Z$40)))))</f>
        <v>0</v>
      </c>
      <c r="Z94" s="1129"/>
      <c r="AA94" s="1130"/>
      <c r="AB94" s="1131"/>
      <c r="AC94" s="1132"/>
      <c r="AD94" s="1085"/>
      <c r="AE94" s="1095"/>
      <c r="AF94" s="1091">
        <f t="shared" si="8"/>
        <v>0</v>
      </c>
      <c r="AG94" s="1912">
        <f t="shared" si="25"/>
        <v>0</v>
      </c>
      <c r="AH94" s="2222">
        <f>W94-V94-(IF(AND(Motpart!$Y$40="",Motpart!$Z$40=""),0,IF(AND(Motpart!$Y$40=0,Motpart!$Z$40=0),0,((T94/$T$109)*(Motpart!$Y$40+Motpart!$Z$40)))))</f>
        <v>0</v>
      </c>
    </row>
    <row r="95" spans="1:34">
      <c r="A95" s="2548" t="s">
        <v>276</v>
      </c>
      <c r="B95" s="974" t="s">
        <v>22</v>
      </c>
      <c r="C95" s="22"/>
      <c r="D95" s="20"/>
      <c r="E95" s="22"/>
      <c r="F95" s="22"/>
      <c r="G95" s="22"/>
      <c r="H95" s="23"/>
      <c r="I95" s="22"/>
      <c r="J95" s="108"/>
      <c r="K95" s="30"/>
      <c r="L95" s="111"/>
      <c r="M95" s="22"/>
      <c r="N95" s="23"/>
      <c r="O95" s="442">
        <f>IF(I$120=0,0,(SUM(C95:E95,G95,I95:M95)-V95)/(SUM(C$110:E$110,G$110,I$110:M$110)-V$110)*I$120)</f>
        <v>0</v>
      </c>
      <c r="P95" s="441">
        <f>SUM(C95:O95)</f>
        <v>0</v>
      </c>
      <c r="Q95" s="52"/>
      <c r="R95" s="111"/>
      <c r="S95" s="22"/>
      <c r="T95" s="108"/>
      <c r="U95" s="53"/>
      <c r="V95" s="121"/>
      <c r="W95" s="480">
        <f>SUM(R95:V95)</f>
        <v>0</v>
      </c>
      <c r="X95" s="59"/>
      <c r="Y95" s="1091">
        <f>P95-V95-(IF(AND(Motpart!$Y$40="",Motpart!$Z$40=""),0,IF(AND(Motpart!$Y$40=0,Motpart!$Z$40=0),0,((T95/$T$109)*(Motpart!$Y$40+Motpart!$Z$40)))))</f>
        <v>0</v>
      </c>
      <c r="Z95" s="1129"/>
      <c r="AA95" s="1130"/>
      <c r="AB95" s="1131"/>
      <c r="AC95" s="1132"/>
      <c r="AD95" s="1085"/>
      <c r="AE95" s="1095"/>
      <c r="AF95" s="1091">
        <f t="shared" si="8"/>
        <v>0</v>
      </c>
      <c r="AG95" s="1912">
        <f t="shared" si="25"/>
        <v>0</v>
      </c>
      <c r="AH95" s="2222">
        <f>W95-V95-(IF(AND(Motpart!$Y$40="",Motpart!$Z$40=""),0,IF(AND(Motpart!$Y$40=0,Motpart!$Z$40=0),0,((T95/$T$109)*(Motpart!$Y$40+Motpart!$Z$40)))))</f>
        <v>0</v>
      </c>
    </row>
    <row r="96" spans="1:34">
      <c r="A96" s="2548" t="s">
        <v>277</v>
      </c>
      <c r="B96" s="974" t="s">
        <v>23</v>
      </c>
      <c r="C96" s="22"/>
      <c r="D96" s="20"/>
      <c r="E96" s="22"/>
      <c r="F96" s="22"/>
      <c r="G96" s="22"/>
      <c r="H96" s="23"/>
      <c r="I96" s="22"/>
      <c r="J96" s="108"/>
      <c r="K96" s="30"/>
      <c r="L96" s="111"/>
      <c r="M96" s="22"/>
      <c r="N96" s="23"/>
      <c r="O96" s="442">
        <f>IF(I$120=0,0,(SUM(C96:E96,G96,I96:M96)-V96)/(SUM(C$110:E$110,G$110,I$110:M$110)-V$110)*I$120)</f>
        <v>0</v>
      </c>
      <c r="P96" s="441">
        <f>SUM(C96:O96)</f>
        <v>0</v>
      </c>
      <c r="Q96" s="52"/>
      <c r="R96" s="111"/>
      <c r="S96" s="22"/>
      <c r="T96" s="108"/>
      <c r="U96" s="53"/>
      <c r="V96" s="121"/>
      <c r="W96" s="480">
        <f>SUM(R96:V96)</f>
        <v>0</v>
      </c>
      <c r="X96" s="59"/>
      <c r="Y96" s="1091">
        <f>P96-V96-(IF(AND(Motpart!$Y$40="",Motpart!$Z$40=""),0,IF(AND(Motpart!$Y$40=0,Motpart!$Z$40=0),0,((T96/$T$109)*(Motpart!$Y$40+Motpart!$Z$40)))))</f>
        <v>0</v>
      </c>
      <c r="Z96" s="1129"/>
      <c r="AA96" s="1130"/>
      <c r="AB96" s="1131"/>
      <c r="AC96" s="1132"/>
      <c r="AD96" s="1085"/>
      <c r="AE96" s="1095"/>
      <c r="AF96" s="1091">
        <f t="shared" si="8"/>
        <v>0</v>
      </c>
      <c r="AG96" s="1912">
        <f t="shared" si="25"/>
        <v>0</v>
      </c>
      <c r="AH96" s="2222">
        <f>W96-V96-(IF(AND(Motpart!$Y$40="",Motpart!$Z$40=""),0,IF(AND(Motpart!$Y$40=0,Motpart!$Z$40=0),0,((T96/$T$109)*(Motpart!$Y$40+Motpart!$Z$40)))))</f>
        <v>0</v>
      </c>
    </row>
    <row r="97" spans="1:34">
      <c r="A97" s="2548" t="s">
        <v>278</v>
      </c>
      <c r="B97" s="974" t="s">
        <v>24</v>
      </c>
      <c r="C97" s="434">
        <f>SUM(C93:C96)</f>
        <v>0</v>
      </c>
      <c r="D97" s="25">
        <f t="shared" ref="D97:P97" si="30">SUM(D93:D96)</f>
        <v>0</v>
      </c>
      <c r="E97" s="434">
        <f t="shared" si="30"/>
        <v>0</v>
      </c>
      <c r="F97" s="434">
        <f t="shared" si="30"/>
        <v>0</v>
      </c>
      <c r="G97" s="434">
        <f t="shared" si="30"/>
        <v>0</v>
      </c>
      <c r="H97" s="25">
        <f t="shared" si="30"/>
        <v>0</v>
      </c>
      <c r="I97" s="434">
        <f t="shared" si="30"/>
        <v>0</v>
      </c>
      <c r="J97" s="112">
        <f t="shared" si="30"/>
        <v>0</v>
      </c>
      <c r="K97" s="157"/>
      <c r="L97" s="443">
        <f>SUM(L93:L96)</f>
        <v>0</v>
      </c>
      <c r="M97" s="434">
        <f t="shared" si="30"/>
        <v>0</v>
      </c>
      <c r="N97" s="25">
        <f t="shared" si="30"/>
        <v>0</v>
      </c>
      <c r="O97" s="25">
        <f t="shared" si="30"/>
        <v>0</v>
      </c>
      <c r="P97" s="112">
        <f t="shared" si="30"/>
        <v>0</v>
      </c>
      <c r="Q97" s="52"/>
      <c r="R97" s="443">
        <f>SUM(R93:R96)</f>
        <v>0</v>
      </c>
      <c r="S97" s="434">
        <f>SUM(S93:S96)</f>
        <v>0</v>
      </c>
      <c r="T97" s="112">
        <f>SUM(T93:T96)</f>
        <v>0</v>
      </c>
      <c r="U97" s="53"/>
      <c r="V97" s="124">
        <f>SUM(V93:V96)</f>
        <v>0</v>
      </c>
      <c r="W97" s="125">
        <f>SUM(W93:W96)</f>
        <v>0</v>
      </c>
      <c r="X97" s="59"/>
      <c r="Y97" s="1091">
        <f>SUM(Y93:Y96)</f>
        <v>0</v>
      </c>
      <c r="Z97" s="1129"/>
      <c r="AA97" s="1130"/>
      <c r="AB97" s="1131"/>
      <c r="AC97" s="1132"/>
      <c r="AD97" s="1085"/>
      <c r="AE97" s="1095"/>
      <c r="AF97" s="1091">
        <f t="shared" si="8"/>
        <v>0</v>
      </c>
      <c r="AG97" s="1912">
        <f t="shared" si="25"/>
        <v>0</v>
      </c>
      <c r="AH97" s="2222">
        <f>SUM(AH93:AH96)</f>
        <v>0</v>
      </c>
    </row>
    <row r="98" spans="1:34">
      <c r="A98" s="2568"/>
      <c r="B98" s="983" t="s">
        <v>127</v>
      </c>
      <c r="C98" s="577"/>
      <c r="D98" s="576"/>
      <c r="E98" s="574"/>
      <c r="F98" s="574"/>
      <c r="G98" s="574"/>
      <c r="H98" s="576"/>
      <c r="I98" s="574"/>
      <c r="J98" s="575"/>
      <c r="K98" s="30"/>
      <c r="L98" s="573"/>
      <c r="M98" s="574"/>
      <c r="N98" s="576"/>
      <c r="O98" s="576"/>
      <c r="P98" s="575"/>
      <c r="Q98" s="53"/>
      <c r="R98" s="573"/>
      <c r="S98" s="574"/>
      <c r="T98" s="575"/>
      <c r="U98" s="53"/>
      <c r="V98" s="571"/>
      <c r="W98" s="572"/>
      <c r="X98" s="30"/>
      <c r="Y98" s="1091"/>
      <c r="Z98" s="1129"/>
      <c r="AA98" s="1130"/>
      <c r="AB98" s="1131"/>
      <c r="AC98" s="1132"/>
      <c r="AD98" s="1085"/>
      <c r="AE98" s="1095"/>
      <c r="AF98" s="1091"/>
      <c r="AG98" s="1912"/>
      <c r="AH98" s="2222"/>
    </row>
    <row r="99" spans="1:34">
      <c r="A99" s="2548" t="s">
        <v>279</v>
      </c>
      <c r="B99" s="976" t="s">
        <v>128</v>
      </c>
      <c r="C99" s="19"/>
      <c r="D99" s="20"/>
      <c r="E99" s="19"/>
      <c r="F99" s="19"/>
      <c r="G99" s="19"/>
      <c r="H99" s="20"/>
      <c r="I99" s="19"/>
      <c r="J99" s="107"/>
      <c r="K99" s="30"/>
      <c r="L99" s="110"/>
      <c r="M99" s="19"/>
      <c r="N99" s="20"/>
      <c r="O99" s="442">
        <f>IF(I$120=0,0,(SUM(C99:E99,G99,I99:M99)-V99)/(SUM(C$110:E$110,G$110,I$110:M$110)-V$110)*I$120)</f>
        <v>0</v>
      </c>
      <c r="P99" s="441">
        <f>SUM(C99:O99)</f>
        <v>0</v>
      </c>
      <c r="Q99" s="52"/>
      <c r="R99" s="110"/>
      <c r="S99" s="19"/>
      <c r="T99" s="107"/>
      <c r="U99" s="53"/>
      <c r="V99" s="120"/>
      <c r="W99" s="480">
        <f>SUM(R99:V99)</f>
        <v>0</v>
      </c>
      <c r="X99" s="59"/>
      <c r="Y99" s="1091">
        <f>P99-V99-(IF(AND(Motpart!$Y$40="",Motpart!$Z$40=""),0,IF(AND(Motpart!$Y$40=0,Motpart!$Z$40=0),0,((T99/$T$109)*(Motpart!$Y$40+Motpart!$Z$40)))))</f>
        <v>0</v>
      </c>
      <c r="Z99" s="1129"/>
      <c r="AA99" s="1130"/>
      <c r="AB99" s="1131"/>
      <c r="AC99" s="1132"/>
      <c r="AD99" s="1085"/>
      <c r="AE99" s="1095"/>
      <c r="AF99" s="1091">
        <f t="shared" ref="AF99:AF108" si="31">P99-W99</f>
        <v>0</v>
      </c>
      <c r="AG99" s="1912">
        <f t="shared" si="25"/>
        <v>0</v>
      </c>
      <c r="AH99" s="2222">
        <f>W99-V99-(IF(AND(Motpart!$Y$40="",Motpart!$Z$40=""),0,IF(AND(Motpart!$Y$40=0,Motpart!$Z$40=0),0,((T99/$T$109)*(Motpart!$Y$40+Motpart!$Z$40)))))</f>
        <v>0</v>
      </c>
    </row>
    <row r="100" spans="1:34">
      <c r="A100" s="2548" t="s">
        <v>280</v>
      </c>
      <c r="B100" s="982" t="s">
        <v>1079</v>
      </c>
      <c r="C100" s="22"/>
      <c r="D100" s="20"/>
      <c r="E100" s="22"/>
      <c r="F100" s="22"/>
      <c r="G100" s="22"/>
      <c r="H100" s="23"/>
      <c r="I100" s="22"/>
      <c r="J100" s="108"/>
      <c r="K100" s="30"/>
      <c r="L100" s="111"/>
      <c r="M100" s="22"/>
      <c r="N100" s="23"/>
      <c r="O100" s="442">
        <f>IF(I$120=0,0,(SUM(C100:E100,G100,I100:M100)-V100)/(SUM(C$110:E$110,G$110,I$110:M$110)-V$110)*I$120)</f>
        <v>0</v>
      </c>
      <c r="P100" s="441">
        <f>SUM(C100:O100)</f>
        <v>0</v>
      </c>
      <c r="Q100" s="52"/>
      <c r="R100" s="2280"/>
      <c r="S100" s="22"/>
      <c r="T100" s="108"/>
      <c r="U100" s="53"/>
      <c r="V100" s="121"/>
      <c r="W100" s="480">
        <f>SUM(R100:V100)</f>
        <v>0</v>
      </c>
      <c r="X100" s="59"/>
      <c r="Y100" s="1091">
        <f>P100-V100-(IF(AND(Motpart!$Y$40="",Motpart!$Z$40=""),0,IF(AND(Motpart!$Y$40=0,Motpart!$Z$40=0),0,((T100/$T$109)*(Motpart!$Y$40+Motpart!$Z$40)))))</f>
        <v>0</v>
      </c>
      <c r="Z100" s="1143"/>
      <c r="AA100" s="1130"/>
      <c r="AB100" s="1131"/>
      <c r="AC100" s="1132"/>
      <c r="AD100" s="1124" t="str">
        <f>IF(AND(C100&gt;5000,R100&lt;50),"Kommentera Taxor o avgifter","")</f>
        <v/>
      </c>
      <c r="AE100" s="1118"/>
      <c r="AF100" s="1091">
        <f t="shared" si="31"/>
        <v>0</v>
      </c>
      <c r="AG100" s="1912">
        <f t="shared" si="25"/>
        <v>0</v>
      </c>
      <c r="AH100" s="2222">
        <f>W100-V100-(IF(AND(Motpart!$Y$40="",Motpart!$Z$40=""),0,IF(AND(Motpart!$Y$40=0,Motpart!$Z$40=0),0,((T100/$T$109)*(Motpart!$Y$40+Motpart!$Z$40)))))</f>
        <v>0</v>
      </c>
    </row>
    <row r="101" spans="1:34">
      <c r="A101" s="2548" t="s">
        <v>281</v>
      </c>
      <c r="B101" s="974" t="s">
        <v>25</v>
      </c>
      <c r="C101" s="22"/>
      <c r="D101" s="20"/>
      <c r="E101" s="22"/>
      <c r="F101" s="22"/>
      <c r="G101" s="22"/>
      <c r="H101" s="23"/>
      <c r="I101" s="22"/>
      <c r="J101" s="108"/>
      <c r="K101" s="30"/>
      <c r="L101" s="111"/>
      <c r="M101" s="22"/>
      <c r="N101" s="23"/>
      <c r="O101" s="442">
        <f>IF(I$120=0,0,(SUM(C101:E101,G101,I101:M101)-V101)/(SUM(C$110:E$110,G$110,I$110:M$110)-V$110)*I$120)</f>
        <v>0</v>
      </c>
      <c r="P101" s="441">
        <f>SUM(C101:O101)</f>
        <v>0</v>
      </c>
      <c r="Q101" s="52"/>
      <c r="R101" s="111"/>
      <c r="S101" s="22"/>
      <c r="T101" s="108"/>
      <c r="U101" s="53"/>
      <c r="V101" s="121"/>
      <c r="W101" s="480">
        <f>SUM(R101:V101)</f>
        <v>0</v>
      </c>
      <c r="X101" s="59"/>
      <c r="Y101" s="1091">
        <f>P101-V101-(IF(AND(Motpart!$Y$40="",Motpart!$Z$40=""),0,IF(AND(Motpart!$Y$40=0,Motpart!$Z$40=0),0,((T101/$T$109)*(Motpart!$Y$40+Motpart!$Z$40)))))</f>
        <v>0</v>
      </c>
      <c r="Z101" s="1129"/>
      <c r="AA101" s="1130"/>
      <c r="AB101" s="1131"/>
      <c r="AC101" s="1132"/>
      <c r="AD101" s="1085"/>
      <c r="AE101" s="1095"/>
      <c r="AF101" s="1091">
        <f t="shared" si="31"/>
        <v>0</v>
      </c>
      <c r="AG101" s="1912">
        <f t="shared" si="25"/>
        <v>0</v>
      </c>
      <c r="AH101" s="2222">
        <f>W101-V101-(IF(AND(Motpart!$Y$40="",Motpart!$Z$40=""),0,IF(AND(Motpart!$Y$40=0,Motpart!$Z$40=0),0,((T101/$T$109)*(Motpart!$Y$40+Motpart!$Z$40)))))</f>
        <v>0</v>
      </c>
    </row>
    <row r="102" spans="1:34">
      <c r="A102" s="2548" t="s">
        <v>282</v>
      </c>
      <c r="B102" s="974" t="s">
        <v>26</v>
      </c>
      <c r="C102" s="434">
        <f>SUM(C99:C101)</f>
        <v>0</v>
      </c>
      <c r="D102" s="25">
        <f t="shared" ref="D102:P102" si="32">SUM(D99:D101)</f>
        <v>0</v>
      </c>
      <c r="E102" s="434">
        <f t="shared" si="32"/>
        <v>0</v>
      </c>
      <c r="F102" s="434">
        <f t="shared" si="32"/>
        <v>0</v>
      </c>
      <c r="G102" s="434">
        <f t="shared" si="32"/>
        <v>0</v>
      </c>
      <c r="H102" s="25">
        <f t="shared" si="32"/>
        <v>0</v>
      </c>
      <c r="I102" s="434">
        <f t="shared" si="32"/>
        <v>0</v>
      </c>
      <c r="J102" s="112">
        <f t="shared" si="32"/>
        <v>0</v>
      </c>
      <c r="K102" s="157"/>
      <c r="L102" s="443">
        <f>SUM(L99:L101)</f>
        <v>0</v>
      </c>
      <c r="M102" s="434">
        <f t="shared" si="32"/>
        <v>0</v>
      </c>
      <c r="N102" s="25">
        <f t="shared" si="32"/>
        <v>0</v>
      </c>
      <c r="O102" s="25">
        <f t="shared" si="32"/>
        <v>0</v>
      </c>
      <c r="P102" s="112">
        <f t="shared" si="32"/>
        <v>0</v>
      </c>
      <c r="Q102" s="52"/>
      <c r="R102" s="443">
        <f>SUM(R99:R101)</f>
        <v>0</v>
      </c>
      <c r="S102" s="434">
        <f>SUM(S99:S101)</f>
        <v>0</v>
      </c>
      <c r="T102" s="112">
        <f>SUM(T99:T101)</f>
        <v>0</v>
      </c>
      <c r="U102" s="52"/>
      <c r="V102" s="124">
        <f>SUM(V99:V101)</f>
        <v>0</v>
      </c>
      <c r="W102" s="125">
        <f>SUM(W99:W101)</f>
        <v>0</v>
      </c>
      <c r="X102" s="59"/>
      <c r="Y102" s="1091">
        <f>SUM(Y99:Y101)</f>
        <v>0</v>
      </c>
      <c r="Z102" s="1129"/>
      <c r="AA102" s="1130"/>
      <c r="AB102" s="1131"/>
      <c r="AC102" s="1132"/>
      <c r="AD102" s="1085"/>
      <c r="AE102" s="1095"/>
      <c r="AF102" s="1091">
        <f t="shared" si="31"/>
        <v>0</v>
      </c>
      <c r="AG102" s="1912">
        <f t="shared" si="25"/>
        <v>0</v>
      </c>
      <c r="AH102" s="2222">
        <f>SUM(AH99:AH101)</f>
        <v>0</v>
      </c>
    </row>
    <row r="103" spans="1:34">
      <c r="A103" s="2568"/>
      <c r="B103" s="983" t="s">
        <v>129</v>
      </c>
      <c r="C103" s="577"/>
      <c r="D103" s="576"/>
      <c r="E103" s="574"/>
      <c r="F103" s="574"/>
      <c r="G103" s="574"/>
      <c r="H103" s="576"/>
      <c r="I103" s="574"/>
      <c r="J103" s="575"/>
      <c r="K103" s="30"/>
      <c r="L103" s="573"/>
      <c r="M103" s="574"/>
      <c r="N103" s="576"/>
      <c r="O103" s="576"/>
      <c r="P103" s="575"/>
      <c r="Q103" s="53"/>
      <c r="R103" s="573"/>
      <c r="S103" s="574"/>
      <c r="T103" s="575"/>
      <c r="U103" s="53"/>
      <c r="V103" s="571"/>
      <c r="W103" s="572"/>
      <c r="X103" s="30"/>
      <c r="Y103" s="1091"/>
      <c r="Z103" s="1077"/>
      <c r="AA103" s="2034"/>
      <c r="AB103" s="2035"/>
      <c r="AC103" s="1144"/>
      <c r="AD103" s="1085"/>
      <c r="AE103" s="1095"/>
      <c r="AF103" s="1091"/>
      <c r="AG103" s="1912"/>
      <c r="AH103" s="2222"/>
    </row>
    <row r="104" spans="1:34">
      <c r="A104" s="2548" t="s">
        <v>283</v>
      </c>
      <c r="B104" s="976" t="s">
        <v>130</v>
      </c>
      <c r="C104" s="19"/>
      <c r="D104" s="20"/>
      <c r="E104" s="19"/>
      <c r="F104" s="19"/>
      <c r="G104" s="19"/>
      <c r="H104" s="20"/>
      <c r="I104" s="19"/>
      <c r="J104" s="107"/>
      <c r="K104" s="30"/>
      <c r="L104" s="110"/>
      <c r="M104" s="19"/>
      <c r="N104" s="20"/>
      <c r="O104" s="442">
        <f>IF(I$120=0,0,(SUM(C104:E104,G104,I104:M104)-V104)/(SUM(C$110:E$110,G$110,I$110:M$110)-V$110)*I$120)</f>
        <v>0</v>
      </c>
      <c r="P104" s="441">
        <f>SUM(C104:O104)</f>
        <v>0</v>
      </c>
      <c r="Q104" s="52"/>
      <c r="R104" s="2282"/>
      <c r="S104" s="19"/>
      <c r="T104" s="107"/>
      <c r="U104" s="53"/>
      <c r="V104" s="120"/>
      <c r="W104" s="480">
        <f>SUM(R104:V104)</f>
        <v>0</v>
      </c>
      <c r="X104" s="59"/>
      <c r="Y104" s="1091">
        <f>P104-V104-(IF(AND(Motpart!$Y$40="",Motpart!$Z$40=""),0,IF(AND(Motpart!$Y$40=0,Motpart!$Z$40=0),0,((T104/$T$109)*(Motpart!$Y$40+Motpart!$Z$40)))))</f>
        <v>0</v>
      </c>
      <c r="Z104" s="1982"/>
      <c r="AA104" s="1964"/>
      <c r="AB104" s="1964"/>
      <c r="AC104" s="1965"/>
      <c r="AD104" s="1097" t="str">
        <f>IF(AND(C104&gt;5000,R104&lt;50),"Kommentera Taxor o avgifter","")</f>
        <v/>
      </c>
      <c r="AE104" s="1095"/>
      <c r="AF104" s="1091">
        <f t="shared" si="31"/>
        <v>0</v>
      </c>
      <c r="AG104" s="1912">
        <f t="shared" si="25"/>
        <v>0</v>
      </c>
      <c r="AH104" s="2222">
        <f>W104-V104-(IF(AND(Motpart!$Y$40="",Motpart!$Z$40=""),0,IF(AND(Motpart!$Y$40=0,Motpart!$Z$40=0),0,((T104/$T$109)*(Motpart!$Y$40+Motpart!$Z$40)))))</f>
        <v>0</v>
      </c>
    </row>
    <row r="105" spans="1:34">
      <c r="A105" s="2548" t="s">
        <v>284</v>
      </c>
      <c r="B105" s="974" t="s">
        <v>27</v>
      </c>
      <c r="C105" s="22"/>
      <c r="D105" s="20"/>
      <c r="E105" s="22"/>
      <c r="F105" s="22"/>
      <c r="G105" s="22"/>
      <c r="H105" s="23"/>
      <c r="I105" s="22"/>
      <c r="J105" s="108"/>
      <c r="K105" s="30"/>
      <c r="L105" s="111"/>
      <c r="M105" s="22"/>
      <c r="N105" s="23"/>
      <c r="O105" s="442">
        <f>IF(I$120=0,0,(SUM(C105:E105,G105,I105:M105)-V105)/(SUM(C$110:E$110,G$110,I$110:M$110)-V$110)*I$120)</f>
        <v>0</v>
      </c>
      <c r="P105" s="441">
        <f>SUM(C105:O105)</f>
        <v>0</v>
      </c>
      <c r="Q105" s="52"/>
      <c r="R105" s="2280"/>
      <c r="S105" s="22"/>
      <c r="T105" s="108"/>
      <c r="U105" s="53"/>
      <c r="V105" s="121"/>
      <c r="W105" s="480">
        <f>SUM(R105:V105)</f>
        <v>0</v>
      </c>
      <c r="X105" s="59"/>
      <c r="Y105" s="1091">
        <f>P105-V105-(IF(AND(Motpart!$Y$40="",Motpart!$Z$40=""),0,IF(AND(Motpart!$Y$40=0,Motpart!$Z$40=0),0,((T105/$T$109)*(Motpart!$Y$40+Motpart!$Z$40)))))</f>
        <v>0</v>
      </c>
      <c r="Z105" s="1963"/>
      <c r="AA105" s="1964"/>
      <c r="AB105" s="1964"/>
      <c r="AC105" s="1965"/>
      <c r="AD105" s="1097" t="str">
        <f>IF(AND(C105&gt;5000,R105&lt;50),"Kommentera Taxor o avgifter","")</f>
        <v/>
      </c>
      <c r="AE105" s="1095"/>
      <c r="AF105" s="1091">
        <f t="shared" si="31"/>
        <v>0</v>
      </c>
      <c r="AG105" s="1912">
        <f t="shared" si="25"/>
        <v>0</v>
      </c>
      <c r="AH105" s="2222">
        <f>W105-V105-(IF(AND(Motpart!$Y$40="",Motpart!$Z$40=""),0,IF(AND(Motpart!$Y$40=0,Motpart!$Z$40=0),0,((T105/$T$109)*(Motpart!$Y$40+Motpart!$Z$40)))))</f>
        <v>0</v>
      </c>
    </row>
    <row r="106" spans="1:34">
      <c r="A106" s="2548" t="s">
        <v>285</v>
      </c>
      <c r="B106" s="974" t="s">
        <v>28</v>
      </c>
      <c r="C106" s="22"/>
      <c r="D106" s="20"/>
      <c r="E106" s="22"/>
      <c r="F106" s="22"/>
      <c r="G106" s="22"/>
      <c r="H106" s="23"/>
      <c r="I106" s="22"/>
      <c r="J106" s="108"/>
      <c r="K106" s="30"/>
      <c r="L106" s="111"/>
      <c r="M106" s="22"/>
      <c r="N106" s="23"/>
      <c r="O106" s="442">
        <f>IF(I$120=0,0,(SUM(C106:E106,G106,I106:M106)-V106)/(SUM(C$110:E$110,G$110,I$110:M$110)-V$110)*I$120)</f>
        <v>0</v>
      </c>
      <c r="P106" s="441">
        <f>SUM(C106:O106)</f>
        <v>0</v>
      </c>
      <c r="Q106" s="52"/>
      <c r="R106" s="2280"/>
      <c r="S106" s="22"/>
      <c r="T106" s="108"/>
      <c r="U106" s="53"/>
      <c r="V106" s="121"/>
      <c r="W106" s="480">
        <f>SUM(R106:V106)</f>
        <v>0</v>
      </c>
      <c r="X106" s="59"/>
      <c r="Y106" s="1091">
        <f>P106-V106-(IF(AND(Motpart!$Y$40="",Motpart!$Z$40=""),0,IF(AND(Motpart!$Y$40=0,Motpart!$Z$40=0),0,((T106/$T$109)*(Motpart!$Y$40+Motpart!$Z$40)))))</f>
        <v>0</v>
      </c>
      <c r="Z106" s="1963"/>
      <c r="AA106" s="1964"/>
      <c r="AB106" s="1964"/>
      <c r="AC106" s="1965"/>
      <c r="AD106" s="1097" t="str">
        <f>IF(AND(C106&gt;5000,R106&lt;50),"Kommentera Taxor o avgifter","")</f>
        <v/>
      </c>
      <c r="AE106" s="1095"/>
      <c r="AF106" s="1091">
        <f t="shared" si="31"/>
        <v>0</v>
      </c>
      <c r="AG106" s="1912">
        <f t="shared" si="25"/>
        <v>0</v>
      </c>
      <c r="AH106" s="2222">
        <f>W106-V106-(IF(AND(Motpart!$Y$40="",Motpart!$Z$40=""),0,IF(AND(Motpart!$Y$40=0,Motpart!$Z$40=0),0,((T106/$T$109)*(Motpart!$Y$40+Motpart!$Z$40)))))</f>
        <v>0</v>
      </c>
    </row>
    <row r="107" spans="1:34">
      <c r="A107" s="2548" t="s">
        <v>286</v>
      </c>
      <c r="B107" s="974" t="s">
        <v>29</v>
      </c>
      <c r="C107" s="22"/>
      <c r="D107" s="20"/>
      <c r="E107" s="22"/>
      <c r="F107" s="22"/>
      <c r="G107" s="22"/>
      <c r="H107" s="23"/>
      <c r="I107" s="22"/>
      <c r="J107" s="108"/>
      <c r="K107" s="30"/>
      <c r="L107" s="111"/>
      <c r="M107" s="22"/>
      <c r="N107" s="23"/>
      <c r="O107" s="442">
        <f>IF(I$120=0,0,(SUM(C107:E107,G107,I107:M107)-V107)/(SUM(C$110:E$110,G$110,I$110:M$110)-V$110)*I$120)</f>
        <v>0</v>
      </c>
      <c r="P107" s="441">
        <f>SUM(C107:O107)</f>
        <v>0</v>
      </c>
      <c r="Q107" s="52"/>
      <c r="R107" s="2280"/>
      <c r="S107" s="22"/>
      <c r="T107" s="108"/>
      <c r="U107" s="53"/>
      <c r="V107" s="121"/>
      <c r="W107" s="480">
        <f>SUM(R107:V107)</f>
        <v>0</v>
      </c>
      <c r="X107" s="59"/>
      <c r="Y107" s="1091">
        <f>P107-V107-(IF(AND(Motpart!$Y$40="",Motpart!$Z$40=""),0,IF(AND(Motpart!$Y$40=0,Motpart!$Z$40=0),0,((T107/$T$109)*(Motpart!$Y$40+Motpart!$Z$40)))))</f>
        <v>0</v>
      </c>
      <c r="Z107" s="1963"/>
      <c r="AA107" s="1964"/>
      <c r="AB107" s="1964"/>
      <c r="AC107" s="1965"/>
      <c r="AD107" s="1097" t="str">
        <f>IF(AND(C107&gt;5000,R107&lt;50),"Kommentera Taxor o avgifter","")</f>
        <v/>
      </c>
      <c r="AE107" s="1095"/>
      <c r="AF107" s="1091">
        <f t="shared" si="31"/>
        <v>0</v>
      </c>
      <c r="AG107" s="1912">
        <f t="shared" si="25"/>
        <v>0</v>
      </c>
      <c r="AH107" s="2222">
        <f>W107-V107-(IF(AND(Motpart!$Y$40="",Motpart!$Z$40=""),0,IF(AND(Motpart!$Y$40=0,Motpart!$Z$40=0),0,((T107/$T$109)*(Motpart!$Y$40+Motpart!$Z$40)))))</f>
        <v>0</v>
      </c>
    </row>
    <row r="108" spans="1:34" ht="12.75" customHeight="1">
      <c r="A108" s="2548" t="s">
        <v>287</v>
      </c>
      <c r="B108" s="974" t="s">
        <v>131</v>
      </c>
      <c r="C108" s="434">
        <f>SUM(C104:C107)</f>
        <v>0</v>
      </c>
      <c r="D108" s="25">
        <f t="shared" ref="D108:P108" si="33">SUM(D104:D107)</f>
        <v>0</v>
      </c>
      <c r="E108" s="434">
        <f t="shared" si="33"/>
        <v>0</v>
      </c>
      <c r="F108" s="434">
        <f t="shared" si="33"/>
        <v>0</v>
      </c>
      <c r="G108" s="434">
        <f t="shared" si="33"/>
        <v>0</v>
      </c>
      <c r="H108" s="25">
        <f t="shared" si="33"/>
        <v>0</v>
      </c>
      <c r="I108" s="434">
        <f t="shared" si="33"/>
        <v>0</v>
      </c>
      <c r="J108" s="112">
        <f t="shared" si="33"/>
        <v>0</v>
      </c>
      <c r="K108" s="157"/>
      <c r="L108" s="443">
        <f>SUM(L104:L107)</f>
        <v>0</v>
      </c>
      <c r="M108" s="434">
        <f t="shared" si="33"/>
        <v>0</v>
      </c>
      <c r="N108" s="25">
        <f t="shared" si="33"/>
        <v>0</v>
      </c>
      <c r="O108" s="25">
        <f t="shared" si="33"/>
        <v>0</v>
      </c>
      <c r="P108" s="112">
        <f t="shared" si="33"/>
        <v>0</v>
      </c>
      <c r="Q108" s="52"/>
      <c r="R108" s="443">
        <f>SUM(R104:R107)</f>
        <v>0</v>
      </c>
      <c r="S108" s="434">
        <f>SUM(S104:S107)</f>
        <v>0</v>
      </c>
      <c r="T108" s="112">
        <f>SUM(T104:T107)</f>
        <v>0</v>
      </c>
      <c r="U108" s="52"/>
      <c r="V108" s="124">
        <f>SUM(V104:V107)</f>
        <v>0</v>
      </c>
      <c r="W108" s="125">
        <f>SUM(W104:W107)</f>
        <v>0</v>
      </c>
      <c r="X108" s="59"/>
      <c r="Y108" s="1091">
        <f>SUM(Y104:Y107)</f>
        <v>0</v>
      </c>
      <c r="Z108" s="1963"/>
      <c r="AA108" s="1964"/>
      <c r="AB108" s="1964"/>
      <c r="AC108" s="1965"/>
      <c r="AD108" s="1097"/>
      <c r="AE108" s="1095"/>
      <c r="AF108" s="1091">
        <f t="shared" si="31"/>
        <v>0</v>
      </c>
      <c r="AG108" s="1912">
        <f t="shared" si="25"/>
        <v>0</v>
      </c>
      <c r="AH108" s="2222">
        <f>SUM(AH104:AH107)</f>
        <v>0</v>
      </c>
    </row>
    <row r="109" spans="1:34" ht="12.75" customHeight="1">
      <c r="A109" s="2548" t="s">
        <v>288</v>
      </c>
      <c r="B109" s="974" t="s">
        <v>30</v>
      </c>
      <c r="C109" s="434">
        <f>SUM(C97,C102,C108)</f>
        <v>0</v>
      </c>
      <c r="D109" s="25">
        <f t="shared" ref="D109:P109" si="34">SUM(D97,D102,D108)</f>
        <v>0</v>
      </c>
      <c r="E109" s="434">
        <f t="shared" si="34"/>
        <v>0</v>
      </c>
      <c r="F109" s="434">
        <f t="shared" si="34"/>
        <v>0</v>
      </c>
      <c r="G109" s="434">
        <f t="shared" si="34"/>
        <v>0</v>
      </c>
      <c r="H109" s="25">
        <f t="shared" si="34"/>
        <v>0</v>
      </c>
      <c r="I109" s="434">
        <f t="shared" si="34"/>
        <v>0</v>
      </c>
      <c r="J109" s="112">
        <f t="shared" si="34"/>
        <v>0</v>
      </c>
      <c r="K109" s="157"/>
      <c r="L109" s="443">
        <f>SUM(L97,L102,L108)</f>
        <v>0</v>
      </c>
      <c r="M109" s="434">
        <f t="shared" si="34"/>
        <v>0</v>
      </c>
      <c r="N109" s="25">
        <f t="shared" si="34"/>
        <v>0</v>
      </c>
      <c r="O109" s="25">
        <f t="shared" si="34"/>
        <v>0</v>
      </c>
      <c r="P109" s="112">
        <f t="shared" si="34"/>
        <v>0</v>
      </c>
      <c r="Q109" s="52"/>
      <c r="R109" s="443">
        <f>SUM(R97,R102,R108)</f>
        <v>0</v>
      </c>
      <c r="S109" s="434">
        <f>SUM(S97,S102,S108)</f>
        <v>0</v>
      </c>
      <c r="T109" s="112">
        <f>SUM(T97,T102,T108)</f>
        <v>0</v>
      </c>
      <c r="U109" s="52"/>
      <c r="V109" s="124">
        <f>SUM(V97,V102,V108)</f>
        <v>0</v>
      </c>
      <c r="W109" s="125">
        <f>SUM(W97,W102,W108)</f>
        <v>0</v>
      </c>
      <c r="X109" s="59"/>
      <c r="Y109" s="1091">
        <f>P109-V109-SUM(Motpart!Y40:Z40)</f>
        <v>0</v>
      </c>
      <c r="Z109" s="1102" t="e">
        <f>(P109-W109)*1000/invanare</f>
        <v>#DIV/0!</v>
      </c>
      <c r="AA109" s="1103" t="e">
        <f>Y109*1000/invanare</f>
        <v>#DIV/0!</v>
      </c>
      <c r="AB109" s="1123"/>
      <c r="AC109" s="1104" t="str">
        <f>IF(ISERROR((AA109-AB109)/AB109)," ",((AA109-AB109)/AB109))</f>
        <v xml:space="preserve"> </v>
      </c>
      <c r="AD109" s="1094" t="e">
        <f>IF(AA109="","Belopp saknas",IF(OR(AC109&gt;45%,AC109&lt;-30%),"Kommentera förändringen",IF(OR(AC109&gt;30%,AC109&lt;-25%),"Kontrollera förändringen","")))</f>
        <v>#DIV/0!</v>
      </c>
      <c r="AE109" s="1099" t="str">
        <f>IF(ISERROR(F109/(AA109/1000*invanare)),"",(F109/(AA109/100000*invanare)))</f>
        <v/>
      </c>
      <c r="AF109" s="1091">
        <f>P109-W109</f>
        <v>0</v>
      </c>
      <c r="AG109" s="1912">
        <f>P109-F109-H109-V109</f>
        <v>0</v>
      </c>
      <c r="AH109" s="2222">
        <f>W109-V109-SUM(Motpart!Y40:Z40)</f>
        <v>0</v>
      </c>
    </row>
    <row r="110" spans="1:34" ht="12.75" customHeight="1" thickBot="1">
      <c r="A110" s="2559" t="s">
        <v>289</v>
      </c>
      <c r="B110" s="974" t="s">
        <v>132</v>
      </c>
      <c r="C110" s="434">
        <f>SUM(C90,C109)</f>
        <v>0</v>
      </c>
      <c r="D110" s="461">
        <f t="shared" ref="D110:P110" si="35">SUM(D90,D109)</f>
        <v>0</v>
      </c>
      <c r="E110" s="434">
        <f t="shared" si="35"/>
        <v>0</v>
      </c>
      <c r="F110" s="434">
        <f t="shared" si="35"/>
        <v>0</v>
      </c>
      <c r="G110" s="434">
        <f t="shared" si="35"/>
        <v>0</v>
      </c>
      <c r="H110" s="25">
        <f t="shared" si="35"/>
        <v>0</v>
      </c>
      <c r="I110" s="434">
        <f t="shared" si="35"/>
        <v>0</v>
      </c>
      <c r="J110" s="112">
        <f t="shared" si="35"/>
        <v>0</v>
      </c>
      <c r="K110" s="157"/>
      <c r="L110" s="443">
        <f>SUM(L90,L109)</f>
        <v>0</v>
      </c>
      <c r="M110" s="434">
        <f t="shared" si="35"/>
        <v>0</v>
      </c>
      <c r="N110" s="449">
        <f t="shared" si="35"/>
        <v>0</v>
      </c>
      <c r="O110" s="449">
        <f t="shared" si="35"/>
        <v>0</v>
      </c>
      <c r="P110" s="112">
        <f t="shared" si="35"/>
        <v>0</v>
      </c>
      <c r="Q110" s="52"/>
      <c r="R110" s="443">
        <f>SUM(R90,R109)</f>
        <v>0</v>
      </c>
      <c r="S110" s="434">
        <f>SUM(S90,S109)</f>
        <v>0</v>
      </c>
      <c r="T110" s="112">
        <f>SUM(T90,T109)</f>
        <v>0</v>
      </c>
      <c r="U110" s="52"/>
      <c r="V110" s="124">
        <f>SUM(V90,V109)</f>
        <v>0</v>
      </c>
      <c r="W110" s="125">
        <f>SUM(W90,W109)</f>
        <v>0</v>
      </c>
      <c r="X110" s="59"/>
      <c r="Y110" s="1127">
        <f>Y90+Y109</f>
        <v>0</v>
      </c>
      <c r="Z110" s="1135" t="e">
        <f>Z90+Z109</f>
        <v>#DIV/0!</v>
      </c>
      <c r="AA110" s="1136" t="e">
        <f>AA90+AA109</f>
        <v>#DIV/0!</v>
      </c>
      <c r="AB110" s="1136">
        <f>AB90+AB109</f>
        <v>0</v>
      </c>
      <c r="AC110" s="2036"/>
      <c r="AD110" s="1283"/>
      <c r="AE110" s="1918" t="str">
        <f>IF(ISERROR(F109/(AA109/1000*invanare)),"",SUM(Motpart!D40,Motpart!F40)/(AA109/100000*invanare))</f>
        <v/>
      </c>
      <c r="AF110" s="2032">
        <f>AF90+AF109</f>
        <v>0</v>
      </c>
      <c r="AG110" s="2033">
        <f>AG90+AG109</f>
        <v>0</v>
      </c>
      <c r="AH110" s="2229">
        <f>AH90+AH109</f>
        <v>0</v>
      </c>
    </row>
    <row r="111" spans="1:34">
      <c r="A111" s="2548" t="s">
        <v>290</v>
      </c>
      <c r="B111" s="990" t="s">
        <v>31</v>
      </c>
      <c r="C111" s="27"/>
      <c r="D111" s="28"/>
      <c r="E111" s="27"/>
      <c r="F111" s="27"/>
      <c r="G111" s="27"/>
      <c r="H111" s="28"/>
      <c r="I111" s="27"/>
      <c r="J111" s="109"/>
      <c r="K111" s="30"/>
      <c r="L111" s="113"/>
      <c r="M111" s="27"/>
      <c r="N111" s="462"/>
      <c r="O111" s="463"/>
      <c r="P111" s="123">
        <f>SUM(C111:O111)</f>
        <v>0</v>
      </c>
      <c r="Q111" s="52"/>
      <c r="R111" s="113"/>
      <c r="S111" s="27"/>
      <c r="T111" s="109"/>
      <c r="U111" s="53"/>
      <c r="V111" s="122"/>
      <c r="W111" s="123">
        <f>SUM(R111:V111)</f>
        <v>0</v>
      </c>
      <c r="X111" s="59"/>
      <c r="Y111" s="1146"/>
      <c r="Z111" s="1129"/>
      <c r="AA111" s="1130"/>
      <c r="AB111" s="1131"/>
      <c r="AC111" s="1132"/>
      <c r="AD111" s="2429" t="str">
        <f>IF(AND(P111=0,W111=0),"",IF(ABS(P111-W111)&lt;10000,"",IF(OR(AND(ABS((P111-W111)/W111)&gt;5%),ABS(P111-W111)&gt;10000),"Bruttokostn och bruttoint borde vara lika stor här. Varför finns det en differens på"&amp;" "&amp;(ROUND(P111-W111,0))&amp;" tkr?","")))</f>
        <v/>
      </c>
      <c r="AE111" s="854"/>
      <c r="AF111" s="1906"/>
      <c r="AG111" s="1907"/>
      <c r="AH111" s="2220"/>
    </row>
    <row r="112" spans="1:34" ht="13" thickBot="1">
      <c r="A112" s="2561" t="s">
        <v>291</v>
      </c>
      <c r="B112" s="974" t="s">
        <v>32</v>
      </c>
      <c r="C112" s="22"/>
      <c r="D112" s="20"/>
      <c r="E112" s="22"/>
      <c r="F112" s="22"/>
      <c r="G112" s="22"/>
      <c r="H112" s="23"/>
      <c r="I112" s="22"/>
      <c r="J112" s="108"/>
      <c r="K112" s="30"/>
      <c r="L112" s="111"/>
      <c r="M112" s="22"/>
      <c r="N112" s="464"/>
      <c r="O112" s="465"/>
      <c r="P112" s="466">
        <f>SUM(C112:O112)</f>
        <v>0</v>
      </c>
      <c r="Q112" s="52"/>
      <c r="R112" s="114"/>
      <c r="S112" s="115"/>
      <c r="T112" s="116"/>
      <c r="U112" s="53"/>
      <c r="V112" s="2284">
        <f>SUM(I118:I120)</f>
        <v>0</v>
      </c>
      <c r="W112" s="125">
        <f>SUM(R112:V112)</f>
        <v>0</v>
      </c>
      <c r="X112" s="59"/>
      <c r="Y112" s="1088"/>
      <c r="Z112" s="1147"/>
      <c r="AA112" s="1106"/>
      <c r="AB112" s="1107"/>
      <c r="AC112" s="1108"/>
      <c r="AD112" s="2046" t="str">
        <f>IF(ISERROR(D112/C112),"",IF(C112&gt;999,IF(OR(D112/C112&gt;43%,D112/C112&lt;37%),"PO avviker från rekom." &amp;" "&amp;(ROUND(D112*100/C112,0))&amp;"%",""),""))</f>
        <v/>
      </c>
      <c r="AE112" s="854"/>
      <c r="AF112" s="1906"/>
      <c r="AG112" s="1907"/>
      <c r="AH112" s="2220"/>
    </row>
    <row r="113" spans="1:34" ht="12.75" customHeight="1" thickBot="1">
      <c r="A113" s="2560" t="s">
        <v>292</v>
      </c>
      <c r="B113" s="991" t="s">
        <v>33</v>
      </c>
      <c r="C113" s="470">
        <f>SUM(C110:C112)</f>
        <v>0</v>
      </c>
      <c r="D113" s="469">
        <f t="shared" ref="D113:W113" si="36">SUM(D110:D112)</f>
        <v>0</v>
      </c>
      <c r="E113" s="468">
        <f t="shared" si="36"/>
        <v>0</v>
      </c>
      <c r="F113" s="468">
        <f t="shared" si="36"/>
        <v>0</v>
      </c>
      <c r="G113" s="468">
        <f t="shared" si="36"/>
        <v>0</v>
      </c>
      <c r="H113" s="469">
        <f t="shared" si="36"/>
        <v>0</v>
      </c>
      <c r="I113" s="471">
        <f t="shared" si="36"/>
        <v>0</v>
      </c>
      <c r="J113" s="472">
        <f t="shared" si="36"/>
        <v>0</v>
      </c>
      <c r="K113" s="157"/>
      <c r="L113" s="467">
        <f>SUM(L110:L112)</f>
        <v>0</v>
      </c>
      <c r="M113" s="468">
        <f t="shared" si="36"/>
        <v>0</v>
      </c>
      <c r="N113" s="469">
        <f t="shared" si="36"/>
        <v>0</v>
      </c>
      <c r="O113" s="469">
        <f>SUM(O110:O112)</f>
        <v>0</v>
      </c>
      <c r="P113" s="2018">
        <f>SUM(P110:P112)</f>
        <v>0</v>
      </c>
      <c r="Q113" s="52"/>
      <c r="R113" s="470">
        <f t="shared" si="36"/>
        <v>0</v>
      </c>
      <c r="S113" s="468">
        <f t="shared" si="36"/>
        <v>0</v>
      </c>
      <c r="T113" s="469">
        <f t="shared" si="36"/>
        <v>0</v>
      </c>
      <c r="U113" s="119"/>
      <c r="V113" s="485">
        <f t="shared" si="36"/>
        <v>0</v>
      </c>
      <c r="W113" s="2019">
        <f t="shared" si="36"/>
        <v>0</v>
      </c>
      <c r="X113" s="59"/>
      <c r="Y113" s="1148"/>
      <c r="Z113" s="1149"/>
      <c r="AA113" s="1150"/>
      <c r="AB113" s="1151"/>
      <c r="AC113" s="1145"/>
      <c r="AD113" s="2430" t="str">
        <f>IF(ISERROR(D113/C113),"",IF(C113&gt;999,IF(OR(D113/C113&gt;43%,D113/C113&lt;37%),"PO avviker från rekom." &amp;" "&amp;(ROUND(D113*100/C113,0))&amp;"%",""),""))</f>
        <v/>
      </c>
      <c r="AE113" s="1152"/>
      <c r="AF113" s="1928"/>
      <c r="AG113" s="1910"/>
      <c r="AH113" s="2230"/>
    </row>
    <row r="114" spans="1:34">
      <c r="A114" s="1488"/>
      <c r="B114" s="1489"/>
      <c r="C114" s="1490"/>
      <c r="D114" s="2029" t="str">
        <f>IF(AND(P119&gt;0,SUM(P118+P119-D113)&lt;1),"Kommentera vad som ingår i PO! OBS! Pensionsutbetalningar ska inte ingå i kol D","")</f>
        <v/>
      </c>
      <c r="E114" s="13"/>
      <c r="F114" s="227"/>
      <c r="G114" s="29"/>
      <c r="H114" s="41"/>
      <c r="I114" s="2973" t="s">
        <v>628</v>
      </c>
      <c r="J114" s="2974"/>
      <c r="K114" s="2974"/>
      <c r="L114" s="2975"/>
      <c r="M114" s="473">
        <f>I118</f>
        <v>0</v>
      </c>
      <c r="N114" s="193" t="str">
        <f>IF(M114-M113&gt;1,"Beloppet på rad 924 borde inte vara större än beloppet i kol.M rad 950",IF(M114=0,"Kontrollera rad 924",""))</f>
        <v>Kontrollera rad 924</v>
      </c>
      <c r="O114" s="31"/>
      <c r="P114" s="2431" t="str">
        <f>IF(COUNTIF(P10:P112,"&lt;-1")&gt;0, "Det finns minst en verksamhet med negativ bruttokostnad. Stämmer det verkligen och vad är i så fall förklaringen?","")</f>
        <v/>
      </c>
      <c r="Q114" s="224"/>
      <c r="R114" s="31"/>
      <c r="S114" s="31"/>
      <c r="T114" s="31"/>
      <c r="U114" s="224"/>
      <c r="V114" s="31"/>
      <c r="W114" s="31"/>
      <c r="X114" s="31"/>
      <c r="Y114" s="31"/>
      <c r="Z114" s="58"/>
      <c r="AA114" s="58"/>
      <c r="AB114" s="58"/>
      <c r="AC114" s="58"/>
      <c r="AD114" s="1682" t="str">
        <f>IF(OR(J113=RR!C9,J113&lt;RR!C9),"Kontrollera att interna räntekostnader finns redovisat i kolumn Kalkylerade kapitalkostnader. ","")</f>
        <v xml:space="preserve">Kontrollera att interna räntekostnader finns redovisat i kolumn Kalkylerade kapitalkostnader. </v>
      </c>
      <c r="AE114" s="492"/>
      <c r="AF114" s="184"/>
    </row>
    <row r="115" spans="1:34" ht="13" thickBot="1">
      <c r="A115" s="10"/>
      <c r="B115" s="40"/>
      <c r="C115" s="2965" t="s">
        <v>1551</v>
      </c>
      <c r="D115" s="2966"/>
      <c r="E115" s="185"/>
      <c r="F115" s="185"/>
      <c r="G115" s="185"/>
      <c r="H115" s="31"/>
      <c r="I115" s="31"/>
      <c r="J115" s="33"/>
      <c r="K115" s="33"/>
      <c r="L115" s="229"/>
      <c r="M115" s="230"/>
      <c r="N115" s="230"/>
      <c r="O115" s="230"/>
      <c r="P115" s="2698" t="str">
        <f>IF(AND(L113&lt;&gt;0,P111=0),"Om interna lokalkostander finns, bör det även finnas kostnader för gemensamma lokaler. Stämmer uppgifterna?","")</f>
        <v/>
      </c>
      <c r="Q115" s="1854"/>
      <c r="R115" s="1855"/>
      <c r="S115" s="228"/>
      <c r="T115" s="31"/>
      <c r="U115" s="224"/>
      <c r="V115" s="31"/>
      <c r="W115" s="39"/>
      <c r="X115" s="1854"/>
      <c r="Y115" s="1855"/>
      <c r="Z115" s="200"/>
      <c r="AA115" s="200"/>
      <c r="AB115" s="6"/>
      <c r="AC115" s="11"/>
      <c r="AD115" s="2027" t="str">
        <f>IF(H112&gt;(0.05*P112),"Vad avser bidrag kol. H på rad 920?","")</f>
        <v/>
      </c>
      <c r="AE115" s="492"/>
      <c r="AF115" s="184"/>
    </row>
    <row r="116" spans="1:34" ht="16" thickBot="1">
      <c r="A116" s="231" t="s">
        <v>204</v>
      </c>
      <c r="B116" s="185"/>
      <c r="C116" s="2966"/>
      <c r="D116" s="2966"/>
      <c r="E116" s="35" t="s">
        <v>156</v>
      </c>
      <c r="F116" s="34"/>
      <c r="G116" s="31"/>
      <c r="H116" s="29"/>
      <c r="I116" s="29"/>
      <c r="J116" s="200"/>
      <c r="K116" s="200"/>
      <c r="L116" s="1153">
        <v>960</v>
      </c>
      <c r="M116" s="1166" t="s">
        <v>221</v>
      </c>
      <c r="N116" s="1167"/>
      <c r="O116" s="1167"/>
      <c r="P116" s="474">
        <f>-SUM(D113,J113)</f>
        <v>0</v>
      </c>
      <c r="Q116" s="1689"/>
      <c r="R116" s="1690"/>
      <c r="S116" s="1153">
        <v>970</v>
      </c>
      <c r="T116" s="1154" t="s">
        <v>157</v>
      </c>
      <c r="U116" s="1155"/>
      <c r="V116" s="1156"/>
      <c r="W116" s="474">
        <f>-V113</f>
        <v>0</v>
      </c>
      <c r="X116" s="1903" t="str">
        <f>IF(AND(P117=0,W116=0),"",IF(OR(P117=0,W116=0),"Interna intäkter och kostnader ska stämma överens! Måste korrigeras",IF(AND(ABS((P117-W116)/W116)&gt;5%,ABS(P117-W116)&gt;10000),"Rätta differensen","")))</f>
        <v/>
      </c>
      <c r="Y116" s="1625"/>
      <c r="AA116" s="1491"/>
      <c r="AB116" s="1491"/>
      <c r="AC116" s="1491"/>
      <c r="AD116" s="193"/>
      <c r="AE116" s="492"/>
      <c r="AF116" s="184"/>
    </row>
    <row r="117" spans="1:34" ht="16.5" customHeight="1">
      <c r="A117" s="2952"/>
      <c r="B117" s="2968"/>
      <c r="C117" s="2966"/>
      <c r="D117" s="2966"/>
      <c r="E117" s="1153">
        <v>922</v>
      </c>
      <c r="F117" s="1167" t="s">
        <v>133</v>
      </c>
      <c r="G117" s="1167"/>
      <c r="H117" s="1167"/>
      <c r="I117" s="476">
        <f>P112-SUM(R112:T112)</f>
        <v>0</v>
      </c>
      <c r="J117" s="311"/>
      <c r="K117" s="200"/>
      <c r="L117" s="1158">
        <v>965</v>
      </c>
      <c r="M117" s="1168" t="s">
        <v>222</v>
      </c>
      <c r="N117" s="1169"/>
      <c r="O117" s="1170"/>
      <c r="P117" s="475">
        <f>-SUM(L113:O113)</f>
        <v>0</v>
      </c>
      <c r="S117" s="1158">
        <v>982</v>
      </c>
      <c r="T117" s="3001" t="s">
        <v>624</v>
      </c>
      <c r="U117" s="3002"/>
      <c r="V117" s="3003"/>
      <c r="W117" s="235"/>
      <c r="Y117" s="1491"/>
      <c r="Z117" s="1491"/>
      <c r="AA117" s="1491"/>
      <c r="AB117" s="1491"/>
      <c r="AC117" s="1491"/>
      <c r="AD117" s="185"/>
      <c r="AE117" s="492"/>
      <c r="AF117" s="184"/>
    </row>
    <row r="118" spans="1:34" ht="19.5" customHeight="1">
      <c r="A118" s="2969"/>
      <c r="B118" s="2970"/>
      <c r="C118" s="2966"/>
      <c r="D118" s="2966"/>
      <c r="E118" s="1158">
        <v>924</v>
      </c>
      <c r="F118" s="2979" t="s">
        <v>1737</v>
      </c>
      <c r="G118" s="2980"/>
      <c r="H118" s="2981"/>
      <c r="I118" s="126"/>
      <c r="J118" s="1797" t="str">
        <f>IF(SUM((L110+M110-V110-V111)-I118&gt;1),"Kommentera rad 924","")</f>
        <v/>
      </c>
      <c r="K118" s="200"/>
      <c r="L118" s="1158">
        <v>975</v>
      </c>
      <c r="M118" s="2998" t="s">
        <v>1862</v>
      </c>
      <c r="N118" s="2999"/>
      <c r="O118" s="3000"/>
      <c r="P118" s="235"/>
      <c r="S118" s="1158">
        <v>985</v>
      </c>
      <c r="T118" s="1632" t="s">
        <v>1204</v>
      </c>
      <c r="U118" s="1633"/>
      <c r="V118" s="1634"/>
      <c r="W118" s="235"/>
      <c r="X118" s="1856"/>
      <c r="Y118" s="1856"/>
      <c r="Z118" s="1491"/>
      <c r="AB118" s="1491"/>
      <c r="AC118" s="1491"/>
      <c r="AD118" s="185"/>
      <c r="AE118" s="492"/>
      <c r="AF118" s="184"/>
    </row>
    <row r="119" spans="1:34" ht="19.5" customHeight="1">
      <c r="A119" s="2969"/>
      <c r="B119" s="2970"/>
      <c r="C119" s="2966"/>
      <c r="D119" s="2966"/>
      <c r="E119" s="1158">
        <v>926</v>
      </c>
      <c r="F119" s="1172" t="s">
        <v>1096</v>
      </c>
      <c r="G119" s="1173"/>
      <c r="H119" s="1173"/>
      <c r="I119" s="477">
        <f>N113</f>
        <v>0</v>
      </c>
      <c r="J119" s="311"/>
      <c r="K119" s="200"/>
      <c r="L119" s="1158">
        <v>980</v>
      </c>
      <c r="M119" s="2995" t="s">
        <v>1792</v>
      </c>
      <c r="N119" s="2996"/>
      <c r="O119" s="2997"/>
      <c r="P119" s="235"/>
      <c r="S119" s="1158">
        <v>989</v>
      </c>
      <c r="T119" s="1632" t="s">
        <v>224</v>
      </c>
      <c r="U119" s="1633"/>
      <c r="V119" s="1634"/>
      <c r="W119" s="2447"/>
      <c r="X119" s="193" t="str">
        <f>IF(W119=0,"",IF(W119&lt;&gt;0,"Kommentera vad jämförelsestörande intäkter avser och om intäkterna även är jämförelsestörande i er ÅR?"))</f>
        <v/>
      </c>
      <c r="Y119" s="212"/>
      <c r="Z119" s="212"/>
      <c r="AA119" s="1492"/>
      <c r="AB119" s="1492"/>
      <c r="AC119" s="1492"/>
      <c r="AD119" s="1492"/>
      <c r="AE119" s="1492"/>
      <c r="AF119" s="184"/>
    </row>
    <row r="120" spans="1:34" ht="13.5" customHeight="1" thickBot="1">
      <c r="A120" s="2971"/>
      <c r="B120" s="2972"/>
      <c r="C120" s="2966"/>
      <c r="D120" s="2966"/>
      <c r="E120" s="1162">
        <v>928</v>
      </c>
      <c r="F120" s="1688" t="s">
        <v>1097</v>
      </c>
      <c r="G120" s="1174"/>
      <c r="H120" s="1175"/>
      <c r="I120" s="478">
        <f>I117-I118-I119</f>
        <v>0</v>
      </c>
      <c r="J120" s="311"/>
      <c r="K120" s="200"/>
      <c r="L120" s="1158">
        <v>982</v>
      </c>
      <c r="M120" s="1632" t="s">
        <v>1738</v>
      </c>
      <c r="N120" s="1633"/>
      <c r="O120" s="1634"/>
      <c r="P120" s="235"/>
      <c r="S120" s="1158"/>
      <c r="T120" s="1826"/>
      <c r="U120" s="1786"/>
      <c r="V120" s="1787"/>
      <c r="W120" s="2389"/>
      <c r="X120" s="1503"/>
      <c r="Y120" s="1788"/>
      <c r="Z120" s="212"/>
      <c r="AA120" s="1492"/>
      <c r="AB120" s="1492"/>
      <c r="AC120" s="1492"/>
      <c r="AD120" s="1492"/>
      <c r="AE120" s="1492"/>
      <c r="AF120" s="184"/>
    </row>
    <row r="121" spans="1:34" ht="13.5" customHeight="1">
      <c r="A121" s="212"/>
      <c r="B121" s="212"/>
      <c r="C121" s="2967"/>
      <c r="D121" s="2967"/>
      <c r="E121" s="200"/>
      <c r="F121" s="2953" t="e">
        <f>IF(SUM(I119+I120-I122)/I122&gt;0.2,"Beloppen som fördelas till verksamheterna via Kommunnyckel (rad 926) och/eller SCB-nyckel (rad 928) ökade betydligt mot det som fördelades förra året ("&amp;""&amp;(I122)&amp;" tkr). Kontrollera och rätta till eller förklara orsaken till ökningen.","")</f>
        <v>#DIV/0!</v>
      </c>
      <c r="G121" s="2954"/>
      <c r="H121" s="2954"/>
      <c r="I121" s="2454" t="str">
        <f>IF(I117=0,"",IF(SUM(I119+I120-I122)/I122&gt;0.2,"se kontoll tilll vänster",""))</f>
        <v/>
      </c>
      <c r="J121" s="200"/>
      <c r="K121" s="200"/>
      <c r="L121" s="1158">
        <v>985</v>
      </c>
      <c r="M121" s="2807" t="s">
        <v>1787</v>
      </c>
      <c r="N121" s="2807"/>
      <c r="O121" s="1732"/>
      <c r="P121" s="189"/>
      <c r="Q121" s="2988"/>
      <c r="R121" s="2989"/>
      <c r="S121" s="1157">
        <v>887</v>
      </c>
      <c r="T121" s="1159" t="s">
        <v>498</v>
      </c>
      <c r="U121" s="1160"/>
      <c r="V121" s="1161"/>
      <c r="W121" s="479">
        <f>SUM(W113,W116:W119)</f>
        <v>0</v>
      </c>
      <c r="X121" s="1691"/>
      <c r="Y121" s="212"/>
      <c r="Z121" s="212"/>
      <c r="AA121" s="1492"/>
      <c r="AB121" s="1492"/>
      <c r="AC121" s="1492"/>
      <c r="AD121" s="1492"/>
      <c r="AE121" s="1492"/>
      <c r="AF121" s="184"/>
    </row>
    <row r="122" spans="1:34" ht="12.75" customHeight="1" thickBot="1">
      <c r="A122" s="212"/>
      <c r="B122" s="212"/>
      <c r="C122" s="2967"/>
      <c r="D122" s="2967"/>
      <c r="E122" s="200"/>
      <c r="F122" s="2955"/>
      <c r="G122" s="2955"/>
      <c r="H122" s="2955"/>
      <c r="I122" s="2468"/>
      <c r="J122" s="2455"/>
      <c r="K122" s="200"/>
      <c r="L122" s="1158">
        <v>988</v>
      </c>
      <c r="M122" s="2685" t="s">
        <v>1646</v>
      </c>
      <c r="N122" s="2686"/>
      <c r="O122" s="1732"/>
      <c r="P122" s="189"/>
      <c r="Q122" s="193"/>
      <c r="R122" s="232"/>
      <c r="S122" s="1162">
        <v>990</v>
      </c>
      <c r="T122" s="1163" t="s">
        <v>94</v>
      </c>
      <c r="U122" s="1164"/>
      <c r="V122" s="1165"/>
      <c r="W122" s="127">
        <f>RR!C7</f>
        <v>0</v>
      </c>
      <c r="X122" s="1691"/>
      <c r="Y122" s="212"/>
      <c r="Z122" s="200"/>
      <c r="AA122" s="200"/>
      <c r="AB122" s="6"/>
      <c r="AC122" s="6"/>
      <c r="AD122" s="5"/>
      <c r="AE122" s="492"/>
      <c r="AF122" s="184"/>
    </row>
    <row r="123" spans="1:34">
      <c r="A123" s="212"/>
      <c r="B123" s="212"/>
      <c r="C123" s="2967"/>
      <c r="D123" s="2967"/>
      <c r="E123" s="232"/>
      <c r="F123" s="2955"/>
      <c r="G123" s="2955"/>
      <c r="H123" s="2955"/>
      <c r="I123" s="2456"/>
      <c r="J123" s="2455"/>
      <c r="K123" s="200"/>
      <c r="L123" s="1158">
        <v>989</v>
      </c>
      <c r="M123" s="1171" t="s">
        <v>223</v>
      </c>
      <c r="N123" s="2023"/>
      <c r="O123" s="1634"/>
      <c r="P123" s="2447"/>
      <c r="Q123" s="193" t="str">
        <f>IF(P123=0,"",IF(P123&lt;&gt;0,"Kommentera jämförelsestörande kostnader"))</f>
        <v/>
      </c>
      <c r="R123" s="212"/>
      <c r="S123" s="233"/>
      <c r="T123" s="233"/>
      <c r="U123" s="233"/>
      <c r="V123" s="233"/>
      <c r="W123" s="251" t="str">
        <f>IF(ABS(W121-W122)&lt;50,"",IF(OR(W122=0,W121=0),"",IF((SUM(W121)/(W122))&lt;&gt;1,(ROUND(W121-W122,0))&amp;" tkr differens mellan verks.intäkter i RR och summan av verks.intäkter här - måste rättas!","")))</f>
        <v/>
      </c>
      <c r="X123" s="212"/>
      <c r="Y123" s="212"/>
      <c r="Z123" s="200"/>
      <c r="AA123" s="200"/>
      <c r="AB123" s="6"/>
      <c r="AC123" s="6"/>
      <c r="AD123" s="5"/>
      <c r="AE123" s="492"/>
      <c r="AF123" s="184"/>
    </row>
    <row r="124" spans="1:34">
      <c r="A124" s="363"/>
      <c r="B124" s="212"/>
      <c r="C124" s="212"/>
      <c r="D124" s="200"/>
      <c r="E124" s="200"/>
      <c r="F124" s="2955"/>
      <c r="G124" s="2955"/>
      <c r="H124" s="2955"/>
      <c r="I124" s="2456"/>
      <c r="J124" s="2455"/>
      <c r="K124" s="212"/>
      <c r="L124" s="1157">
        <v>886</v>
      </c>
      <c r="M124" s="1159" t="s">
        <v>498</v>
      </c>
      <c r="N124" s="1160"/>
      <c r="O124" s="1161"/>
      <c r="P124" s="479">
        <f>SUM(P110:P112,P116:P123)</f>
        <v>0</v>
      </c>
      <c r="Q124" s="1691"/>
      <c r="R124" s="212"/>
      <c r="S124" s="233"/>
      <c r="T124" s="233"/>
      <c r="U124" s="233"/>
      <c r="V124" s="233"/>
      <c r="W124" s="233"/>
      <c r="X124" s="212"/>
      <c r="Y124" s="212"/>
      <c r="Z124" s="200"/>
      <c r="AA124" s="200"/>
      <c r="AB124" s="6"/>
      <c r="AC124" s="6"/>
      <c r="AD124" s="5"/>
      <c r="AE124" s="492"/>
      <c r="AF124" s="184"/>
    </row>
    <row r="125" spans="1:34" ht="22.5" customHeight="1" thickBot="1">
      <c r="A125" s="363"/>
      <c r="B125" s="212"/>
      <c r="C125" s="212"/>
      <c r="D125" s="200"/>
      <c r="E125" s="200"/>
      <c r="F125" s="2955"/>
      <c r="G125" s="2955"/>
      <c r="H125" s="2955"/>
      <c r="I125" s="2456"/>
      <c r="J125" s="2455"/>
      <c r="K125" s="212"/>
      <c r="L125" s="1162">
        <v>990</v>
      </c>
      <c r="M125" s="1163" t="s">
        <v>91</v>
      </c>
      <c r="N125" s="1164"/>
      <c r="O125" s="1165"/>
      <c r="P125" s="2388">
        <f>RR!C8</f>
        <v>0</v>
      </c>
      <c r="Q125" s="212"/>
      <c r="R125" s="212"/>
      <c r="S125" s="233"/>
      <c r="T125" s="233"/>
      <c r="U125" s="233"/>
      <c r="V125" s="233"/>
      <c r="W125" s="233"/>
      <c r="X125" s="212"/>
      <c r="Y125" s="212"/>
      <c r="Z125" s="200"/>
      <c r="AA125" s="200"/>
      <c r="AB125" s="6"/>
      <c r="AC125" s="6"/>
      <c r="AD125" s="5"/>
      <c r="AE125" s="492"/>
      <c r="AF125" s="184"/>
    </row>
    <row r="126" spans="1:34" ht="31.5" customHeight="1">
      <c r="A126" s="233"/>
      <c r="B126" s="233"/>
      <c r="C126" s="233"/>
      <c r="D126" s="232"/>
      <c r="E126" s="232"/>
      <c r="F126" s="2457"/>
      <c r="G126" s="2457"/>
      <c r="H126" s="2457"/>
      <c r="I126" s="2456"/>
      <c r="J126" s="232"/>
      <c r="K126" s="212"/>
      <c r="L126" s="2020"/>
      <c r="M126" s="2021"/>
      <c r="N126" s="2022"/>
      <c r="O126" s="2022"/>
      <c r="P126" s="2047" t="str">
        <f>IF(ABS(P124-P125)&lt;50,"",IF(OR(P125=0,P124=0),"",IF((SUM(P124)/(P125))&lt;&gt;1.1,(ROUND(P124-P125,0))&amp;" tkr differens mellan verks.kostn i RR och summan av verks.kostnader här - måste rättas!","")))</f>
        <v/>
      </c>
      <c r="Q126" s="200"/>
      <c r="R126" s="232"/>
      <c r="S126" s="233"/>
      <c r="T126" s="233"/>
      <c r="U126" s="212"/>
      <c r="V126" s="233"/>
      <c r="W126" s="233"/>
      <c r="X126" s="212"/>
      <c r="Y126" s="233"/>
      <c r="Z126" s="232"/>
      <c r="AA126" s="232"/>
      <c r="AB126" s="1"/>
      <c r="AC126" s="1"/>
      <c r="AD126" s="184"/>
      <c r="AE126" s="493"/>
      <c r="AF126" s="184"/>
    </row>
    <row r="127" spans="1:34" hidden="1">
      <c r="L127" s="232"/>
      <c r="M127" s="232"/>
      <c r="N127" s="232"/>
      <c r="O127" s="232"/>
      <c r="P127" s="251"/>
    </row>
    <row r="129"/>
    <row r="303" spans="16:16" hidden="1">
      <c r="P303" s="234" t="str">
        <f>IF(P124&lt;&gt;P125,"Differens mot vht kostnader i RR, måste rättas!","")</f>
        <v/>
      </c>
    </row>
  </sheetData>
  <customSheetViews>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1"/>
      <headerFooter alignWithMargins="0">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3"/>
      <headerFooter>
        <oddHeader>&amp;L&amp;8Statistiska Centralbyrån
Offentlig ekonomi&amp;R&amp;P</oddHeader>
      </headerFooter>
    </customSheetView>
  </customSheetViews>
  <mergeCells count="29">
    <mergeCell ref="Q121:R121"/>
    <mergeCell ref="R4:T4"/>
    <mergeCell ref="Z4:AB4"/>
    <mergeCell ref="M119:O119"/>
    <mergeCell ref="M118:O118"/>
    <mergeCell ref="T117:V117"/>
    <mergeCell ref="Y5:Y6"/>
    <mergeCell ref="Z31:AC31"/>
    <mergeCell ref="Z72:AC72"/>
    <mergeCell ref="Z91:AC91"/>
    <mergeCell ref="Z45:AA45"/>
    <mergeCell ref="Z52:AC52"/>
    <mergeCell ref="N5:O5"/>
    <mergeCell ref="A117:B120"/>
    <mergeCell ref="I114:L114"/>
    <mergeCell ref="Z86:AC86"/>
    <mergeCell ref="F118:H118"/>
    <mergeCell ref="AH5:AH6"/>
    <mergeCell ref="Z44:AC44"/>
    <mergeCell ref="AG5:AG6"/>
    <mergeCell ref="AF5:AF6"/>
    <mergeCell ref="Z18:AC18"/>
    <mergeCell ref="Z11:AC11"/>
    <mergeCell ref="F121:H125"/>
    <mergeCell ref="C4:D4"/>
    <mergeCell ref="E4:H4"/>
    <mergeCell ref="L4:O4"/>
    <mergeCell ref="I4:J4"/>
    <mergeCell ref="C115:D123"/>
  </mergeCells>
  <phoneticPr fontId="96" type="noConversion"/>
  <conditionalFormatting sqref="C115:D120">
    <cfRule type="expression" dxfId="126" priority="6">
      <formula>(D112/C112)&gt;0.43</formula>
    </cfRule>
    <cfRule type="expression" dxfId="125" priority="7">
      <formula>(D112/C112)&lt;0.37</formula>
    </cfRule>
  </conditionalFormatting>
  <conditionalFormatting sqref="C17:W113 C13:W15 C16:J16 L16:W16 P120:P122">
    <cfRule type="cellIs" dxfId="124" priority="33" stopIfTrue="1" operator="lessThan">
      <formula>-1</formula>
    </cfRule>
  </conditionalFormatting>
  <conditionalFormatting sqref="F121">
    <cfRule type="expression" dxfId="123" priority="116">
      <formula>(I119+I120-I122)/I122&gt;0.1</formula>
    </cfRule>
  </conditionalFormatting>
  <conditionalFormatting sqref="H47">
    <cfRule type="cellIs" dxfId="122" priority="24" stopIfTrue="1" operator="greaterThan">
      <formula>$F$47</formula>
    </cfRule>
  </conditionalFormatting>
  <conditionalFormatting sqref="H50">
    <cfRule type="cellIs" dxfId="121" priority="22" stopIfTrue="1" operator="greaterThan">
      <formula>$F$50</formula>
    </cfRule>
  </conditionalFormatting>
  <conditionalFormatting sqref="J122:J125">
    <cfRule type="expression" dxfId="120" priority="1">
      <formula>(L119+L120-M120)/M120&gt;0.1</formula>
    </cfRule>
  </conditionalFormatting>
  <conditionalFormatting sqref="P13:P14 P23:P24">
    <cfRule type="expression" dxfId="119" priority="58" stopIfTrue="1">
      <formula>$P$124&lt;100000</formula>
    </cfRule>
    <cfRule type="cellIs" dxfId="118" priority="59" stopIfTrue="1" operator="lessThan">
      <formula>1</formula>
    </cfRule>
  </conditionalFormatting>
  <conditionalFormatting sqref="P111">
    <cfRule type="expression" dxfId="117" priority="53" stopIfTrue="1">
      <formula>ABS(P111-W111)&lt;10000</formula>
    </cfRule>
    <cfRule type="expression" dxfId="116" priority="54" stopIfTrue="1">
      <formula>ABS((P111-W111)/W111)&gt;0.05</formula>
    </cfRule>
  </conditionalFormatting>
  <conditionalFormatting sqref="P117">
    <cfRule type="expression" dxfId="115" priority="49" stopIfTrue="1">
      <formula>ABS(P117-W116)&lt;10000</formula>
    </cfRule>
    <cfRule type="expression" dxfId="114" priority="50" stopIfTrue="1">
      <formula>ABS((P117-W116)/W116)&gt;0.05</formula>
    </cfRule>
  </conditionalFormatting>
  <conditionalFormatting sqref="R48">
    <cfRule type="expression" dxfId="113" priority="9" stopIfTrue="1">
      <formula>AND(C48&gt;5000,R48&lt;50)</formula>
    </cfRule>
  </conditionalFormatting>
  <conditionalFormatting sqref="R53">
    <cfRule type="cellIs" dxfId="112" priority="21" stopIfTrue="1" operator="greaterThan">
      <formula>100</formula>
    </cfRule>
  </conditionalFormatting>
  <conditionalFormatting sqref="R73:R74">
    <cfRule type="expression" dxfId="111" priority="10" stopIfTrue="1">
      <formula>AND(C73&gt;5000,R73&lt;50)</formula>
    </cfRule>
  </conditionalFormatting>
  <conditionalFormatting sqref="R76">
    <cfRule type="expression" dxfId="110" priority="12" stopIfTrue="1">
      <formula>AND(C76&gt;5000,R76&lt;50)</formula>
    </cfRule>
  </conditionalFormatting>
  <conditionalFormatting sqref="R100">
    <cfRule type="expression" dxfId="109" priority="17" stopIfTrue="1">
      <formula>AND(C100&gt;5000,R100&lt;50)</formula>
    </cfRule>
  </conditionalFormatting>
  <conditionalFormatting sqref="R104:R107">
    <cfRule type="expression" dxfId="108" priority="13" stopIfTrue="1">
      <formula>AND(C104&gt;5000,R104&lt;50)</formula>
    </cfRule>
  </conditionalFormatting>
  <conditionalFormatting sqref="T51">
    <cfRule type="expression" dxfId="107" priority="48" stopIfTrue="1">
      <formula>T51-SUM(AB53:AB55)&lt;0</formula>
    </cfRule>
  </conditionalFormatting>
  <conditionalFormatting sqref="W111">
    <cfRule type="expression" dxfId="106" priority="75" stopIfTrue="1">
      <formula>ABS(P111-W111)&lt;10000</formula>
    </cfRule>
    <cfRule type="expression" dxfId="105" priority="76" stopIfTrue="1">
      <formula>ABS((P111-W111)/W111)&gt;0.05</formula>
    </cfRule>
  </conditionalFormatting>
  <conditionalFormatting sqref="W116">
    <cfRule type="expression" dxfId="104" priority="51" stopIfTrue="1">
      <formula>ABS(P117-W116)&lt;10000</formula>
    </cfRule>
    <cfRule type="expression" dxfId="103" priority="52" stopIfTrue="1">
      <formula>ABS((P117-W116)/W116)&gt;0.05</formula>
    </cfRule>
  </conditionalFormatting>
  <conditionalFormatting sqref="W117:W118 I118 P118">
    <cfRule type="cellIs" dxfId="102" priority="32" stopIfTrue="1" operator="lessThan">
      <formula>-500</formula>
    </cfRule>
  </conditionalFormatting>
  <dataValidations count="1">
    <dataValidation type="decimal" operator="lessThan" allowBlank="1" showInputMessage="1" showErrorMessage="1" error="Beloppet ska vara i 1000 tal kr" sqref="V111 R111:U112 R93:V96 C93:N96 R99:V101 R84:V84 G114 R104:V107 C99:N101 C104:N107 C87:N88 C84:N84 I118 C79:N82 R79:V82 C111:O112 C70:N71 C73:N76 R73:V76 R70:V71 C13:N16 C19:N29 C33:N36 C39:N41 C46:N50 C53:N57 R53:V57 R46:V50 R39:V41 R33:V36 R19:V29 R13:V16 R60:V62 C60:N62 R87:V88 W117:W120 P118:P123 R64:V66 C64:N66" xr:uid="{00000000-0002-0000-0600-000000000000}">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ignoredErrors>
    <ignoredError sqref="A63:A113 A13:A61" numberStoredAsText="1"/>
  </ignoredError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FFFF00"/>
  </sheetPr>
  <dimension ref="A1:AD58"/>
  <sheetViews>
    <sheetView showGridLines="0" zoomScaleNormal="100" workbookViewId="0">
      <pane xSplit="2" ySplit="8" topLeftCell="C9" activePane="bottomRight" state="frozen"/>
      <selection activeCell="F36" sqref="F36"/>
      <selection pane="topRight" activeCell="F36" sqref="F36"/>
      <selection pane="bottomLeft" activeCell="F36" sqref="F36"/>
      <selection pane="bottomRight"/>
    </sheetView>
  </sheetViews>
  <sheetFormatPr defaultColWidth="0" defaultRowHeight="9" zeroHeight="1"/>
  <cols>
    <col min="1" max="1" width="5.453125" style="154" customWidth="1"/>
    <col min="2" max="2" width="30.54296875" style="154" customWidth="1"/>
    <col min="3" max="4" width="8.54296875" style="154" customWidth="1"/>
    <col min="5" max="11" width="9.453125" style="154" customWidth="1"/>
    <col min="12" max="12" width="8" style="154" customWidth="1"/>
    <col min="13" max="13" width="9.453125" style="154" customWidth="1"/>
    <col min="14" max="14" width="8.453125" style="154" customWidth="1"/>
    <col min="15" max="22" width="9.453125" style="154" customWidth="1"/>
    <col min="23" max="24" width="8.453125" style="154" customWidth="1"/>
    <col min="25" max="25" width="9.453125" style="154" customWidth="1"/>
    <col min="26" max="26" width="10.54296875" style="154" customWidth="1"/>
    <col min="27" max="27" width="9.453125" style="154" customWidth="1"/>
    <col min="28" max="28" width="8" style="154" customWidth="1"/>
    <col min="29" max="29" width="11.453125" style="154" customWidth="1"/>
    <col min="30" max="30" width="25.54296875" style="154" customWidth="1"/>
    <col min="31" max="16384" width="0" style="154" hidden="1"/>
  </cols>
  <sheetData>
    <row r="1" spans="1:30" s="183" customFormat="1" ht="18.75" customHeight="1">
      <c r="A1" s="182"/>
      <c r="B1" s="85"/>
      <c r="C1" s="84" t="str">
        <f>"Motpartsredovisning "&amp;År&amp;", 1 000 tal kr"</f>
        <v>Motpartsredovisning 2025, 1 000 tal kr</v>
      </c>
      <c r="D1" s="85"/>
      <c r="E1" s="182"/>
      <c r="F1" s="182"/>
      <c r="G1" s="182"/>
      <c r="H1" s="182"/>
      <c r="I1" s="182"/>
      <c r="J1" s="617">
        <f>Information!B3</f>
        <v>0</v>
      </c>
      <c r="K1" s="618">
        <f>Information!B2</f>
        <v>0</v>
      </c>
      <c r="L1" s="182"/>
      <c r="M1" s="182"/>
      <c r="N1" s="84"/>
      <c r="O1" s="182"/>
      <c r="P1" s="182"/>
      <c r="Q1" s="182"/>
      <c r="R1" s="182"/>
      <c r="S1" s="84" t="str">
        <f>"Motpartsredovisning "&amp;År&amp;", 1 000 tal kr"</f>
        <v>Motpartsredovisning 2025, 1 000 tal kr</v>
      </c>
      <c r="T1" s="182"/>
      <c r="U1" s="182"/>
      <c r="V1" s="182"/>
      <c r="W1" s="182"/>
      <c r="X1" s="182"/>
      <c r="Y1" s="182"/>
      <c r="Z1" s="617">
        <f>Information!B3</f>
        <v>0</v>
      </c>
      <c r="AA1" s="618">
        <f>Information!B2</f>
        <v>0</v>
      </c>
      <c r="AB1" s="182"/>
      <c r="AC1" s="182"/>
      <c r="AD1" s="220"/>
    </row>
    <row r="2" spans="1:30" s="183" customFormat="1" ht="11.25" customHeight="1">
      <c r="A2" s="1454"/>
      <c r="C2" s="78"/>
      <c r="D2" s="105"/>
      <c r="E2" s="46" t="s">
        <v>622</v>
      </c>
      <c r="G2" s="220"/>
      <c r="H2" s="220"/>
      <c r="I2" s="1669"/>
      <c r="J2" s="46" t="s">
        <v>1168</v>
      </c>
      <c r="M2" s="220"/>
      <c r="N2" s="77"/>
      <c r="O2" s="220"/>
      <c r="P2" s="220"/>
      <c r="Q2" s="220"/>
      <c r="R2" s="220"/>
      <c r="S2" s="220"/>
      <c r="T2" s="220"/>
      <c r="U2" s="220"/>
      <c r="V2" s="220"/>
      <c r="W2" s="220"/>
      <c r="X2" s="220"/>
      <c r="Y2" s="220"/>
      <c r="Z2" s="220"/>
      <c r="AA2" s="220"/>
      <c r="AB2" s="220"/>
      <c r="AC2" s="220"/>
      <c r="AD2" s="220"/>
    </row>
    <row r="3" spans="1:30" ht="11.25" customHeight="1" thickBot="1">
      <c r="C3" s="132"/>
      <c r="D3" s="419"/>
      <c r="E3" s="46" t="s">
        <v>983</v>
      </c>
      <c r="F3" s="44"/>
      <c r="G3" s="44"/>
      <c r="H3" s="44"/>
      <c r="I3" s="44"/>
      <c r="J3" s="46" t="s">
        <v>1039</v>
      </c>
      <c r="K3" s="45"/>
      <c r="L3" s="45"/>
      <c r="M3" s="45"/>
      <c r="N3" s="44"/>
      <c r="O3" s="44"/>
      <c r="P3" s="44"/>
      <c r="Q3" s="44"/>
      <c r="R3" s="44"/>
      <c r="S3" s="44"/>
      <c r="T3" s="44"/>
      <c r="U3" s="44"/>
      <c r="V3" s="44"/>
      <c r="W3" s="44"/>
      <c r="X3" s="44"/>
      <c r="Y3" s="44"/>
      <c r="Z3" s="44"/>
      <c r="AA3" s="44"/>
      <c r="AB3" s="44"/>
      <c r="AC3" s="44"/>
    </row>
    <row r="4" spans="1:30" s="1572" customFormat="1" ht="18" customHeight="1">
      <c r="A4" s="1564" t="s">
        <v>864</v>
      </c>
      <c r="B4" s="1565" t="s">
        <v>13</v>
      </c>
      <c r="C4" s="1554"/>
      <c r="D4" s="1573" t="s">
        <v>1045</v>
      </c>
      <c r="E4" s="1565"/>
      <c r="F4" s="1565"/>
      <c r="G4" s="1565"/>
      <c r="H4" s="1565"/>
      <c r="I4" s="1565"/>
      <c r="J4" s="1565"/>
      <c r="K4" s="1565"/>
      <c r="L4" s="1565"/>
      <c r="M4" s="1566"/>
      <c r="N4" s="1573" t="s">
        <v>1016</v>
      </c>
      <c r="O4" s="1565"/>
      <c r="P4" s="1565"/>
      <c r="Q4" s="1565"/>
      <c r="R4" s="1565"/>
      <c r="S4" s="1565"/>
      <c r="T4" s="1565"/>
      <c r="U4" s="1565"/>
      <c r="V4" s="1565"/>
      <c r="W4" s="1565"/>
      <c r="X4" s="1567"/>
      <c r="Y4" s="1574" t="s">
        <v>639</v>
      </c>
      <c r="Z4" s="1568"/>
      <c r="AA4" s="1569"/>
      <c r="AB4" s="1569"/>
      <c r="AC4" s="1570"/>
      <c r="AD4" s="1571"/>
    </row>
    <row r="5" spans="1:30" ht="36.75" customHeight="1">
      <c r="A5" s="902" t="s">
        <v>866</v>
      </c>
      <c r="B5" s="1186"/>
      <c r="C5" s="1717" t="s">
        <v>551</v>
      </c>
      <c r="D5" s="1187" t="s">
        <v>517</v>
      </c>
      <c r="E5" s="1181" t="s">
        <v>543</v>
      </c>
      <c r="F5" s="1181" t="s">
        <v>518</v>
      </c>
      <c r="G5" s="1181" t="s">
        <v>134</v>
      </c>
      <c r="H5" s="1181" t="s">
        <v>1494</v>
      </c>
      <c r="I5" s="1181" t="s">
        <v>519</v>
      </c>
      <c r="J5" s="1181" t="s">
        <v>1065</v>
      </c>
      <c r="K5" s="1181" t="s">
        <v>1597</v>
      </c>
      <c r="L5" s="1181" t="s">
        <v>162</v>
      </c>
      <c r="M5" s="1183" t="s">
        <v>560</v>
      </c>
      <c r="N5" s="1665" t="s">
        <v>551</v>
      </c>
      <c r="O5" s="1181" t="s">
        <v>517</v>
      </c>
      <c r="P5" s="1555" t="s">
        <v>543</v>
      </c>
      <c r="Q5" s="1555" t="s">
        <v>518</v>
      </c>
      <c r="R5" s="1555" t="s">
        <v>134</v>
      </c>
      <c r="S5" s="1555" t="s">
        <v>1494</v>
      </c>
      <c r="T5" s="1555" t="s">
        <v>1597</v>
      </c>
      <c r="U5" s="1555" t="s">
        <v>1067</v>
      </c>
      <c r="V5" s="1555" t="s">
        <v>1065</v>
      </c>
      <c r="W5" s="1555" t="s">
        <v>162</v>
      </c>
      <c r="X5" s="1180" t="s">
        <v>560</v>
      </c>
      <c r="Y5" s="2612" t="s">
        <v>1739</v>
      </c>
      <c r="Z5" s="1181" t="s">
        <v>1601</v>
      </c>
      <c r="AA5" s="1182" t="s">
        <v>1740</v>
      </c>
      <c r="AB5" s="1182" t="s">
        <v>521</v>
      </c>
      <c r="AC5" s="1183" t="s">
        <v>522</v>
      </c>
      <c r="AD5" s="1176" t="s">
        <v>444</v>
      </c>
    </row>
    <row r="6" spans="1:30" ht="30.75" customHeight="1">
      <c r="A6" s="1273"/>
      <c r="B6" s="2727" t="str">
        <f>"BAS "&amp;År-2000&amp;""</f>
        <v>BAS 25</v>
      </c>
      <c r="C6" s="1664"/>
      <c r="D6" s="1876" t="s">
        <v>1017</v>
      </c>
      <c r="E6" s="1877" t="s">
        <v>1018</v>
      </c>
      <c r="F6" s="1877" t="s">
        <v>1019</v>
      </c>
      <c r="G6" s="1877" t="s">
        <v>1020</v>
      </c>
      <c r="H6" s="1877" t="s">
        <v>1021</v>
      </c>
      <c r="I6" s="1877" t="s">
        <v>1022</v>
      </c>
      <c r="J6" s="1877" t="s">
        <v>1023</v>
      </c>
      <c r="K6" s="1877" t="s">
        <v>1024</v>
      </c>
      <c r="L6" s="1877" t="s">
        <v>1025</v>
      </c>
      <c r="M6" s="1184"/>
      <c r="N6" s="1666"/>
      <c r="O6" s="1876" t="s">
        <v>1017</v>
      </c>
      <c r="P6" s="1877" t="s">
        <v>1018</v>
      </c>
      <c r="Q6" s="1877" t="s">
        <v>1019</v>
      </c>
      <c r="R6" s="1877" t="s">
        <v>1020</v>
      </c>
      <c r="S6" s="1877" t="s">
        <v>1021</v>
      </c>
      <c r="T6" s="1877" t="s">
        <v>1024</v>
      </c>
      <c r="U6" s="1877" t="s">
        <v>1022</v>
      </c>
      <c r="V6" s="1877" t="s">
        <v>1023</v>
      </c>
      <c r="W6" s="1877" t="s">
        <v>1025</v>
      </c>
      <c r="X6" s="1184"/>
      <c r="Y6" s="2613" t="s">
        <v>1495</v>
      </c>
      <c r="Z6" s="1881" t="s">
        <v>1026</v>
      </c>
      <c r="AA6" s="1877" t="s">
        <v>1027</v>
      </c>
      <c r="AB6" s="1877" t="s">
        <v>142</v>
      </c>
      <c r="AC6" s="2659" t="s">
        <v>1647</v>
      </c>
      <c r="AD6" s="1177"/>
    </row>
    <row r="7" spans="1:30" ht="4.5" customHeight="1">
      <c r="A7" s="1189"/>
      <c r="B7" s="1878"/>
      <c r="C7" s="1879"/>
      <c r="D7" s="1871"/>
      <c r="E7" s="1872"/>
      <c r="F7" s="1872"/>
      <c r="G7" s="1872"/>
      <c r="H7" s="1872"/>
      <c r="I7" s="1872"/>
      <c r="J7" s="1872"/>
      <c r="K7" s="1872"/>
      <c r="L7" s="1880"/>
      <c r="M7" s="1184"/>
      <c r="N7" s="1870"/>
      <c r="O7" s="1871"/>
      <c r="P7" s="1872"/>
      <c r="Q7" s="1872"/>
      <c r="R7" s="1872"/>
      <c r="S7" s="1872"/>
      <c r="T7" s="1872"/>
      <c r="U7" s="1873"/>
      <c r="V7" s="1872"/>
      <c r="W7" s="685"/>
      <c r="X7" s="1184"/>
      <c r="Y7" s="1882"/>
      <c r="Z7" s="1883"/>
      <c r="AA7" s="1883"/>
      <c r="AB7" s="1884"/>
      <c r="AC7" s="1885"/>
      <c r="AD7" s="741"/>
    </row>
    <row r="8" spans="1:30" ht="12" hidden="1" customHeight="1">
      <c r="A8" s="1188"/>
      <c r="B8" s="1874"/>
      <c r="C8" s="1875"/>
      <c r="D8" s="1860"/>
      <c r="E8" s="1861"/>
      <c r="F8" s="1861"/>
      <c r="G8" s="1861"/>
      <c r="H8" s="1861"/>
      <c r="I8" s="1861"/>
      <c r="J8" s="1861"/>
      <c r="K8" s="1861"/>
      <c r="L8" s="1862"/>
      <c r="M8" s="1185"/>
      <c r="N8" s="1863"/>
      <c r="O8" s="1860"/>
      <c r="P8" s="1861"/>
      <c r="Q8" s="1861"/>
      <c r="R8" s="1861"/>
      <c r="S8" s="1861"/>
      <c r="T8" s="1861"/>
      <c r="U8" s="1864"/>
      <c r="V8" s="1861"/>
      <c r="W8" s="1865"/>
      <c r="X8" s="1185"/>
      <c r="Y8" s="1866"/>
      <c r="Z8" s="1867"/>
      <c r="AA8" s="1867"/>
      <c r="AB8" s="1868"/>
      <c r="AC8" s="1869"/>
      <c r="AD8" s="1178"/>
    </row>
    <row r="9" spans="1:30" ht="14.25" customHeight="1">
      <c r="A9" s="1795">
        <v>190</v>
      </c>
      <c r="B9" s="1191" t="s">
        <v>15</v>
      </c>
      <c r="C9" s="90">
        <f>Drift!F17</f>
        <v>0</v>
      </c>
      <c r="D9" s="69"/>
      <c r="E9" s="69"/>
      <c r="F9" s="69"/>
      <c r="G9" s="69"/>
      <c r="H9" s="69"/>
      <c r="I9" s="69"/>
      <c r="J9" s="1432"/>
      <c r="K9" s="201"/>
      <c r="L9" s="201"/>
      <c r="M9" s="538">
        <f>C9-SUM(D9:L9)</f>
        <v>0</v>
      </c>
      <c r="N9" s="539">
        <f>Drift!H17</f>
        <v>0</v>
      </c>
      <c r="O9" s="69"/>
      <c r="P9" s="69"/>
      <c r="Q9" s="69"/>
      <c r="R9" s="69"/>
      <c r="S9" s="69"/>
      <c r="T9" s="69"/>
      <c r="U9" s="69"/>
      <c r="V9" s="69"/>
      <c r="W9" s="69"/>
      <c r="X9" s="538">
        <f>N9-SUM(O9:W9)</f>
        <v>0</v>
      </c>
      <c r="Y9" s="541"/>
      <c r="Z9" s="69"/>
      <c r="AA9" s="69"/>
      <c r="AB9" s="69"/>
      <c r="AC9" s="106"/>
      <c r="AD9" s="636" t="str">
        <f>IF((SUM(Y9:AC9)/(Drift!T17+1))&gt;1,(ROUND(SUM(Y9:AC9)-Drift!T17,0))&amp;" tkr högre intäkter i motparten än i driften!","")</f>
        <v/>
      </c>
    </row>
    <row r="10" spans="1:30" ht="13.4" customHeight="1">
      <c r="A10" s="681" t="s">
        <v>240</v>
      </c>
      <c r="B10" s="687" t="s">
        <v>161</v>
      </c>
      <c r="C10" s="90">
        <f>Drift!F30</f>
        <v>0</v>
      </c>
      <c r="D10" s="56"/>
      <c r="E10" s="56"/>
      <c r="F10" s="56"/>
      <c r="G10" s="56"/>
      <c r="H10" s="56"/>
      <c r="I10" s="56"/>
      <c r="J10" s="1420"/>
      <c r="K10" s="57"/>
      <c r="L10" s="201"/>
      <c r="M10" s="538">
        <f t="shared" ref="M10:M41" si="0">C10-SUM(D10:L10)</f>
        <v>0</v>
      </c>
      <c r="N10" s="539">
        <f>Drift!H30</f>
        <v>0</v>
      </c>
      <c r="O10" s="56"/>
      <c r="P10" s="56"/>
      <c r="Q10" s="56"/>
      <c r="R10" s="56"/>
      <c r="S10" s="56"/>
      <c r="T10" s="56"/>
      <c r="U10" s="56"/>
      <c r="V10" s="56"/>
      <c r="W10" s="56"/>
      <c r="X10" s="538">
        <f t="shared" ref="X10:X41" si="1">N10-SUM(O10:W10)</f>
        <v>0</v>
      </c>
      <c r="Y10" s="542"/>
      <c r="Z10" s="56"/>
      <c r="AA10" s="56"/>
      <c r="AB10" s="56"/>
      <c r="AC10" s="191"/>
      <c r="AD10" s="637" t="str">
        <f>IF((SUM(Y10:AC10)/(Drift!T30+1))&gt;1,(ROUND(SUM(Y10:AC10)-Drift!T30,0))&amp;" tkr högre intäkter i motparten än i driften!","")</f>
        <v/>
      </c>
    </row>
    <row r="11" spans="1:30" ht="13.4" customHeight="1">
      <c r="A11" s="681">
        <v>339</v>
      </c>
      <c r="B11" s="687" t="s">
        <v>72</v>
      </c>
      <c r="C11" s="90">
        <f>Drift!F37</f>
        <v>0</v>
      </c>
      <c r="D11" s="69"/>
      <c r="E11" s="69"/>
      <c r="F11" s="69"/>
      <c r="G11" s="69"/>
      <c r="H11" s="69"/>
      <c r="I11" s="69"/>
      <c r="J11" s="1432"/>
      <c r="K11" s="201"/>
      <c r="L11" s="201"/>
      <c r="M11" s="538">
        <f t="shared" si="0"/>
        <v>0</v>
      </c>
      <c r="N11" s="539">
        <f>Drift!H37</f>
        <v>0</v>
      </c>
      <c r="O11" s="69"/>
      <c r="P11" s="69"/>
      <c r="Q11" s="69"/>
      <c r="R11" s="69"/>
      <c r="S11" s="69"/>
      <c r="T11" s="69"/>
      <c r="U11" s="69"/>
      <c r="V11" s="69"/>
      <c r="W11" s="69"/>
      <c r="X11" s="538">
        <f t="shared" si="1"/>
        <v>0</v>
      </c>
      <c r="Y11" s="541"/>
      <c r="Z11" s="69"/>
      <c r="AA11" s="69"/>
      <c r="AB11" s="69"/>
      <c r="AC11" s="106"/>
      <c r="AD11" s="637" t="str">
        <f>IF((SUM(Y11:AC11)/(Drift!T37+1))&gt;1,(ROUND(SUM(Y11:AC11)-Drift!T37,0))&amp;" tkr högre intäkter i motparten än i driften!","")</f>
        <v/>
      </c>
    </row>
    <row r="12" spans="1:30" ht="13.4" customHeight="1">
      <c r="A12" s="681">
        <v>359</v>
      </c>
      <c r="B12" s="687" t="s">
        <v>143</v>
      </c>
      <c r="C12" s="90">
        <f>Drift!F42</f>
        <v>0</v>
      </c>
      <c r="D12" s="69"/>
      <c r="E12" s="69"/>
      <c r="F12" s="69"/>
      <c r="G12" s="69"/>
      <c r="H12" s="69"/>
      <c r="I12" s="69"/>
      <c r="J12" s="1432"/>
      <c r="K12" s="201"/>
      <c r="L12" s="201"/>
      <c r="M12" s="538">
        <f t="shared" si="0"/>
        <v>0</v>
      </c>
      <c r="N12" s="539">
        <f>Drift!H42</f>
        <v>0</v>
      </c>
      <c r="O12" s="69"/>
      <c r="P12" s="69"/>
      <c r="Q12" s="69"/>
      <c r="R12" s="69"/>
      <c r="S12" s="69"/>
      <c r="T12" s="69"/>
      <c r="U12" s="69"/>
      <c r="V12" s="69"/>
      <c r="W12" s="69"/>
      <c r="X12" s="538">
        <f t="shared" si="1"/>
        <v>0</v>
      </c>
      <c r="Y12" s="541"/>
      <c r="Z12" s="69"/>
      <c r="AA12" s="69"/>
      <c r="AB12" s="69"/>
      <c r="AC12" s="106"/>
      <c r="AD12" s="637" t="str">
        <f>IF((SUM(Y12:AC12)/(Drift!T42+1))&gt;1,(ROUND(SUM(Y12:AC12)-Drift!T42,0))&amp;" tkr högre intäkter i motparten än i driften!","")</f>
        <v/>
      </c>
    </row>
    <row r="13" spans="1:30" ht="13.4" customHeight="1">
      <c r="A13" s="681">
        <v>407</v>
      </c>
      <c r="B13" s="687" t="s">
        <v>81</v>
      </c>
      <c r="C13" s="90">
        <f>Drift!F47</f>
        <v>0</v>
      </c>
      <c r="D13" s="56"/>
      <c r="E13" s="56"/>
      <c r="F13" s="56"/>
      <c r="G13" s="56"/>
      <c r="H13" s="56"/>
      <c r="I13" s="56"/>
      <c r="J13" s="1420"/>
      <c r="K13" s="57"/>
      <c r="L13" s="201"/>
      <c r="M13" s="1507">
        <f>C13-SUM(D13:L13)</f>
        <v>0</v>
      </c>
      <c r="N13" s="539">
        <f>Drift!H47</f>
        <v>0</v>
      </c>
      <c r="O13" s="56"/>
      <c r="P13" s="56"/>
      <c r="Q13" s="56"/>
      <c r="R13" s="56"/>
      <c r="S13" s="56"/>
      <c r="T13" s="56"/>
      <c r="U13" s="56"/>
      <c r="V13" s="56"/>
      <c r="W13" s="56"/>
      <c r="X13" s="538">
        <f t="shared" si="1"/>
        <v>0</v>
      </c>
      <c r="Y13" s="542"/>
      <c r="Z13" s="56"/>
      <c r="AA13" s="56"/>
      <c r="AB13" s="56"/>
      <c r="AC13" s="106"/>
      <c r="AD13" s="637" t="str">
        <f>IF((SUM(Y13:AC13)/(Drift!T47+1))&gt;1,(ROUND(SUM(Y13:AC13)-Drift!T47,0))&amp;" tkr högre intäkter i motparten än i driften!","")</f>
        <v/>
      </c>
    </row>
    <row r="14" spans="1:30" ht="13.4" customHeight="1">
      <c r="A14" s="681">
        <v>412</v>
      </c>
      <c r="B14" s="687" t="s">
        <v>82</v>
      </c>
      <c r="C14" s="90">
        <f>Drift!F48</f>
        <v>0</v>
      </c>
      <c r="D14" s="56"/>
      <c r="E14" s="56"/>
      <c r="F14" s="56"/>
      <c r="G14" s="56"/>
      <c r="H14" s="56"/>
      <c r="I14" s="56"/>
      <c r="J14" s="1420"/>
      <c r="K14" s="57"/>
      <c r="L14" s="201"/>
      <c r="M14" s="1507">
        <f t="shared" si="0"/>
        <v>0</v>
      </c>
      <c r="N14" s="539">
        <f>Drift!H48</f>
        <v>0</v>
      </c>
      <c r="O14" s="56"/>
      <c r="P14" s="56"/>
      <c r="Q14" s="56"/>
      <c r="R14" s="56"/>
      <c r="S14" s="56"/>
      <c r="T14" s="56"/>
      <c r="U14" s="56"/>
      <c r="V14" s="56"/>
      <c r="W14" s="56"/>
      <c r="X14" s="538">
        <f t="shared" si="1"/>
        <v>0</v>
      </c>
      <c r="Y14" s="542"/>
      <c r="Z14" s="56"/>
      <c r="AA14" s="56"/>
      <c r="AB14" s="56"/>
      <c r="AC14" s="106"/>
      <c r="AD14" s="637" t="str">
        <f>IF((SUM(Y14:AC14)/(Drift!T48+1))&gt;1,(ROUND(SUM(Y14:AC14)-Drift!T48,0))&amp;" tkr högre intäkter i motparten än i driften!","")</f>
        <v/>
      </c>
    </row>
    <row r="15" spans="1:30" ht="13.4" customHeight="1">
      <c r="A15" s="681">
        <v>425</v>
      </c>
      <c r="B15" s="687" t="s">
        <v>84</v>
      </c>
      <c r="C15" s="90">
        <f>Drift!F50</f>
        <v>0</v>
      </c>
      <c r="D15" s="56"/>
      <c r="E15" s="56"/>
      <c r="F15" s="56"/>
      <c r="G15" s="56"/>
      <c r="H15" s="56"/>
      <c r="I15" s="56"/>
      <c r="J15" s="1420"/>
      <c r="K15" s="57"/>
      <c r="L15" s="201"/>
      <c r="M15" s="1507">
        <f>C15-SUM(D15:L15)</f>
        <v>0</v>
      </c>
      <c r="N15" s="539">
        <f>Drift!H50</f>
        <v>0</v>
      </c>
      <c r="O15" s="56"/>
      <c r="P15" s="56"/>
      <c r="Q15" s="56"/>
      <c r="R15" s="56"/>
      <c r="S15" s="56"/>
      <c r="T15" s="56"/>
      <c r="U15" s="56"/>
      <c r="V15" s="56"/>
      <c r="W15" s="56"/>
      <c r="X15" s="538">
        <f t="shared" si="1"/>
        <v>0</v>
      </c>
      <c r="Y15" s="542"/>
      <c r="Z15" s="56"/>
      <c r="AA15" s="56"/>
      <c r="AB15" s="56"/>
      <c r="AC15" s="106"/>
      <c r="AD15" s="637" t="str">
        <f>IF((SUM(Y15:AC15)/(Drift!T50+1))&gt;1,(ROUND(SUM(Y15:AC15)-Drift!T50,0))&amp;" tkr högre intäkter i motparten än i driften!","")</f>
        <v/>
      </c>
    </row>
    <row r="16" spans="1:30" ht="20.25" customHeight="1">
      <c r="A16" s="681">
        <v>419</v>
      </c>
      <c r="B16" s="687" t="s">
        <v>167</v>
      </c>
      <c r="C16" s="90">
        <f>SUM(Drift!F46,Drift!F49)</f>
        <v>0</v>
      </c>
      <c r="D16" s="56"/>
      <c r="E16" s="56"/>
      <c r="F16" s="56"/>
      <c r="G16" s="56"/>
      <c r="H16" s="56"/>
      <c r="I16" s="56"/>
      <c r="J16" s="1420"/>
      <c r="K16" s="57"/>
      <c r="L16" s="201"/>
      <c r="M16" s="1507">
        <f t="shared" si="0"/>
        <v>0</v>
      </c>
      <c r="N16" s="539">
        <f>SUM(Drift!H46,Drift!H49)</f>
        <v>0</v>
      </c>
      <c r="O16" s="56"/>
      <c r="P16" s="56"/>
      <c r="Q16" s="56"/>
      <c r="R16" s="56"/>
      <c r="S16" s="56"/>
      <c r="T16" s="56"/>
      <c r="U16" s="56"/>
      <c r="V16" s="56"/>
      <c r="W16" s="56"/>
      <c r="X16" s="538">
        <f t="shared" si="1"/>
        <v>0</v>
      </c>
      <c r="Y16" s="542"/>
      <c r="Z16" s="56"/>
      <c r="AA16" s="56"/>
      <c r="AB16" s="56"/>
      <c r="AC16" s="106"/>
      <c r="AD16" s="637" t="str">
        <f>IF((SUM(Y16:AC16)/(Drift!T46+Drift!T49+1))&gt;1,(ROUND(SUM(Y16:AC16)-Drift!T46-Drift!T49,0))&amp;" tkr högre intäkter i motparten än i driften!","")</f>
        <v/>
      </c>
    </row>
    <row r="17" spans="1:30" ht="13.4" customHeight="1">
      <c r="A17" s="681">
        <v>435</v>
      </c>
      <c r="B17" s="687" t="s">
        <v>527</v>
      </c>
      <c r="C17" s="90">
        <f>Drift!F53</f>
        <v>0</v>
      </c>
      <c r="D17" s="56"/>
      <c r="E17" s="56"/>
      <c r="F17" s="56"/>
      <c r="G17" s="56"/>
      <c r="H17" s="56"/>
      <c r="I17" s="56"/>
      <c r="J17" s="1420"/>
      <c r="K17" s="57"/>
      <c r="L17" s="201"/>
      <c r="M17" s="1507">
        <f t="shared" si="0"/>
        <v>0</v>
      </c>
      <c r="N17" s="539">
        <f>Drift!H53</f>
        <v>0</v>
      </c>
      <c r="O17" s="56"/>
      <c r="P17" s="56"/>
      <c r="Q17" s="56"/>
      <c r="R17" s="56"/>
      <c r="S17" s="56"/>
      <c r="T17" s="56"/>
      <c r="U17" s="56"/>
      <c r="V17" s="56"/>
      <c r="W17" s="56"/>
      <c r="X17" s="538">
        <f t="shared" si="1"/>
        <v>0</v>
      </c>
      <c r="Y17" s="542"/>
      <c r="Z17" s="56"/>
      <c r="AA17" s="56"/>
      <c r="AB17" s="56"/>
      <c r="AC17" s="106"/>
      <c r="AD17" s="637" t="str">
        <f>IF((SUM(Y17:AC17)/(Drift!T53+1))&gt;1,(ROUND(SUM(Y17:AC17)-Drift!T53,0))&amp;" tkr högre intäkter i motparten än i driften!","")</f>
        <v/>
      </c>
    </row>
    <row r="18" spans="1:30" ht="13.4" customHeight="1">
      <c r="A18" s="681">
        <v>440</v>
      </c>
      <c r="B18" s="687" t="s">
        <v>419</v>
      </c>
      <c r="C18" s="90">
        <f>Drift!F54</f>
        <v>0</v>
      </c>
      <c r="D18" s="56"/>
      <c r="E18" s="56"/>
      <c r="F18" s="56"/>
      <c r="G18" s="56"/>
      <c r="H18" s="56"/>
      <c r="I18" s="56"/>
      <c r="J18" s="1420"/>
      <c r="K18" s="57"/>
      <c r="L18" s="201"/>
      <c r="M18" s="1507">
        <f t="shared" si="0"/>
        <v>0</v>
      </c>
      <c r="N18" s="539">
        <f>Drift!H54</f>
        <v>0</v>
      </c>
      <c r="O18" s="56"/>
      <c r="P18" s="56"/>
      <c r="Q18" s="56"/>
      <c r="R18" s="56"/>
      <c r="S18" s="56"/>
      <c r="T18" s="56"/>
      <c r="U18" s="56"/>
      <c r="V18" s="56"/>
      <c r="W18" s="56"/>
      <c r="X18" s="538">
        <f t="shared" si="1"/>
        <v>0</v>
      </c>
      <c r="Y18" s="542"/>
      <c r="Z18" s="56"/>
      <c r="AA18" s="56"/>
      <c r="AB18" s="56"/>
      <c r="AC18" s="106"/>
      <c r="AD18" s="637" t="str">
        <f>IF((SUM(Y18:AC18)/(Drift!T54+1))&gt;1,(ROUND(SUM(Y18:AC18)-Drift!T54,0))&amp;" tkr högre intäkter i motparten än i driften!","")</f>
        <v/>
      </c>
    </row>
    <row r="19" spans="1:30" ht="13.4" customHeight="1">
      <c r="A19" s="681">
        <v>443</v>
      </c>
      <c r="B19" s="687" t="s">
        <v>1744</v>
      </c>
      <c r="C19" s="90">
        <f>Drift!F55</f>
        <v>0</v>
      </c>
      <c r="D19" s="56"/>
      <c r="E19" s="56"/>
      <c r="F19" s="56"/>
      <c r="G19" s="56"/>
      <c r="H19" s="56"/>
      <c r="I19" s="56"/>
      <c r="J19" s="1420"/>
      <c r="K19" s="57"/>
      <c r="L19" s="201"/>
      <c r="M19" s="1507">
        <f t="shared" si="0"/>
        <v>0</v>
      </c>
      <c r="N19" s="539">
        <f>Drift!H55</f>
        <v>0</v>
      </c>
      <c r="O19" s="56"/>
      <c r="P19" s="56"/>
      <c r="Q19" s="56"/>
      <c r="R19" s="56"/>
      <c r="S19" s="56"/>
      <c r="T19" s="56"/>
      <c r="U19" s="56"/>
      <c r="V19" s="56"/>
      <c r="W19" s="56"/>
      <c r="X19" s="538">
        <f t="shared" si="1"/>
        <v>0</v>
      </c>
      <c r="Y19" s="542"/>
      <c r="Z19" s="56"/>
      <c r="AA19" s="56"/>
      <c r="AB19" s="56"/>
      <c r="AC19" s="106"/>
      <c r="AD19" s="637" t="str">
        <f>IF((SUM(Y19:AC19)/(Drift!T55+1))&gt;1,(ROUND(SUM(Y19:AC19)-Drift!T55,0))&amp;" tkr högre intäkter i motparten än i driften!","")</f>
        <v/>
      </c>
    </row>
    <row r="20" spans="1:30" ht="13.4" customHeight="1">
      <c r="A20" s="681">
        <v>450</v>
      </c>
      <c r="B20" s="687" t="s">
        <v>144</v>
      </c>
      <c r="C20" s="90">
        <f>Drift!F56</f>
        <v>0</v>
      </c>
      <c r="D20" s="56"/>
      <c r="E20" s="56"/>
      <c r="F20" s="56"/>
      <c r="G20" s="56"/>
      <c r="H20" s="56"/>
      <c r="I20" s="56"/>
      <c r="J20" s="1420"/>
      <c r="K20" s="57"/>
      <c r="L20" s="201"/>
      <c r="M20" s="1507">
        <f t="shared" si="0"/>
        <v>0</v>
      </c>
      <c r="N20" s="539">
        <f>Drift!H56</f>
        <v>0</v>
      </c>
      <c r="O20" s="56"/>
      <c r="P20" s="56"/>
      <c r="Q20" s="56"/>
      <c r="R20" s="56"/>
      <c r="S20" s="56"/>
      <c r="T20" s="56"/>
      <c r="U20" s="56"/>
      <c r="V20" s="56"/>
      <c r="W20" s="56"/>
      <c r="X20" s="538">
        <f t="shared" si="1"/>
        <v>0</v>
      </c>
      <c r="Y20" s="542"/>
      <c r="Z20" s="56"/>
      <c r="AA20" s="56"/>
      <c r="AB20" s="56"/>
      <c r="AC20" s="106"/>
      <c r="AD20" s="637" t="str">
        <f>IF((SUM(Y20:AC20)/(Drift!T56+1))&gt;1,(ROUND(SUM(Y20:AC20)-Drift!T56,0))&amp;" tkr högre intäkter i motparten än i driften!","")</f>
        <v/>
      </c>
    </row>
    <row r="21" spans="1:30" ht="13.4" customHeight="1">
      <c r="A21" s="681">
        <v>453</v>
      </c>
      <c r="B21" s="687" t="s">
        <v>1745</v>
      </c>
      <c r="C21" s="90">
        <f>Drift!F57</f>
        <v>0</v>
      </c>
      <c r="D21" s="56"/>
      <c r="E21" s="56"/>
      <c r="F21" s="56"/>
      <c r="G21" s="56"/>
      <c r="H21" s="56"/>
      <c r="I21" s="56"/>
      <c r="J21" s="1420"/>
      <c r="K21" s="57"/>
      <c r="L21" s="201"/>
      <c r="M21" s="1507">
        <f t="shared" si="0"/>
        <v>0</v>
      </c>
      <c r="N21" s="539">
        <f>Drift!H57</f>
        <v>0</v>
      </c>
      <c r="O21" s="56"/>
      <c r="P21" s="56"/>
      <c r="Q21" s="56"/>
      <c r="R21" s="56"/>
      <c r="S21" s="56"/>
      <c r="T21" s="56"/>
      <c r="U21" s="56"/>
      <c r="V21" s="56"/>
      <c r="W21" s="56"/>
      <c r="X21" s="538">
        <f t="shared" si="1"/>
        <v>0</v>
      </c>
      <c r="Y21" s="542"/>
      <c r="Z21" s="56"/>
      <c r="AA21" s="56"/>
      <c r="AB21" s="56"/>
      <c r="AC21" s="106"/>
      <c r="AD21" s="637" t="str">
        <f>IF((SUM(Y21:AC21)/(Drift!T57+1))&gt;1,(ROUND(SUM(Y21:AC21)-Drift!T57,0))&amp;" tkr högre intäkter i motparten än i driften!","")</f>
        <v/>
      </c>
    </row>
    <row r="22" spans="1:30" ht="13.4" customHeight="1">
      <c r="A22" s="681" t="s">
        <v>534</v>
      </c>
      <c r="B22" s="687" t="s">
        <v>420</v>
      </c>
      <c r="C22" s="90">
        <f>Drift!F60</f>
        <v>0</v>
      </c>
      <c r="D22" s="56"/>
      <c r="E22" s="56"/>
      <c r="F22" s="56"/>
      <c r="G22" s="56"/>
      <c r="H22" s="56"/>
      <c r="I22" s="56"/>
      <c r="J22" s="1420"/>
      <c r="K22" s="57"/>
      <c r="L22" s="201"/>
      <c r="M22" s="1507">
        <f t="shared" si="0"/>
        <v>0</v>
      </c>
      <c r="N22" s="539">
        <f>Drift!H60</f>
        <v>0</v>
      </c>
      <c r="O22" s="56"/>
      <c r="P22" s="56"/>
      <c r="Q22" s="56"/>
      <c r="R22" s="56"/>
      <c r="S22" s="56"/>
      <c r="T22" s="56"/>
      <c r="U22" s="56"/>
      <c r="V22" s="56"/>
      <c r="W22" s="56"/>
      <c r="X22" s="538">
        <f t="shared" si="1"/>
        <v>0</v>
      </c>
      <c r="Y22" s="542"/>
      <c r="Z22" s="56"/>
      <c r="AA22" s="56"/>
      <c r="AB22" s="56"/>
      <c r="AC22" s="106"/>
      <c r="AD22" s="637" t="str">
        <f>IF((SUM(Y22:AC22)/(Drift!T60+1))&gt;1,(ROUND(SUM(Y22:AC22)-Drift!T60,0))&amp;" tkr högre intäkter i motparten än i driften!","")</f>
        <v/>
      </c>
    </row>
    <row r="23" spans="1:30" ht="13.4" customHeight="1">
      <c r="A23" s="681" t="s">
        <v>535</v>
      </c>
      <c r="B23" s="687" t="s">
        <v>421</v>
      </c>
      <c r="C23" s="90">
        <f>Drift!F61</f>
        <v>0</v>
      </c>
      <c r="D23" s="56"/>
      <c r="E23" s="56"/>
      <c r="F23" s="56"/>
      <c r="G23" s="56"/>
      <c r="H23" s="56"/>
      <c r="I23" s="56"/>
      <c r="J23" s="1420"/>
      <c r="K23" s="57"/>
      <c r="L23" s="201"/>
      <c r="M23" s="1507">
        <f t="shared" si="0"/>
        <v>0</v>
      </c>
      <c r="N23" s="539">
        <f>Drift!H61</f>
        <v>0</v>
      </c>
      <c r="O23" s="56"/>
      <c r="P23" s="56"/>
      <c r="Q23" s="56"/>
      <c r="R23" s="56"/>
      <c r="S23" s="56"/>
      <c r="T23" s="56"/>
      <c r="U23" s="56"/>
      <c r="V23" s="56"/>
      <c r="W23" s="56"/>
      <c r="X23" s="538">
        <f>N23-SUM(O23:W23)</f>
        <v>0</v>
      </c>
      <c r="Y23" s="542"/>
      <c r="Z23" s="56"/>
      <c r="AA23" s="56"/>
      <c r="AB23" s="56"/>
      <c r="AC23" s="106"/>
      <c r="AD23" s="637" t="str">
        <f>IF((SUM(Y23:AC23)/(Drift!T61+1))&gt;1,(ROUND(SUM(Y23:AC23)-Drift!T61,0))&amp;" tkr högre intäkter i motparten än i driften!","")</f>
        <v/>
      </c>
    </row>
    <row r="24" spans="1:30" ht="13.4" customHeight="1">
      <c r="A24" s="2809">
        <v>476</v>
      </c>
      <c r="B24" s="2808" t="s">
        <v>102</v>
      </c>
      <c r="C24" s="90">
        <f>Drift!F62</f>
        <v>0</v>
      </c>
      <c r="D24" s="56"/>
      <c r="E24" s="56"/>
      <c r="F24" s="56"/>
      <c r="G24" s="56"/>
      <c r="H24" s="56"/>
      <c r="I24" s="56"/>
      <c r="J24" s="1420"/>
      <c r="K24" s="57"/>
      <c r="L24" s="201"/>
      <c r="M24" s="1507">
        <f t="shared" si="0"/>
        <v>0</v>
      </c>
      <c r="N24" s="539">
        <f>Drift!H62</f>
        <v>0</v>
      </c>
      <c r="O24" s="56"/>
      <c r="P24" s="56"/>
      <c r="Q24" s="56"/>
      <c r="R24" s="56"/>
      <c r="S24" s="56"/>
      <c r="T24" s="56"/>
      <c r="U24" s="56"/>
      <c r="V24" s="56"/>
      <c r="W24" s="56"/>
      <c r="X24" s="538">
        <f>N24-SUM(O24:W24)</f>
        <v>0</v>
      </c>
      <c r="Y24" s="541"/>
      <c r="Z24" s="56"/>
      <c r="AA24" s="56"/>
      <c r="AB24" s="56"/>
      <c r="AC24" s="106"/>
      <c r="AD24" s="637" t="str">
        <f>IF((SUM(Y24:AC24)/(Drift!T62+1))&gt;1,(ROUND(SUM(Y24:AC24)-Drift!T62,0))&amp;" tkr högre intäkter i motparten än i driften!","")</f>
        <v/>
      </c>
    </row>
    <row r="25" spans="1:30" ht="13.4" customHeight="1">
      <c r="A25" s="681">
        <v>474</v>
      </c>
      <c r="B25" s="687" t="s">
        <v>1760</v>
      </c>
      <c r="C25" s="90">
        <f>Drift!F64</f>
        <v>0</v>
      </c>
      <c r="D25" s="56"/>
      <c r="E25" s="56"/>
      <c r="F25" s="56"/>
      <c r="G25" s="56"/>
      <c r="H25" s="56"/>
      <c r="I25" s="56"/>
      <c r="J25" s="1420"/>
      <c r="K25" s="57"/>
      <c r="L25" s="201"/>
      <c r="M25" s="538">
        <f t="shared" si="0"/>
        <v>0</v>
      </c>
      <c r="N25" s="539">
        <f>Drift!H64</f>
        <v>0</v>
      </c>
      <c r="O25" s="56"/>
      <c r="P25" s="56"/>
      <c r="Q25" s="56"/>
      <c r="R25" s="56"/>
      <c r="S25" s="56"/>
      <c r="T25" s="56"/>
      <c r="U25" s="56"/>
      <c r="V25" s="56"/>
      <c r="W25" s="56"/>
      <c r="X25" s="538">
        <f t="shared" si="1"/>
        <v>0</v>
      </c>
      <c r="Y25" s="541"/>
      <c r="Z25" s="56"/>
      <c r="AA25" s="56"/>
      <c r="AB25" s="56"/>
      <c r="AC25" s="106"/>
      <c r="AD25" s="637" t="str">
        <f>IF((SUM(Y25:AC25)/(Drift!T64+1))&gt;1,(ROUND(SUM(Y25:AC25)-Drift!T64,0))&amp;" tkr högre intäkter i motparten än i driften!","")</f>
        <v/>
      </c>
    </row>
    <row r="26" spans="1:30" ht="13.4" customHeight="1">
      <c r="A26" s="2809">
        <v>475</v>
      </c>
      <c r="B26" s="2808" t="s">
        <v>89</v>
      </c>
      <c r="C26" s="90">
        <f>Drift!F65</f>
        <v>0</v>
      </c>
      <c r="D26" s="56"/>
      <c r="E26" s="56"/>
      <c r="F26" s="56"/>
      <c r="G26" s="56"/>
      <c r="H26" s="56"/>
      <c r="I26" s="56"/>
      <c r="J26" s="1420"/>
      <c r="K26" s="57"/>
      <c r="L26" s="201"/>
      <c r="M26" s="538">
        <f t="shared" si="0"/>
        <v>0</v>
      </c>
      <c r="N26" s="539">
        <f>Drift!H65</f>
        <v>0</v>
      </c>
      <c r="O26" s="56"/>
      <c r="P26" s="56"/>
      <c r="Q26" s="56"/>
      <c r="R26" s="56"/>
      <c r="S26" s="56"/>
      <c r="T26" s="56"/>
      <c r="U26" s="56"/>
      <c r="V26" s="56"/>
      <c r="W26" s="56"/>
      <c r="X26" s="538">
        <f>N26-SUM(O26:W26)</f>
        <v>0</v>
      </c>
      <c r="Y26" s="541"/>
      <c r="Z26" s="56"/>
      <c r="AA26" s="56"/>
      <c r="AB26" s="56"/>
      <c r="AC26" s="106"/>
      <c r="AD26" s="637" t="str">
        <f>IF((SUM(Y26:AC26)/(Drift!T65+1))&gt;1,(ROUND(SUM(Y26:AC26)-Drift!T65,0))&amp;" tkr högre intäkter i motparten än i driften!","")</f>
        <v/>
      </c>
    </row>
    <row r="27" spans="1:30" ht="13.4" customHeight="1">
      <c r="A27" s="2809">
        <v>478</v>
      </c>
      <c r="B27" s="2808" t="s">
        <v>1195</v>
      </c>
      <c r="C27" s="90">
        <f>Drift!F66</f>
        <v>0</v>
      </c>
      <c r="D27" s="56"/>
      <c r="E27" s="56"/>
      <c r="F27" s="56"/>
      <c r="G27" s="56"/>
      <c r="H27" s="56"/>
      <c r="I27" s="56"/>
      <c r="J27" s="1420"/>
      <c r="K27" s="57"/>
      <c r="L27" s="201"/>
      <c r="M27" s="538">
        <f t="shared" si="0"/>
        <v>0</v>
      </c>
      <c r="N27" s="539">
        <f>Drift!H66</f>
        <v>0</v>
      </c>
      <c r="O27" s="56"/>
      <c r="P27" s="56"/>
      <c r="Q27" s="56"/>
      <c r="R27" s="56"/>
      <c r="S27" s="56"/>
      <c r="T27" s="56"/>
      <c r="U27" s="56"/>
      <c r="V27" s="56"/>
      <c r="W27" s="56"/>
      <c r="X27" s="538">
        <f t="shared" si="1"/>
        <v>0</v>
      </c>
      <c r="Y27" s="541"/>
      <c r="Z27" s="56"/>
      <c r="AA27" s="56"/>
      <c r="AB27" s="56"/>
      <c r="AC27" s="106"/>
      <c r="AD27" s="637" t="str">
        <f>IF((SUM(Y27:AC27)/(Drift!T66+1))&gt;1,(ROUND(SUM(Y27:AC27)-Drift!T66,0))&amp;" tkr högre intäkter i motparten än i driften!","")</f>
        <v/>
      </c>
    </row>
    <row r="28" spans="1:30" ht="13.4" customHeight="1">
      <c r="A28" s="681">
        <v>509</v>
      </c>
      <c r="B28" s="687" t="s">
        <v>485</v>
      </c>
      <c r="C28" s="90">
        <f>SUM(Drift!F70,Drift!F71)</f>
        <v>0</v>
      </c>
      <c r="D28" s="69"/>
      <c r="E28" s="69"/>
      <c r="F28" s="69"/>
      <c r="G28" s="69"/>
      <c r="H28" s="69"/>
      <c r="I28" s="69"/>
      <c r="J28" s="1432"/>
      <c r="K28" s="201"/>
      <c r="L28" s="201"/>
      <c r="M28" s="538">
        <f t="shared" si="0"/>
        <v>0</v>
      </c>
      <c r="N28" s="539">
        <f>SUM(Drift!H70,Drift!H71)</f>
        <v>0</v>
      </c>
      <c r="O28" s="69"/>
      <c r="P28" s="69"/>
      <c r="Q28" s="69"/>
      <c r="R28" s="69"/>
      <c r="S28" s="69"/>
      <c r="T28" s="69"/>
      <c r="U28" s="69"/>
      <c r="V28" s="69"/>
      <c r="W28" s="69"/>
      <c r="X28" s="538">
        <f t="shared" si="1"/>
        <v>0</v>
      </c>
      <c r="Y28" s="542"/>
      <c r="Z28" s="69"/>
      <c r="AA28" s="69"/>
      <c r="AB28" s="69"/>
      <c r="AC28" s="106"/>
      <c r="AD28" s="637" t="str">
        <f>IF((SUM(Y28:AC28)/(Drift!T70+Drift!T71+1))&gt;1,(ROUND(SUM(Y28:AC28)-Drift!T70-Drift!T71,0))&amp;" tkr högre intäkter i motparten än i driften!","")</f>
        <v/>
      </c>
    </row>
    <row r="29" spans="1:30" ht="13.4" customHeight="1">
      <c r="A29" s="681">
        <v>510</v>
      </c>
      <c r="B29" s="687" t="s">
        <v>537</v>
      </c>
      <c r="C29" s="90">
        <f>Drift!F73</f>
        <v>0</v>
      </c>
      <c r="D29" s="56"/>
      <c r="E29" s="56"/>
      <c r="F29" s="56"/>
      <c r="G29" s="56"/>
      <c r="H29" s="56"/>
      <c r="I29" s="56"/>
      <c r="J29" s="1420"/>
      <c r="K29" s="57"/>
      <c r="L29" s="201"/>
      <c r="M29" s="538">
        <f t="shared" si="0"/>
        <v>0</v>
      </c>
      <c r="N29" s="539">
        <f>Drift!H73</f>
        <v>0</v>
      </c>
      <c r="O29" s="56"/>
      <c r="P29" s="56"/>
      <c r="Q29" s="56"/>
      <c r="R29" s="56"/>
      <c r="S29" s="56"/>
      <c r="T29" s="56"/>
      <c r="U29" s="56"/>
      <c r="V29" s="56"/>
      <c r="W29" s="56"/>
      <c r="X29" s="538">
        <f t="shared" si="1"/>
        <v>0</v>
      </c>
      <c r="Y29" s="542"/>
      <c r="Z29" s="56"/>
      <c r="AA29" s="56"/>
      <c r="AB29" s="56"/>
      <c r="AC29" s="106"/>
      <c r="AD29" s="637" t="str">
        <f>IF((SUM(Y29:AC29)/(Drift!T73+1))&gt;1,(ROUND(SUM(Y29:AC29)-Drift!T73,0))&amp;" tkr högre intäkter i motparten än i driften!","")</f>
        <v/>
      </c>
    </row>
    <row r="30" spans="1:30" ht="18" customHeight="1">
      <c r="A30" s="681">
        <v>520</v>
      </c>
      <c r="B30" s="725" t="s">
        <v>410</v>
      </c>
      <c r="C30" s="90">
        <f>Drift!F74</f>
        <v>0</v>
      </c>
      <c r="D30" s="56"/>
      <c r="E30" s="56"/>
      <c r="F30" s="56"/>
      <c r="G30" s="56"/>
      <c r="H30" s="56"/>
      <c r="I30" s="56"/>
      <c r="J30" s="1420"/>
      <c r="K30" s="56"/>
      <c r="L30" s="56"/>
      <c r="M30" s="538">
        <f>C30-SUM(D30:L30)</f>
        <v>0</v>
      </c>
      <c r="N30" s="539">
        <f>Drift!H74</f>
        <v>0</v>
      </c>
      <c r="O30" s="56"/>
      <c r="P30" s="56"/>
      <c r="Q30" s="56"/>
      <c r="R30" s="56"/>
      <c r="S30" s="56"/>
      <c r="T30" s="56"/>
      <c r="U30" s="188"/>
      <c r="V30" s="56"/>
      <c r="W30" s="56"/>
      <c r="X30" s="538">
        <f>N30-SUM(O30:W30)</f>
        <v>0</v>
      </c>
      <c r="Y30" s="541"/>
      <c r="Z30" s="56"/>
      <c r="AA30" s="56"/>
      <c r="AB30" s="56"/>
      <c r="AC30" s="628"/>
      <c r="AD30" s="637" t="str">
        <f>IF((SUM(Y30:AC30)/(Drift!T74+1))&gt;1,(ROUND(SUM(Y30:AC30)-Drift!T74,0))&amp;" tkr högre intäkter i motparten än i driften!","")</f>
        <v/>
      </c>
    </row>
    <row r="31" spans="1:30" ht="13.5" customHeight="1">
      <c r="A31" s="681">
        <v>513</v>
      </c>
      <c r="B31" s="1716" t="s">
        <v>411</v>
      </c>
      <c r="C31" s="90">
        <f>Drift!F75</f>
        <v>0</v>
      </c>
      <c r="D31" s="56"/>
      <c r="E31" s="56"/>
      <c r="F31" s="56"/>
      <c r="G31" s="56"/>
      <c r="H31" s="56"/>
      <c r="I31" s="56"/>
      <c r="J31" s="1420"/>
      <c r="K31" s="57"/>
      <c r="L31" s="201"/>
      <c r="M31" s="538">
        <f t="shared" si="0"/>
        <v>0</v>
      </c>
      <c r="N31" s="539">
        <f>Drift!H75</f>
        <v>0</v>
      </c>
      <c r="O31" s="56"/>
      <c r="P31" s="56"/>
      <c r="Q31" s="56"/>
      <c r="R31" s="56"/>
      <c r="S31" s="56"/>
      <c r="T31" s="56"/>
      <c r="U31" s="188"/>
      <c r="V31" s="56"/>
      <c r="W31" s="56"/>
      <c r="X31" s="538">
        <f>N31-SUM(O31:W31)</f>
        <v>0</v>
      </c>
      <c r="Y31" s="541"/>
      <c r="Z31" s="56"/>
      <c r="AA31" s="56"/>
      <c r="AB31" s="56"/>
      <c r="AC31" s="628"/>
      <c r="AD31" s="637" t="str">
        <f>IF((SUM(Y31:AC31)/(Drift!T75+1))&gt;1,(ROUND(SUM(Y31:AC31)-Drift!T75,0))&amp;" tkr högre intäkter i motparten än i driften!","")</f>
        <v/>
      </c>
    </row>
    <row r="32" spans="1:30" ht="13.4" customHeight="1">
      <c r="A32" s="681">
        <v>530</v>
      </c>
      <c r="B32" s="1192" t="s">
        <v>109</v>
      </c>
      <c r="C32" s="90">
        <f>Drift!F76</f>
        <v>0</v>
      </c>
      <c r="D32" s="56"/>
      <c r="E32" s="56"/>
      <c r="F32" s="56"/>
      <c r="G32" s="56"/>
      <c r="H32" s="56"/>
      <c r="I32" s="56"/>
      <c r="J32" s="1420"/>
      <c r="K32" s="57"/>
      <c r="L32" s="201"/>
      <c r="M32" s="538">
        <f t="shared" si="0"/>
        <v>0</v>
      </c>
      <c r="N32" s="539">
        <f>Drift!H76</f>
        <v>0</v>
      </c>
      <c r="O32" s="56"/>
      <c r="P32" s="56"/>
      <c r="Q32" s="56"/>
      <c r="R32" s="56"/>
      <c r="S32" s="56"/>
      <c r="T32" s="56"/>
      <c r="U32" s="56"/>
      <c r="V32" s="56"/>
      <c r="W32" s="56"/>
      <c r="X32" s="538">
        <f t="shared" si="1"/>
        <v>0</v>
      </c>
      <c r="Y32" s="541"/>
      <c r="Z32" s="56"/>
      <c r="AA32" s="56"/>
      <c r="AB32" s="56"/>
      <c r="AC32" s="106"/>
      <c r="AD32" s="637" t="str">
        <f>IF((SUM(Y32:AC32)/(Drift!T76+1))&gt;1,(ROUND(SUM(Y32:AC32)-Drift!T76,0))&amp;" tkr högre intäkter i motparten än i driften!","")</f>
        <v/>
      </c>
    </row>
    <row r="33" spans="1:30" ht="13.4" customHeight="1">
      <c r="A33" s="681">
        <v>559</v>
      </c>
      <c r="B33" s="1192" t="s">
        <v>214</v>
      </c>
      <c r="C33" s="90">
        <f>Drift!F79</f>
        <v>0</v>
      </c>
      <c r="D33" s="56"/>
      <c r="E33" s="56"/>
      <c r="F33" s="56"/>
      <c r="G33" s="56"/>
      <c r="H33" s="56"/>
      <c r="I33" s="56"/>
      <c r="J33" s="1420"/>
      <c r="K33" s="56"/>
      <c r="L33" s="56"/>
      <c r="M33" s="1507">
        <f t="shared" si="0"/>
        <v>0</v>
      </c>
      <c r="N33" s="539">
        <f>Drift!H79</f>
        <v>0</v>
      </c>
      <c r="O33" s="56"/>
      <c r="P33" s="56"/>
      <c r="Q33" s="56"/>
      <c r="R33" s="56"/>
      <c r="S33" s="56"/>
      <c r="T33" s="56"/>
      <c r="U33" s="56"/>
      <c r="V33" s="56"/>
      <c r="W33" s="56"/>
      <c r="X33" s="1507">
        <f t="shared" si="1"/>
        <v>0</v>
      </c>
      <c r="Y33" s="541"/>
      <c r="Z33" s="69"/>
      <c r="AA33" s="69"/>
      <c r="AB33" s="69"/>
      <c r="AC33" s="191"/>
      <c r="AD33" s="637" t="str">
        <f>IF((SUM(Y33:AC33)/(Drift!T79+1))&gt;1,(ROUND(SUM(Y33:AC33)-Drift!T79,0))&amp;" tkr högre intäkter i motparten än i driften!","")</f>
        <v/>
      </c>
    </row>
    <row r="34" spans="1:30" ht="13.4" customHeight="1">
      <c r="A34" s="681">
        <v>552</v>
      </c>
      <c r="B34" s="687" t="s">
        <v>145</v>
      </c>
      <c r="C34" s="90">
        <f>SUM(D34+E34+F34+G34+H34+I34+K34+L34)</f>
        <v>0</v>
      </c>
      <c r="D34" s="56"/>
      <c r="E34" s="56"/>
      <c r="F34" s="56"/>
      <c r="G34" s="56"/>
      <c r="H34" s="56"/>
      <c r="I34" s="56"/>
      <c r="J34" s="1420"/>
      <c r="K34" s="56"/>
      <c r="L34" s="56"/>
      <c r="M34" s="1507" t="str">
        <f>IF(OR(C34="",C34=0),"",C34-SUM(D34:L34))</f>
        <v/>
      </c>
      <c r="N34" s="539">
        <f>SUM(O34+P34+Q34+R34+S34+T34+U34+V34+W34)</f>
        <v>0</v>
      </c>
      <c r="O34" s="56"/>
      <c r="P34" s="56"/>
      <c r="Q34" s="56"/>
      <c r="R34" s="56"/>
      <c r="S34" s="56"/>
      <c r="T34" s="56"/>
      <c r="U34" s="56"/>
      <c r="V34" s="56"/>
      <c r="W34" s="56"/>
      <c r="X34" s="1507" t="str">
        <f>IF(OR(N34="",N34=0),"",N34-SUM(O34:W34))</f>
        <v/>
      </c>
      <c r="Y34" s="542"/>
      <c r="Z34" s="56"/>
      <c r="AA34" s="56"/>
      <c r="AB34" s="56"/>
      <c r="AC34" s="191"/>
      <c r="AD34" s="637"/>
    </row>
    <row r="35" spans="1:30" ht="13.4" customHeight="1">
      <c r="A35" s="681">
        <v>569</v>
      </c>
      <c r="B35" s="682" t="s">
        <v>113</v>
      </c>
      <c r="C35" s="90">
        <f>Drift!F80</f>
        <v>0</v>
      </c>
      <c r="D35" s="56"/>
      <c r="E35" s="56"/>
      <c r="F35" s="56"/>
      <c r="G35" s="56"/>
      <c r="H35" s="56"/>
      <c r="I35" s="56"/>
      <c r="J35" s="1420"/>
      <c r="K35" s="56"/>
      <c r="L35" s="56"/>
      <c r="M35" s="1507">
        <f t="shared" si="0"/>
        <v>0</v>
      </c>
      <c r="N35" s="539">
        <f>Drift!H80</f>
        <v>0</v>
      </c>
      <c r="O35" s="56"/>
      <c r="P35" s="56"/>
      <c r="Q35" s="56"/>
      <c r="R35" s="56"/>
      <c r="S35" s="56"/>
      <c r="T35" s="56"/>
      <c r="U35" s="56"/>
      <c r="V35" s="56"/>
      <c r="W35" s="56"/>
      <c r="X35" s="1507">
        <f t="shared" si="1"/>
        <v>0</v>
      </c>
      <c r="Y35" s="542"/>
      <c r="Z35" s="56"/>
      <c r="AA35" s="56"/>
      <c r="AB35" s="56"/>
      <c r="AC35" s="191"/>
      <c r="AD35" s="637" t="str">
        <f>IF((SUM(Y35:AC35)/(Drift!T80+1))&gt;1,(ROUND(SUM(Y35:AC35)-Drift!T80,0))&amp;" tkr högre intäkter i motparten än i driften!","")</f>
        <v/>
      </c>
    </row>
    <row r="36" spans="1:30" ht="13.4" customHeight="1">
      <c r="A36" s="681">
        <v>554</v>
      </c>
      <c r="B36" s="687" t="s">
        <v>218</v>
      </c>
      <c r="C36" s="90">
        <f>SUM(D36+E36+F36+G36+H36+I36+K36+L36)</f>
        <v>0</v>
      </c>
      <c r="D36" s="56"/>
      <c r="E36" s="56"/>
      <c r="F36" s="56"/>
      <c r="G36" s="56"/>
      <c r="H36" s="56"/>
      <c r="I36" s="56"/>
      <c r="J36" s="1420"/>
      <c r="K36" s="56"/>
      <c r="L36" s="56"/>
      <c r="M36" s="1507" t="str">
        <f>IF(OR(C36="",C36=0),"",C36-SUM(D36:L36))</f>
        <v/>
      </c>
      <c r="N36" s="539">
        <f>SUM(O36+P36+Q36+R36+S36+T36+U36+V36+W36)</f>
        <v>0</v>
      </c>
      <c r="O36" s="56"/>
      <c r="P36" s="56"/>
      <c r="Q36" s="56"/>
      <c r="R36" s="56"/>
      <c r="S36" s="56"/>
      <c r="T36" s="56"/>
      <c r="U36" s="56"/>
      <c r="V36" s="56"/>
      <c r="W36" s="56"/>
      <c r="X36" s="1507" t="str">
        <f>IF(OR(N36="",N36=0),"",N36-SUM(O36:W36))</f>
        <v/>
      </c>
      <c r="Y36" s="542"/>
      <c r="Z36" s="56"/>
      <c r="AA36" s="56"/>
      <c r="AB36" s="56"/>
      <c r="AC36" s="191"/>
      <c r="AD36" s="637"/>
    </row>
    <row r="37" spans="1:30" ht="13.4" customHeight="1">
      <c r="A37" s="681">
        <v>580</v>
      </c>
      <c r="B37" s="687" t="s">
        <v>146</v>
      </c>
      <c r="C37" s="90">
        <f>SUM(Drift!F81,Drift!F82,Drift!F84)</f>
        <v>0</v>
      </c>
      <c r="D37" s="56"/>
      <c r="E37" s="56"/>
      <c r="F37" s="56"/>
      <c r="G37" s="56"/>
      <c r="H37" s="56"/>
      <c r="I37" s="56"/>
      <c r="J37" s="1420"/>
      <c r="K37" s="57"/>
      <c r="L37" s="201"/>
      <c r="M37" s="1507">
        <f t="shared" si="0"/>
        <v>0</v>
      </c>
      <c r="N37" s="539">
        <f>SUM(Drift!H81,Drift!H82,Drift!H84)</f>
        <v>0</v>
      </c>
      <c r="O37" s="56"/>
      <c r="P37" s="56"/>
      <c r="Q37" s="56"/>
      <c r="R37" s="56"/>
      <c r="S37" s="56"/>
      <c r="T37" s="56"/>
      <c r="U37" s="56"/>
      <c r="V37" s="56"/>
      <c r="W37" s="56"/>
      <c r="X37" s="1507">
        <f t="shared" si="1"/>
        <v>0</v>
      </c>
      <c r="Y37" s="541"/>
      <c r="Z37" s="56"/>
      <c r="AA37" s="56"/>
      <c r="AB37" s="56"/>
      <c r="AC37" s="106"/>
      <c r="AD37" s="637" t="str">
        <f>IF((SUM(Y37:AC37)/(Drift!T81+Drift!T82+Drift!T84+1))&gt;1,(ROUND(SUM(Y37:AC37)-Drift!T81-Drift!T82-Drift!T84,0))&amp;" tkr högre intäkter i motparten än i driften!","")</f>
        <v/>
      </c>
    </row>
    <row r="38" spans="1:30" ht="13.4" customHeight="1">
      <c r="A38" s="681">
        <v>600</v>
      </c>
      <c r="B38" s="682" t="s">
        <v>121</v>
      </c>
      <c r="C38" s="90">
        <f>Drift!F87</f>
        <v>0</v>
      </c>
      <c r="D38" s="69"/>
      <c r="E38" s="69"/>
      <c r="F38" s="69"/>
      <c r="G38" s="69"/>
      <c r="H38" s="69"/>
      <c r="I38" s="69"/>
      <c r="J38" s="1432"/>
      <c r="K38" s="201"/>
      <c r="L38" s="201"/>
      <c r="M38" s="538">
        <f t="shared" si="0"/>
        <v>0</v>
      </c>
      <c r="N38" s="539">
        <f>Drift!H87</f>
        <v>0</v>
      </c>
      <c r="O38" s="69"/>
      <c r="P38" s="69"/>
      <c r="Q38" s="69"/>
      <c r="R38" s="69"/>
      <c r="S38" s="69"/>
      <c r="T38" s="69"/>
      <c r="U38" s="69"/>
      <c r="V38" s="69"/>
      <c r="W38" s="69"/>
      <c r="X38" s="538">
        <f t="shared" si="1"/>
        <v>0</v>
      </c>
      <c r="Y38" s="542"/>
      <c r="Z38" s="69"/>
      <c r="AA38" s="69"/>
      <c r="AB38" s="69"/>
      <c r="AC38" s="106"/>
      <c r="AD38" s="637" t="str">
        <f>IF((SUM(Y38:AC38)/(Drift!T87+1))&gt;1,(ROUND(SUM(Y38:AC38)-Drift!T87,0))&amp;" tkr högre intäkter i motparten än i driften!","")</f>
        <v/>
      </c>
    </row>
    <row r="39" spans="1:30" ht="13.4" customHeight="1">
      <c r="A39" s="681">
        <v>610</v>
      </c>
      <c r="B39" s="687" t="s">
        <v>147</v>
      </c>
      <c r="C39" s="90">
        <f>Drift!F88</f>
        <v>0</v>
      </c>
      <c r="D39" s="56"/>
      <c r="E39" s="56"/>
      <c r="F39" s="56"/>
      <c r="G39" s="56"/>
      <c r="H39" s="56"/>
      <c r="I39" s="56"/>
      <c r="J39" s="1420"/>
      <c r="K39" s="57"/>
      <c r="L39" s="201"/>
      <c r="M39" s="538">
        <f t="shared" si="0"/>
        <v>0</v>
      </c>
      <c r="N39" s="539">
        <f>Drift!H88</f>
        <v>0</v>
      </c>
      <c r="O39" s="56"/>
      <c r="P39" s="56"/>
      <c r="Q39" s="56"/>
      <c r="R39" s="56"/>
      <c r="S39" s="56"/>
      <c r="T39" s="56"/>
      <c r="U39" s="56"/>
      <c r="V39" s="56"/>
      <c r="W39" s="56"/>
      <c r="X39" s="538">
        <f t="shared" si="1"/>
        <v>0</v>
      </c>
      <c r="Y39" s="542"/>
      <c r="Z39" s="56"/>
      <c r="AA39" s="56"/>
      <c r="AB39" s="56"/>
      <c r="AC39" s="106"/>
      <c r="AD39" s="637" t="str">
        <f>IF((SUM(Y39:AC39)/(Drift!T88+1))&gt;1,(ROUND(SUM(Y39:AC39)-Drift!T88,0))&amp;" tkr högre intäkter i motparten än i driften!","")</f>
        <v/>
      </c>
    </row>
    <row r="40" spans="1:30" ht="13.4" customHeight="1">
      <c r="A40" s="681">
        <v>890</v>
      </c>
      <c r="B40" s="687" t="s">
        <v>148</v>
      </c>
      <c r="C40" s="90">
        <f>Drift!F109</f>
        <v>0</v>
      </c>
      <c r="D40" s="56"/>
      <c r="E40" s="56"/>
      <c r="F40" s="56"/>
      <c r="G40" s="56"/>
      <c r="H40" s="56"/>
      <c r="I40" s="56"/>
      <c r="J40" s="1420"/>
      <c r="K40" s="57"/>
      <c r="L40" s="201"/>
      <c r="M40" s="538">
        <f t="shared" si="0"/>
        <v>0</v>
      </c>
      <c r="N40" s="539">
        <f>Drift!H109</f>
        <v>0</v>
      </c>
      <c r="O40" s="56"/>
      <c r="P40" s="56"/>
      <c r="Q40" s="56"/>
      <c r="R40" s="56"/>
      <c r="S40" s="56"/>
      <c r="T40" s="56"/>
      <c r="U40" s="56"/>
      <c r="V40" s="56"/>
      <c r="W40" s="56"/>
      <c r="X40" s="538">
        <f t="shared" si="1"/>
        <v>0</v>
      </c>
      <c r="Y40" s="542"/>
      <c r="Z40" s="56"/>
      <c r="AA40" s="56"/>
      <c r="AB40" s="56"/>
      <c r="AC40" s="106"/>
      <c r="AD40" s="637" t="str">
        <f>IF((SUM(Y40:AC40)/(Drift!T109+1))&gt;1,(ROUND(SUM(Y40:AC40)-Drift!T109,0))&amp;" tkr högre intäkter i motparten än i driften!","")</f>
        <v/>
      </c>
    </row>
    <row r="41" spans="1:30" ht="13.4" customHeight="1">
      <c r="A41" s="681">
        <v>940</v>
      </c>
      <c r="B41" s="687" t="s">
        <v>149</v>
      </c>
      <c r="C41" s="90">
        <f>SUM(Drift!F111:F112)</f>
        <v>0</v>
      </c>
      <c r="D41" s="56"/>
      <c r="E41" s="56"/>
      <c r="F41" s="56"/>
      <c r="G41" s="56"/>
      <c r="H41" s="56"/>
      <c r="I41" s="56"/>
      <c r="J41" s="1420"/>
      <c r="K41" s="57"/>
      <c r="L41" s="201"/>
      <c r="M41" s="538">
        <f t="shared" si="0"/>
        <v>0</v>
      </c>
      <c r="N41" s="539">
        <f>SUM(Drift!H111:H112)</f>
        <v>0</v>
      </c>
      <c r="O41" s="56"/>
      <c r="P41" s="56"/>
      <c r="Q41" s="56"/>
      <c r="R41" s="56"/>
      <c r="S41" s="56"/>
      <c r="T41" s="56"/>
      <c r="U41" s="56"/>
      <c r="V41" s="56"/>
      <c r="W41" s="56"/>
      <c r="X41" s="538">
        <f t="shared" si="1"/>
        <v>0</v>
      </c>
      <c r="Y41" s="542"/>
      <c r="Z41" s="56"/>
      <c r="AA41" s="56"/>
      <c r="AB41" s="56"/>
      <c r="AC41" s="106"/>
      <c r="AD41" s="638" t="str">
        <f>IF((SUM(Y41:AC41)/(Drift!T111+Drift!T112+1))&gt;1,(ROUND(SUM(Y41:AC41)-Drift!T111-Drift!T112,0))&amp;" tkr högre intäkter i motparten än i driften!","")</f>
        <v/>
      </c>
    </row>
    <row r="42" spans="1:30" ht="13.4" customHeight="1">
      <c r="A42" s="712" t="s">
        <v>292</v>
      </c>
      <c r="B42" s="1193" t="s">
        <v>33</v>
      </c>
      <c r="C42" s="486">
        <f t="shared" ref="C42:AC42" si="2">SUM(C9:C33,C35,C37:C41)</f>
        <v>0</v>
      </c>
      <c r="D42" s="436">
        <f t="shared" si="2"/>
        <v>0</v>
      </c>
      <c r="E42" s="436">
        <f t="shared" si="2"/>
        <v>0</v>
      </c>
      <c r="F42" s="436">
        <f t="shared" si="2"/>
        <v>0</v>
      </c>
      <c r="G42" s="436">
        <f t="shared" si="2"/>
        <v>0</v>
      </c>
      <c r="H42" s="436">
        <f t="shared" si="2"/>
        <v>0</v>
      </c>
      <c r="I42" s="436">
        <f t="shared" si="2"/>
        <v>0</v>
      </c>
      <c r="J42" s="2295">
        <f t="shared" si="2"/>
        <v>0</v>
      </c>
      <c r="K42" s="436">
        <f t="shared" si="2"/>
        <v>0</v>
      </c>
      <c r="L42" s="436">
        <f t="shared" si="2"/>
        <v>0</v>
      </c>
      <c r="M42" s="439">
        <f t="shared" si="2"/>
        <v>0</v>
      </c>
      <c r="N42" s="540">
        <f t="shared" si="2"/>
        <v>0</v>
      </c>
      <c r="O42" s="436">
        <f t="shared" si="2"/>
        <v>0</v>
      </c>
      <c r="P42" s="436">
        <f t="shared" si="2"/>
        <v>0</v>
      </c>
      <c r="Q42" s="436">
        <f t="shared" si="2"/>
        <v>0</v>
      </c>
      <c r="R42" s="436">
        <f t="shared" si="2"/>
        <v>0</v>
      </c>
      <c r="S42" s="436">
        <f t="shared" si="2"/>
        <v>0</v>
      </c>
      <c r="T42" s="436">
        <f t="shared" si="2"/>
        <v>0</v>
      </c>
      <c r="U42" s="436">
        <f t="shared" si="2"/>
        <v>0</v>
      </c>
      <c r="V42" s="436">
        <f t="shared" si="2"/>
        <v>0</v>
      </c>
      <c r="W42" s="436">
        <f t="shared" si="2"/>
        <v>0</v>
      </c>
      <c r="X42" s="439">
        <f t="shared" si="2"/>
        <v>0</v>
      </c>
      <c r="Y42" s="543">
        <f t="shared" si="2"/>
        <v>0</v>
      </c>
      <c r="Z42" s="437">
        <f t="shared" si="2"/>
        <v>0</v>
      </c>
      <c r="AA42" s="437">
        <f t="shared" si="2"/>
        <v>0</v>
      </c>
      <c r="AB42" s="437">
        <f t="shared" si="2"/>
        <v>0</v>
      </c>
      <c r="AC42" s="438">
        <f t="shared" si="2"/>
        <v>0</v>
      </c>
      <c r="AD42" s="639"/>
    </row>
    <row r="43" spans="1:30" ht="12" customHeight="1">
      <c r="A43" s="712"/>
      <c r="B43" s="1194" t="s">
        <v>1423</v>
      </c>
      <c r="C43" s="9"/>
      <c r="D43" s="50"/>
      <c r="E43" s="50"/>
      <c r="F43" s="50"/>
      <c r="G43" s="50"/>
      <c r="H43" s="50"/>
      <c r="I43" s="50"/>
      <c r="J43" s="2029"/>
      <c r="K43" s="49"/>
      <c r="L43" s="2031" t="str">
        <f>IF(OR(ABS(L42&gt;500),(L42&lt;-500),COUNTIF(L9:L41,"&gt;500")&gt;0,COUNTIF(L9:L41,"&lt;-500")&gt;0),"Kommentera vad köp av v-het från utlandet avser","")</f>
        <v/>
      </c>
      <c r="M43" s="2522" t="str">
        <f>IF(OR(ABS(M42&gt;100),(M42&lt;-100),COUNTIF(M9:M41,"&gt;100")&gt;0,COUNTIF(M9:M41,"&lt;-100")&gt;0),"Rätta differenserna i kolumn M","")</f>
        <v/>
      </c>
      <c r="N43" s="631"/>
      <c r="O43" s="277"/>
      <c r="P43" s="277"/>
      <c r="Q43" s="277"/>
      <c r="R43" s="277"/>
      <c r="S43" s="277"/>
      <c r="T43" s="278"/>
      <c r="V43" s="278"/>
      <c r="W43" s="634"/>
      <c r="X43" s="2523" t="str">
        <f>IF(OR(ABS(X42&gt;100),(X42&lt;-100),COUNTIF(X9:X41,"&gt;100")&gt;0,COUNTIF(X9:X41,"&lt;-100")&gt;0),"Rätta differenserna i kolumn X","")</f>
        <v/>
      </c>
      <c r="Y43" s="128">
        <f>SUM('Verks int o kostn'!I27+'Verks int o kostn'!I29)</f>
        <v>0</v>
      </c>
      <c r="Z43" s="93">
        <f>'Verks int o kostn'!I28</f>
        <v>0</v>
      </c>
      <c r="AA43" s="93">
        <f>SUM('Verks int o kostn'!D17,'Verks int o kostn'!D18)</f>
        <v>0</v>
      </c>
      <c r="AB43" s="93">
        <f>'Verks int o kostn'!D23</f>
        <v>0</v>
      </c>
      <c r="AC43" s="276">
        <f>SUM('Verks int o kostn'!D14,'Verks int o kostn'!D19,'Verks int o kostn'!D20,'Verks int o kostn'!D21,'Verks int o kostn'!D22,'Verks int o kostn'!D24,'Verks int o kostn'!D25)</f>
        <v>0</v>
      </c>
      <c r="AD43" s="640"/>
    </row>
    <row r="44" spans="1:30" ht="12.75" customHeight="1" thickBot="1">
      <c r="A44" s="704"/>
      <c r="B44" s="1195" t="s">
        <v>137</v>
      </c>
      <c r="C44" s="272"/>
      <c r="D44" s="133"/>
      <c r="E44" s="133"/>
      <c r="F44" s="133"/>
      <c r="G44" s="133"/>
      <c r="H44" s="133"/>
      <c r="I44" s="133"/>
      <c r="J44" s="629"/>
      <c r="K44" s="133"/>
      <c r="L44" s="630"/>
      <c r="M44" s="1612" t="str">
        <f>IF(OR(COUNTIF(M29:M31,"&gt;10")&gt;0,COUNTIF(M29:M31,"&lt;-10")&gt;0),"Rätta differensen mellan Driften och Motparten på rad 510, 513 och/eller rad 520","")</f>
        <v/>
      </c>
      <c r="N44" s="632"/>
      <c r="O44" s="273"/>
      <c r="P44" s="133"/>
      <c r="Q44" s="133"/>
      <c r="R44" s="133"/>
      <c r="S44" s="133"/>
      <c r="T44" s="134"/>
      <c r="U44" s="644" t="str">
        <f>IFERROR(IF('Verks int o kostn'!I41&gt;U31,"Kontrollera beloppet cell U31 mot rad 630 i verks kostn",""),0)</f>
        <v/>
      </c>
      <c r="V44" s="134"/>
      <c r="W44" s="273"/>
      <c r="X44" s="635"/>
      <c r="Y44" s="487">
        <f>Y42-Y43</f>
        <v>0</v>
      </c>
      <c r="Z44" s="488">
        <f>Z42-Z43</f>
        <v>0</v>
      </c>
      <c r="AA44" s="489">
        <f>AA42-AA43</f>
        <v>0</v>
      </c>
      <c r="AB44" s="489">
        <f>AB42-AB43</f>
        <v>0</v>
      </c>
      <c r="AC44" s="490">
        <f>AC42-AC43</f>
        <v>0</v>
      </c>
    </row>
    <row r="45" spans="1:30" ht="12.75" customHeight="1">
      <c r="A45" s="43"/>
      <c r="B45" s="43"/>
      <c r="E45" s="50"/>
      <c r="G45" s="50"/>
      <c r="H45" s="50"/>
      <c r="J45" s="179"/>
      <c r="K45" s="50"/>
      <c r="L45" s="180"/>
      <c r="R45" s="50"/>
      <c r="S45" s="50"/>
      <c r="U45" s="1508"/>
      <c r="V45" s="2028" t="str">
        <f>IF(V37&lt;0.9*N37,"Kontrollera ekonomisk bistånd","")</f>
        <v/>
      </c>
      <c r="W45" s="274"/>
      <c r="X45" s="633"/>
      <c r="Y45" s="2524" t="str">
        <f>IF(ABS(Y44)&gt;100,"Kontrollera mot verksamhetens intäkter.","")</f>
        <v/>
      </c>
      <c r="Z45" s="2524" t="str">
        <f>IF(ABS(Z44)&gt;100,"Kontrollera mot verksamhetens intäkter.","")</f>
        <v/>
      </c>
      <c r="AA45" s="2524" t="str">
        <f>IF(ABS(AA44)&gt;100,"Kontrollera mot verksamhetens intäkter.","")</f>
        <v/>
      </c>
      <c r="AB45" s="2524" t="str">
        <f>IF(ABS(AB44)&gt;100,"Kontrollera mot verksamhetens intäkter.","")</f>
        <v/>
      </c>
      <c r="AC45" s="2524" t="str">
        <f>IF(ABS(AC44)&gt;100,"Kontrollera mot verks.int.!","")</f>
        <v/>
      </c>
      <c r="AD45" s="9"/>
    </row>
    <row r="46" spans="1:30" ht="12.75" customHeight="1">
      <c r="A46" s="1196"/>
      <c r="B46" s="1194" t="s">
        <v>714</v>
      </c>
      <c r="D46" s="642" t="str">
        <f>IF(D34&gt;D33,"Kol. D, därav &gt; total, rad 552",IF(E34&gt;E33,"Kol. E, därav &gt; total, rad 552",IF(F34&gt;F33,"Kol.F, därav &gt; total, rad 552",IF(G34&gt;G33,"Kol. G, därav &gt; total, rad 552",IF(H34&gt;H33,"Kol. H, därav &gt; total, rad 552","")))))</f>
        <v/>
      </c>
      <c r="F46" s="366" t="str">
        <f>IF(C33=0,"",IF(AND(D33&gt;0,D34=""),"rad 552 kol D ange belopp eller 0",IF(AND(E33&gt;0,E34=""),"rad 552 kol E ange belopp eller 0",IF(AND(F33&gt;0,F34=""),"rad 552 kol F ange belopp eller 0",IF(AND(G33&gt;0,G34=""),"rad 552 kol G ange belopp eller 0",IF(AND(H33&gt;0,H34=""),"rad 552 kol H ange belopp eller 0",""))))))</f>
        <v/>
      </c>
      <c r="I46" s="642" t="str">
        <f>IF(I34&gt;I33,"Kol. I, därav &gt; total, rad 552",IF(J34&gt;J33,"Kol. J, därav &gt; total, rad 552",IF(K34&gt;K33,"Kol. K, därav &gt; total, rad 552",IF(L34&gt;L33,"Kol. L, därav &gt; total, rad 552",""))))</f>
        <v/>
      </c>
      <c r="K46" s="1506" t="str">
        <f>IF(C33=0,"",IF(AND(I33&gt;0,I34=""),"rad 552 kol I ange belopp eller 0",IF(AND(J33&gt;0,J34=""),"rad 552 kol J ange belopp eller 0 ",IF(AND(K33&gt;0,K34=""),"rad 552 kol K ange belopp eller 0",IF(AND(L33&gt;0,L34=""),"rad 552 kol L ange belopp eller 0","")))))</f>
        <v/>
      </c>
      <c r="L46" s="180"/>
      <c r="M46" s="180"/>
      <c r="O46" s="407" t="str">
        <f>IF(O34&gt;O33,"Kol. O, därav &gt; total, rad 552",IF(P34&gt;P33,"Kol. P, därav &gt; total, rad 552",IF(Q34&gt;Q33,"Kol. Q, därav &gt; total, rad 552",IF(R34&gt;R33,"Kol. R, därav &gt; total, rad 552",IF(S34&gt;S33,"Kol. S, därav &gt; total, rad 552","")))))</f>
        <v/>
      </c>
      <c r="Q46" s="366" t="str">
        <f>IF(N33=0,"",IF(AND(O33&gt;0,O34=""),"rad 552 kol O ange belopp eller 0",IF(AND(P33&gt;0,P34=""),"rad 552 kol P ange belopp eller 0",IF(AND(Q33&gt;0,Q34=""),"rad 552 kol Q ange belopp eller 0",IF(AND(R33&gt;0,R34=""),"rad 552 kol R ange belopp eller 0",IF(AND(S33&gt;0,S34=""),"på rad 552 kol S ange belopp eller 0",""))))))</f>
        <v/>
      </c>
      <c r="R46" s="180"/>
      <c r="S46" s="407" t="str">
        <f>IF(T34&gt;T33,"Kol. T, därav &gt; total, rad 552",IF(U34&gt;U33,"Kol. U, därav &gt; total, rad 552",IF(V34&gt;V33,"Kol. V, därav &gt; total, rad 552",IF(W34&gt;W33,"Kol. W, därav &gt; total, rad 552",""))))</f>
        <v/>
      </c>
      <c r="T46" s="1506" t="str">
        <f>IF(N33=0,"",IF(AND(T33&gt;0,T34=""),"rad 552 kol T ange belopp eller 0",IF(AND(U33&gt;0,U34=""),"rad 552 kol U ange belopp eller 0",IF(AND(V33&gt;0,V34=""),"rad 552 kol V ange belopp eller 0",IF(AND(W33&gt;0,W34=""),"rad 552 kol W ange belopp eller 0","")))))</f>
        <v/>
      </c>
      <c r="V46" s="386">
        <f>'Verks int o kostn'!I41-U31</f>
        <v>0</v>
      </c>
      <c r="W46" s="386">
        <f>'Verks int o kostn'!D21-AC31</f>
        <v>0</v>
      </c>
      <c r="X46" s="407" t="str">
        <f>IF(Y34&gt;Y33,"kolY,rad552,därav&gt;total",IF(Z34&gt;Z33,"kolZ,rad552ldärav&gt;total",IF(AA34&gt;AA33,"kolAA,rad552,därav&gt;total",IF(AB34&gt;AB33,"kolAB,rad552,därav&gt;total",IF(AC34&gt;AC33,"kolAC,rad552,därav&gt;total","")))))</f>
        <v/>
      </c>
      <c r="Y46" s="366" t="str">
        <f>IF(AND(Y33&gt;0,Y34=""),"rad 552 ange belopp eller 0","")</f>
        <v/>
      </c>
      <c r="Z46" s="366" t="str">
        <f>IF(AND(Z33&gt;0,Z34=""),"rad 552 ange belopp eller 0","")</f>
        <v/>
      </c>
      <c r="AA46" s="366" t="str">
        <f>IF(AND(AA33&gt;0,AA34=""),"rad 552 ange belopp eller 0","")</f>
        <v/>
      </c>
      <c r="AB46" s="366" t="str">
        <f>IF(AND(AB33&gt;0,AB34=""),"rad 552 ange belopp eller 0","")</f>
        <v/>
      </c>
      <c r="AC46" s="366" t="str">
        <f>IF(AND(AC33&gt;0,AC34=""),"rad 552 ange belopp eller 0","")</f>
        <v/>
      </c>
      <c r="AD46" s="9"/>
    </row>
    <row r="47" spans="1:30" ht="12.75" customHeight="1">
      <c r="A47" s="1197"/>
      <c r="B47" s="2294" t="s">
        <v>713</v>
      </c>
      <c r="D47" s="643" t="str">
        <f>IF(D36&gt;D35,"Kol. D, därav &gt; total, rad 554",IF(E36&gt;E35,"Kol. E, därav &gt; total, rad 554",IF(F36&gt;F35,"Kol.F, därav &gt; total, rad 554",IF(G36&gt;G35,"Kol. G, därav &gt; total, rad 554",IF(H36&gt;H35,"Kol. H, därav &gt; total, rad 554","")))))</f>
        <v/>
      </c>
      <c r="F47" s="366" t="str">
        <f>IF(C35=0,"",IF(AND(D35&gt;0,D36=""),"rad 554 kol D ange belopp eller 0",IF(AND(E35&gt;0,E36=""),"rad 554 kol E ange belopp eller 0",IF(AND(F35&gt;0,F36=""),"rad 554 kol F ange belopp eller 0",IF(AND(G35&gt;0,G36=""),"rad 554 kol G ange belopp eller 0",IF(AND(H35&gt;0,H36=""),"rad 554 kol H ange belopp eller 0",""))))))</f>
        <v/>
      </c>
      <c r="G47" s="180"/>
      <c r="H47" s="180"/>
      <c r="I47" s="642" t="str">
        <f>IF(I36&gt;I35,"Kol. I, därav &gt; total, rad 554",IF(J36&gt;J35,"Kol. J, därav &gt; total, rad 554",IF(K36&gt;K35,"Kol. K, därav &gt; total, rad 554",IF(L36&gt;L35,"Kol. L, därav &gt; total, rad 554",""))))</f>
        <v/>
      </c>
      <c r="K47" s="1506" t="str">
        <f>IF(C35=0,"",IF(AND(I35&gt;0,I36=""),"rad 554 kol I ange belopp eller 0",IF(AND(J35&gt;0,J36=""),"rad 554 kol J ange belopp eller 0",IF(AND(K35&gt;0,K36=""),"rad 554 kol K ange belopp eller 0",IF(AND(L35&gt;0,L36=""),"rad 554 kol L ange belopp eller 0","")))))</f>
        <v/>
      </c>
      <c r="L47" s="180"/>
      <c r="O47" s="407" t="str">
        <f>IF(O36&gt;O35,"Kol. O, därav &gt; total, rad 554",IF(P36&gt;P35,"Kol. P, därav &gt; total, rad 554",IF(Q36&gt;Q35,"Kol.Q, därav &gt; total, rad 554",IF(R36&gt;R35,"Kol.R, därav &gt; total, rad 554",IF(S36&gt;S35,"Kol.S, därav &gt; total, rad 554","")))))</f>
        <v/>
      </c>
      <c r="Q47" s="366" t="str">
        <f>IF(N35=0,"",IF(AND(O35&gt;0,O36=""),"rad 554 kol O ange belopp eller 0 ",IF(AND(P35&gt;0,P36=""),"rad 554 kol P ange belopp eller 0",IF(AND(Q35&gt;0,Q36=""),"rad 554 kol Q ange belopp eller 0",IF(AND(R35&gt;0,R36=""),"rad 554 kol R ange belopp eller 0",IF(AND(S35&gt;0,S36=""),"rad 554 kol S ange belopp eller 0",""))))))</f>
        <v/>
      </c>
      <c r="R47" s="180"/>
      <c r="S47" s="407" t="str">
        <f>IF(T36&gt;T35,"Kol. T därav &gt; total, rad 554",IF(U36&gt;U35,"Kol. U därav &gt; total, rad 554",IF(V36&gt;V35,"Kol. V därav &gt; total, rad 554",IF(W36&gt;W35,"Kol. W därav &gt; total, rad 554",""))))</f>
        <v/>
      </c>
      <c r="T47" s="1506" t="str">
        <f>IF(N35=0,"",IF(AND(T35&gt;0,T36=""),"rad 554 kol T ange belopp eller 0",IF(AND(U35&gt;0,U36=""),"rad 554 kol U ange belopp eller 0",IF(AND(V35&gt;0,V36=""),"rad 554 kol V ange belopp eller 0",IF(AND(W35&gt;0,W36=""),"rad 554 kol W ange belopp eller 0","")))))</f>
        <v/>
      </c>
      <c r="V47" s="181"/>
      <c r="W47" s="274"/>
      <c r="X47" s="407" t="str">
        <f>IF(Y36&gt;Y35,"kolY,rad554,därav&gt;total",IF(Z36&gt;Z35,"kolZ,rad554 därav&gt;total",IF(AA36&gt;AA35,"kolAA,rad554,därav&gt;total",IF(AB36&gt;AB35,"kolAB,rad554,därav&gt;total",IF(AC36&gt;AC35,"kolAC,rad554,därav&gt;total","")))))</f>
        <v/>
      </c>
      <c r="Y47" s="366" t="str">
        <f>IF(AND(Y35&gt;0,Y36=""),"rad 554 ange belopp eller 0","")</f>
        <v/>
      </c>
      <c r="Z47" s="366" t="str">
        <f>IF(AND(Z35&gt;0,Z36=""),"rad 554 ange belopp eller 0","")</f>
        <v/>
      </c>
      <c r="AA47" s="366" t="str">
        <f>IF(AND(AA35&gt;0,AA36=""),"rad 554 ange belopp eller 0","")</f>
        <v/>
      </c>
      <c r="AB47" s="366" t="str">
        <f>IF(AND(AB35&gt;0,AB36=""),"rad 554 ange belopp eller 0","")</f>
        <v/>
      </c>
      <c r="AC47" s="366" t="str">
        <f>IF(AND(AC35&gt;0,AC36=""),"rad 554 ange belopp eller 0","")</f>
        <v/>
      </c>
      <c r="AD47" s="9"/>
    </row>
    <row r="48" spans="1:30" ht="9.75" customHeight="1">
      <c r="A48" s="43"/>
      <c r="B48" s="43"/>
      <c r="C48" s="46" t="s">
        <v>150</v>
      </c>
      <c r="D48" s="43"/>
      <c r="E48" s="43"/>
      <c r="F48" s="43"/>
      <c r="G48" s="43"/>
      <c r="H48" s="43"/>
      <c r="I48" s="43"/>
      <c r="J48" s="43"/>
      <c r="K48" s="9"/>
      <c r="L48" s="9"/>
      <c r="M48" s="9"/>
      <c r="N48" s="46" t="s">
        <v>151</v>
      </c>
      <c r="O48" s="43"/>
      <c r="P48" s="43"/>
      <c r="Q48" s="43"/>
      <c r="R48" s="43"/>
      <c r="S48" s="43"/>
      <c r="T48" s="43"/>
      <c r="V48" s="43"/>
      <c r="W48" s="43"/>
      <c r="X48" s="9"/>
      <c r="Y48" s="46" t="s">
        <v>152</v>
      </c>
      <c r="Z48" s="46"/>
      <c r="AA48" s="7"/>
      <c r="AB48" s="43"/>
      <c r="AC48" s="326" t="str">
        <f>IF('Verks int o kostn'!D21&gt;AC31,"Kontrollera belopp i cellAC31 mot rad 525 i verks.intäkter","")</f>
        <v/>
      </c>
      <c r="AD48" s="43"/>
    </row>
    <row r="49" spans="1:30" ht="10.5" customHeight="1">
      <c r="A49" s="43"/>
      <c r="B49" s="43"/>
      <c r="C49" s="2952"/>
      <c r="D49" s="3010"/>
      <c r="E49" s="3010"/>
      <c r="F49" s="3010"/>
      <c r="G49" s="3010"/>
      <c r="H49" s="2968"/>
      <c r="L49" s="2179"/>
      <c r="M49" s="187"/>
      <c r="N49" s="2952"/>
      <c r="O49" s="3010"/>
      <c r="P49" s="3010"/>
      <c r="Q49" s="3010"/>
      <c r="R49" s="3010"/>
      <c r="S49" s="2968"/>
      <c r="T49" s="47" t="s">
        <v>505</v>
      </c>
      <c r="U49" s="2180"/>
      <c r="V49" s="2177"/>
      <c r="W49" s="2177"/>
      <c r="X49" s="2178"/>
      <c r="Y49" s="2952"/>
      <c r="Z49" s="3010"/>
      <c r="AA49" s="3010"/>
      <c r="AB49" s="3010"/>
      <c r="AC49" s="2968"/>
      <c r="AD49" s="3013" t="s">
        <v>1541</v>
      </c>
    </row>
    <row r="50" spans="1:30" ht="9.75" customHeight="1">
      <c r="A50" s="43"/>
      <c r="B50" s="43"/>
      <c r="C50" s="2969"/>
      <c r="D50" s="3011"/>
      <c r="E50" s="3011"/>
      <c r="F50" s="3011"/>
      <c r="G50" s="3011"/>
      <c r="H50" s="2970"/>
      <c r="L50" s="2179"/>
      <c r="M50" s="187"/>
      <c r="N50" s="2969"/>
      <c r="O50" s="3011"/>
      <c r="P50" s="3011"/>
      <c r="Q50" s="3011"/>
      <c r="R50" s="3011"/>
      <c r="S50" s="2970"/>
      <c r="T50" s="48" t="s">
        <v>505</v>
      </c>
      <c r="U50" s="2180"/>
      <c r="V50" s="2177"/>
      <c r="W50" s="2177"/>
      <c r="X50" s="2178"/>
      <c r="Y50" s="2969"/>
      <c r="Z50" s="3011"/>
      <c r="AA50" s="3011"/>
      <c r="AB50" s="3011"/>
      <c r="AC50" s="2970"/>
      <c r="AD50" s="3014"/>
    </row>
    <row r="51" spans="1:30" ht="12.5">
      <c r="A51" s="43"/>
      <c r="B51" s="43"/>
      <c r="C51" s="2969"/>
      <c r="D51" s="3011"/>
      <c r="E51" s="3011"/>
      <c r="F51" s="3011"/>
      <c r="G51" s="3011"/>
      <c r="H51" s="2970"/>
      <c r="L51" s="2185"/>
      <c r="M51" s="2186"/>
      <c r="N51" s="2969"/>
      <c r="O51" s="3011"/>
      <c r="P51" s="3011"/>
      <c r="Q51" s="3011"/>
      <c r="R51" s="3011"/>
      <c r="S51" s="2970"/>
      <c r="T51" s="43"/>
      <c r="U51" s="2176"/>
      <c r="V51" s="2177"/>
      <c r="W51" s="2177"/>
      <c r="X51" s="2178"/>
      <c r="Y51" s="2969"/>
      <c r="Z51" s="3011"/>
      <c r="AA51" s="3011"/>
      <c r="AB51" s="3011"/>
      <c r="AC51" s="2970"/>
      <c r="AD51" s="3014"/>
    </row>
    <row r="52" spans="1:30">
      <c r="A52" s="43"/>
      <c r="B52" s="43"/>
      <c r="C52" s="2971"/>
      <c r="D52" s="3012"/>
      <c r="E52" s="3012"/>
      <c r="F52" s="3012"/>
      <c r="G52" s="3012"/>
      <c r="H52" s="2972"/>
      <c r="L52" s="2185"/>
      <c r="M52" s="2186"/>
      <c r="N52" s="2971"/>
      <c r="O52" s="3012"/>
      <c r="P52" s="3012"/>
      <c r="Q52" s="3012"/>
      <c r="R52" s="3012"/>
      <c r="S52" s="2972"/>
      <c r="T52" s="43"/>
      <c r="Y52" s="2971"/>
      <c r="Z52" s="3012"/>
      <c r="AA52" s="3012"/>
      <c r="AB52" s="3012"/>
      <c r="AC52" s="2972"/>
      <c r="AD52" s="3014"/>
    </row>
    <row r="53" spans="1:30" ht="12" customHeight="1">
      <c r="A53" s="43"/>
      <c r="B53" s="43"/>
      <c r="L53" s="275"/>
      <c r="M53" s="43"/>
      <c r="T53" s="43"/>
      <c r="U53" s="43"/>
      <c r="V53" s="43"/>
      <c r="W53" s="43"/>
      <c r="X53" s="43"/>
      <c r="AD53" s="43"/>
    </row>
    <row r="54" spans="1:30"/>
    <row r="55" spans="1:30"/>
    <row r="56" spans="1:30"/>
    <row r="57" spans="1:30"/>
    <row r="58" spans="1:30"/>
  </sheetData>
  <customSheetViews>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alignWithMargins="0">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oddHeader>&amp;L&amp;8Statistiska Centralbyrån
Offentlig ekonomi&amp;R&amp;P</oddHeader>
      </headerFooter>
    </customSheetView>
  </customSheetViews>
  <mergeCells count="4">
    <mergeCell ref="C49:H52"/>
    <mergeCell ref="N49:S52"/>
    <mergeCell ref="Y49:AC52"/>
    <mergeCell ref="AD49:AD52"/>
  </mergeCells>
  <phoneticPr fontId="96" type="noConversion"/>
  <conditionalFormatting sqref="D9:L41 O9:W41 Y9:AC41">
    <cfRule type="cellIs" dxfId="101" priority="9" stopIfTrue="1" operator="lessThan">
      <formula>-500</formula>
    </cfRule>
  </conditionalFormatting>
  <conditionalFormatting sqref="D34:L34 O34:W34 Y34:AC34 D36:L36 O36:W36 Y36:AC36">
    <cfRule type="cellIs" dxfId="100" priority="40" stopIfTrue="1" operator="lessThan">
      <formula>-500</formula>
    </cfRule>
    <cfRule type="cellIs" dxfId="99" priority="41" stopIfTrue="1" operator="greaterThan">
      <formula>D33</formula>
    </cfRule>
  </conditionalFormatting>
  <conditionalFormatting sqref="J9:J41">
    <cfRule type="cellIs" dxfId="98" priority="8" stopIfTrue="1" operator="greaterThan">
      <formula>1</formula>
    </cfRule>
  </conditionalFormatting>
  <conditionalFormatting sqref="M9:M28 X9:X42 M32:M42">
    <cfRule type="cellIs" dxfId="97" priority="27" stopIfTrue="1" operator="notBetween">
      <formula>-500</formula>
      <formula>500</formula>
    </cfRule>
  </conditionalFormatting>
  <conditionalFormatting sqref="M29:M31">
    <cfRule type="cellIs" dxfId="96" priority="11" stopIfTrue="1" operator="notBetween">
      <formula>-10</formula>
      <formula>10</formula>
    </cfRule>
  </conditionalFormatting>
  <conditionalFormatting sqref="U33">
    <cfRule type="cellIs" dxfId="95" priority="7" stopIfTrue="1" operator="greaterThan">
      <formula>1</formula>
    </cfRule>
  </conditionalFormatting>
  <conditionalFormatting sqref="U35">
    <cfRule type="cellIs" dxfId="94" priority="6" stopIfTrue="1" operator="greaterThan">
      <formula>1</formula>
    </cfRule>
  </conditionalFormatting>
  <conditionalFormatting sqref="AD49:AD52">
    <cfRule type="expression" dxfId="93" priority="1">
      <formula>AC44&lt;-100</formula>
    </cfRule>
    <cfRule type="expression" dxfId="92" priority="2">
      <formula>AB44&lt;-100</formula>
    </cfRule>
    <cfRule type="expression" dxfId="91" priority="3">
      <formula>AA44&lt;-100</formula>
    </cfRule>
    <cfRule type="expression" dxfId="90" priority="4">
      <formula>Z44&lt;-100</formula>
    </cfRule>
    <cfRule type="expression" dxfId="89" priority="5">
      <formula>Y44&lt;-100</formula>
    </cfRule>
  </conditionalFormatting>
  <dataValidations count="1">
    <dataValidation type="decimal" operator="lessThan" allowBlank="1" showInputMessage="1" showErrorMessage="1" error="Beloppet ska vara i 1000 tal kr" sqref="Y9:AC41 O9:W41 D9:L41" xr:uid="{00000000-0002-0000-0700-000000000000}">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FFFF00"/>
  </sheetPr>
  <dimension ref="A1:IV113"/>
  <sheetViews>
    <sheetView showGridLines="0" zoomScaleNormal="100" workbookViewId="0">
      <pane xSplit="2" ySplit="7" topLeftCell="C8" activePane="bottomRight" state="frozen"/>
      <selection activeCell="F36" sqref="F36"/>
      <selection pane="topRight" activeCell="F36" sqref="F36"/>
      <selection pane="bottomLeft" activeCell="F36" sqref="F36"/>
      <selection pane="bottomRight"/>
    </sheetView>
  </sheetViews>
  <sheetFormatPr defaultColWidth="0" defaultRowHeight="12.5"/>
  <cols>
    <col min="1" max="1" width="4" style="288" customWidth="1"/>
    <col min="2" max="2" width="27.453125" style="232" customWidth="1"/>
    <col min="3" max="5" width="10.453125" style="232" customWidth="1"/>
    <col min="6" max="6" width="9.54296875" style="232" customWidth="1"/>
    <col min="7" max="7" width="8.453125" style="232" customWidth="1"/>
    <col min="8" max="8" width="8.453125" style="289" hidden="1" customWidth="1"/>
    <col min="9" max="9" width="25.54296875" style="232" customWidth="1"/>
    <col min="10" max="10" width="5.54296875" style="232" customWidth="1"/>
    <col min="11" max="11" width="1.453125" style="233" customWidth="1"/>
    <col min="12" max="12" width="0.54296875" style="233" customWidth="1"/>
    <col min="13" max="14" width="8.453125" style="184" customWidth="1"/>
    <col min="15" max="15" width="9" style="184" customWidth="1"/>
    <col min="16" max="16" width="22.54296875" style="290" customWidth="1"/>
    <col min="17" max="17" width="46" style="5" customWidth="1"/>
    <col min="18" max="23" width="8.453125" style="183" customWidth="1"/>
    <col min="24" max="24" width="8.453125" style="184" customWidth="1"/>
    <col min="25" max="26" width="9.453125" style="183" customWidth="1"/>
    <col min="27" max="16384" width="0" style="183" hidden="1"/>
  </cols>
  <sheetData>
    <row r="1" spans="1:256" ht="21">
      <c r="A1" s="84" t="str">
        <f>"Specificering pedagogisk verksamhet "&amp;År&amp;", 1 000 tal kr"</f>
        <v>Specificering pedagogisk verksamhet 2025, 1 000 tal kr</v>
      </c>
      <c r="B1" s="85"/>
      <c r="C1" s="85"/>
      <c r="D1" s="85"/>
      <c r="E1" s="182"/>
      <c r="F1" s="182"/>
      <c r="G1" s="182"/>
      <c r="H1" s="279"/>
      <c r="I1" s="621">
        <f>Information!B3</f>
        <v>0</v>
      </c>
      <c r="J1" s="618">
        <f>Information!B2</f>
        <v>0</v>
      </c>
      <c r="K1" s="209"/>
      <c r="L1" s="209"/>
      <c r="M1" s="1526"/>
      <c r="N1" s="182"/>
      <c r="O1" s="84"/>
      <c r="P1" s="149"/>
      <c r="Q1" s="182"/>
      <c r="R1" s="182"/>
      <c r="S1" s="182"/>
      <c r="T1" s="182"/>
      <c r="U1" s="182"/>
      <c r="V1" s="182"/>
      <c r="W1" s="182"/>
      <c r="X1" s="1803"/>
      <c r="Y1" s="220"/>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2"/>
      <c r="EJ1" s="182"/>
      <c r="EK1" s="182"/>
      <c r="EL1" s="182"/>
      <c r="EM1" s="182"/>
      <c r="EN1" s="182"/>
      <c r="EO1" s="182"/>
      <c r="EP1" s="182"/>
      <c r="EQ1" s="182"/>
      <c r="ER1" s="182"/>
      <c r="ES1" s="182"/>
      <c r="ET1" s="182"/>
      <c r="EU1" s="182"/>
      <c r="EV1" s="182"/>
      <c r="EW1" s="182"/>
      <c r="EX1" s="182"/>
      <c r="EY1" s="182"/>
      <c r="EZ1" s="182"/>
      <c r="FA1" s="182"/>
      <c r="FB1" s="182"/>
      <c r="FC1" s="182"/>
      <c r="FD1" s="182"/>
      <c r="FE1" s="182"/>
      <c r="FF1" s="182"/>
      <c r="FG1" s="182"/>
      <c r="FH1" s="182"/>
      <c r="FI1" s="182"/>
      <c r="FJ1" s="182"/>
      <c r="FK1" s="182"/>
      <c r="FL1" s="182"/>
      <c r="FM1" s="182"/>
      <c r="FN1" s="182"/>
      <c r="FO1" s="182"/>
      <c r="FP1" s="182"/>
      <c r="FQ1" s="182"/>
      <c r="FR1" s="182"/>
      <c r="FS1" s="182"/>
      <c r="FT1" s="182"/>
      <c r="FU1" s="182"/>
      <c r="FV1" s="182"/>
      <c r="FW1" s="182"/>
      <c r="FX1" s="182"/>
      <c r="FY1" s="182"/>
      <c r="FZ1" s="182"/>
      <c r="GA1" s="182"/>
      <c r="GB1" s="182"/>
      <c r="GC1" s="182"/>
      <c r="GD1" s="182"/>
      <c r="GE1" s="182"/>
      <c r="GF1" s="182"/>
      <c r="GG1" s="182"/>
      <c r="GH1" s="182"/>
      <c r="GI1" s="182"/>
      <c r="GJ1" s="182"/>
      <c r="GK1" s="182"/>
      <c r="GL1" s="182"/>
      <c r="GM1" s="182"/>
      <c r="GN1" s="182"/>
      <c r="GO1" s="182"/>
      <c r="GP1" s="182"/>
      <c r="GQ1" s="182"/>
      <c r="GR1" s="182"/>
      <c r="GS1" s="182"/>
      <c r="GT1" s="182"/>
      <c r="GU1" s="182"/>
      <c r="GV1" s="182"/>
      <c r="GW1" s="182"/>
      <c r="GX1" s="182"/>
      <c r="GY1" s="182"/>
      <c r="GZ1" s="182"/>
      <c r="HA1" s="182"/>
      <c r="HB1" s="182"/>
      <c r="HC1" s="182"/>
      <c r="HD1" s="182"/>
      <c r="HE1" s="182"/>
      <c r="HF1" s="182"/>
      <c r="HG1" s="182"/>
      <c r="HH1" s="182"/>
      <c r="HI1" s="182"/>
      <c r="HJ1" s="182"/>
      <c r="HK1" s="182"/>
      <c r="HL1" s="182"/>
      <c r="HM1" s="182"/>
      <c r="HN1" s="182"/>
      <c r="HO1" s="182"/>
      <c r="HP1" s="182"/>
      <c r="HQ1" s="182"/>
      <c r="HR1" s="182"/>
      <c r="HS1" s="182"/>
      <c r="HT1" s="182"/>
      <c r="HU1" s="182"/>
      <c r="HV1" s="182"/>
      <c r="HW1" s="182"/>
      <c r="HX1" s="182"/>
      <c r="HY1" s="182"/>
      <c r="HZ1" s="182"/>
      <c r="IA1" s="182"/>
      <c r="IB1" s="182"/>
      <c r="IC1" s="182"/>
      <c r="ID1" s="182"/>
      <c r="IE1" s="182"/>
      <c r="IF1" s="182"/>
      <c r="IG1" s="182"/>
      <c r="IH1" s="182"/>
      <c r="II1" s="182"/>
      <c r="IJ1" s="182"/>
      <c r="IK1" s="182"/>
      <c r="IL1" s="182"/>
      <c r="IM1" s="182"/>
      <c r="IN1" s="182"/>
      <c r="IO1" s="182"/>
      <c r="IP1" s="182"/>
      <c r="IQ1" s="182"/>
      <c r="IR1" s="182"/>
      <c r="IS1" s="182"/>
      <c r="IT1" s="182"/>
      <c r="IU1" s="182"/>
      <c r="IV1" s="182"/>
    </row>
    <row r="2" spans="1:256" ht="17.25" customHeight="1">
      <c r="A2" s="1455"/>
      <c r="C2" s="419"/>
      <c r="D2" s="46" t="s">
        <v>983</v>
      </c>
      <c r="E2" s="220"/>
      <c r="F2" s="220"/>
      <c r="G2" s="281"/>
      <c r="H2" s="282"/>
      <c r="I2" s="46" t="s">
        <v>1039</v>
      </c>
      <c r="K2" s="1673"/>
      <c r="L2" s="183"/>
      <c r="O2" s="2378"/>
      <c r="P2" s="46" t="s">
        <v>1474</v>
      </c>
      <c r="Q2" s="1514"/>
    </row>
    <row r="3" spans="1:256" ht="17.25" customHeight="1" thickBot="1">
      <c r="C3" s="105"/>
      <c r="D3" s="46" t="s">
        <v>622</v>
      </c>
      <c r="E3" s="281"/>
      <c r="F3" s="281"/>
      <c r="G3" s="281"/>
      <c r="H3" s="282"/>
      <c r="I3" s="46"/>
      <c r="K3" s="283"/>
      <c r="L3" s="283"/>
      <c r="M3" s="1516"/>
      <c r="N3" s="1516"/>
      <c r="O3" s="2379"/>
      <c r="P3" s="46" t="s">
        <v>1473</v>
      </c>
      <c r="Q3" s="1515"/>
      <c r="X3" s="1516"/>
    </row>
    <row r="4" spans="1:256" ht="11.25" customHeight="1">
      <c r="A4" s="1609" t="s">
        <v>864</v>
      </c>
      <c r="B4" s="1608" t="s">
        <v>504</v>
      </c>
      <c r="C4" s="1198" t="s">
        <v>153</v>
      </c>
      <c r="D4" s="1597"/>
      <c r="E4" s="901" t="s">
        <v>153</v>
      </c>
      <c r="F4" s="1597"/>
      <c r="G4" s="1596"/>
      <c r="H4" s="284" t="s">
        <v>673</v>
      </c>
      <c r="I4" s="3042" t="s">
        <v>1475</v>
      </c>
      <c r="J4" s="3043"/>
      <c r="K4" s="3043"/>
      <c r="L4" s="3044"/>
      <c r="M4" s="3028" t="s">
        <v>1205</v>
      </c>
      <c r="N4" s="3029"/>
      <c r="O4" s="1253"/>
      <c r="P4" s="1598" t="s">
        <v>40</v>
      </c>
      <c r="Q4" s="3034" t="s">
        <v>60</v>
      </c>
      <c r="R4" s="285"/>
      <c r="S4" s="285"/>
      <c r="X4" s="1804"/>
    </row>
    <row r="5" spans="1:256" ht="12.65" customHeight="1">
      <c r="A5" s="1610" t="s">
        <v>866</v>
      </c>
      <c r="B5" s="944"/>
      <c r="C5" s="1199" t="s">
        <v>44</v>
      </c>
      <c r="D5" s="3036" t="s">
        <v>1052</v>
      </c>
      <c r="E5" s="904" t="s">
        <v>160</v>
      </c>
      <c r="F5" s="3036" t="s">
        <v>1584</v>
      </c>
      <c r="G5" s="3039" t="s">
        <v>1337</v>
      </c>
      <c r="H5" s="159"/>
      <c r="I5" s="3045"/>
      <c r="J5" s="3046"/>
      <c r="K5" s="3046"/>
      <c r="L5" s="3047"/>
      <c r="M5" s="3030"/>
      <c r="N5" s="3031"/>
      <c r="O5" s="1186"/>
      <c r="P5" s="1604" t="s">
        <v>990</v>
      </c>
      <c r="Q5" s="3035"/>
      <c r="R5" s="285"/>
      <c r="S5" s="285"/>
      <c r="X5" s="1805"/>
    </row>
    <row r="6" spans="1:256" ht="36.65" customHeight="1">
      <c r="A6" s="1200"/>
      <c r="B6" s="944"/>
      <c r="C6" s="1199"/>
      <c r="D6" s="3037"/>
      <c r="E6" s="685"/>
      <c r="F6" s="3037"/>
      <c r="G6" s="3040"/>
      <c r="H6" s="159"/>
      <c r="I6" s="1692"/>
      <c r="J6" s="1709"/>
      <c r="K6" s="1709"/>
      <c r="L6" s="1710"/>
      <c r="M6" s="3032"/>
      <c r="N6" s="3033"/>
      <c r="O6" s="1186" t="s">
        <v>555</v>
      </c>
      <c r="P6" s="2744" t="s">
        <v>1764</v>
      </c>
      <c r="Q6" s="3035"/>
      <c r="S6" s="285"/>
      <c r="X6" s="1806" t="s">
        <v>39</v>
      </c>
      <c r="IV6" s="3027"/>
    </row>
    <row r="7" spans="1:256" ht="65.150000000000006" customHeight="1" thickBot="1">
      <c r="A7" s="1188"/>
      <c r="B7" s="944"/>
      <c r="C7" s="1190"/>
      <c r="D7" s="3038"/>
      <c r="E7" s="685"/>
      <c r="F7" s="3038"/>
      <c r="G7" s="3041"/>
      <c r="H7" s="159"/>
      <c r="I7" s="1711"/>
      <c r="J7" s="944"/>
      <c r="K7" s="1713"/>
      <c r="L7" s="1712"/>
      <c r="M7" s="1254" t="str">
        <f>"År "&amp;År</f>
        <v>År 2025</v>
      </c>
      <c r="N7" s="1255" t="str">
        <f>"År "&amp;År-1</f>
        <v>År 2024</v>
      </c>
      <c r="O7" s="1256" t="str">
        <f>År-1&amp;"-"&amp; År</f>
        <v>2024-2025</v>
      </c>
      <c r="P7" s="2742" t="s">
        <v>1765</v>
      </c>
      <c r="Q7" s="3035"/>
      <c r="S7" s="285"/>
      <c r="X7" s="1807" t="str">
        <f>"År "&amp;År</f>
        <v>År 2025</v>
      </c>
      <c r="IV7" s="3027"/>
    </row>
    <row r="8" spans="1:256">
      <c r="A8" s="1221" t="s">
        <v>439</v>
      </c>
      <c r="B8" s="1222" t="s">
        <v>634</v>
      </c>
      <c r="C8" s="128">
        <f>Drift!P47</f>
        <v>0</v>
      </c>
      <c r="D8" s="129">
        <f>SUM(Motpart!D13:L13)</f>
        <v>0</v>
      </c>
      <c r="E8" s="129">
        <f>Drift!W47</f>
        <v>0</v>
      </c>
      <c r="F8" s="129">
        <f>Motpart!Y13</f>
        <v>0</v>
      </c>
      <c r="G8" s="135">
        <f>Drift!V47</f>
        <v>0</v>
      </c>
      <c r="H8" s="160"/>
      <c r="I8" s="1179" t="s">
        <v>1115</v>
      </c>
      <c r="J8" s="1798"/>
      <c r="K8" s="1699"/>
      <c r="L8" s="1700"/>
      <c r="M8" s="1257" t="e">
        <f>(C8-F8-G8)*1000/J8</f>
        <v>#DIV/0!</v>
      </c>
      <c r="N8" s="1258"/>
      <c r="O8" s="1259" t="e">
        <f t="shared" ref="O8:O14" si="0">IF(OR(M8="",N8=""),"",IF(AND(M8=0,N8=0),0,IF(N8=0,1,M8/N8-1)))</f>
        <v>#DIV/0!</v>
      </c>
      <c r="P8" s="2309" t="e">
        <f>IF(M8="","",IF(AND(O8&gt;-20%,O8&lt;20%),"","Kommentera förändringen"))</f>
        <v>#DIV/0!</v>
      </c>
      <c r="Q8" s="1260" t="s">
        <v>1120</v>
      </c>
      <c r="R8" s="96" t="s">
        <v>97</v>
      </c>
      <c r="S8" s="285"/>
      <c r="X8" s="1257">
        <f>C8-F8-G8</f>
        <v>0</v>
      </c>
    </row>
    <row r="9" spans="1:256" s="1495" customFormat="1" ht="10">
      <c r="A9" s="1223" t="s">
        <v>329</v>
      </c>
      <c r="B9" s="1224" t="s">
        <v>374</v>
      </c>
      <c r="C9" s="435">
        <f>C8-G8-D8</f>
        <v>0</v>
      </c>
      <c r="D9" s="1201"/>
      <c r="E9" s="1207"/>
      <c r="F9" s="1207"/>
      <c r="G9" s="1213"/>
      <c r="H9" s="161">
        <v>850</v>
      </c>
      <c r="I9" s="1693"/>
      <c r="J9" s="1694"/>
      <c r="K9" s="1697"/>
      <c r="L9" s="1698"/>
      <c r="M9" s="1261" t="e">
        <f>C9*1000/J8</f>
        <v>#DIV/0!</v>
      </c>
      <c r="N9" s="1262"/>
      <c r="O9" s="1263" t="e">
        <f t="shared" si="0"/>
        <v>#DIV/0!</v>
      </c>
      <c r="P9" s="2309" t="e">
        <f>IF(M9="","",IF(AND(O9&gt;-20%,O9&lt;20%),"","Kommentera förändringen"))</f>
        <v>#DIV/0!</v>
      </c>
      <c r="Q9" s="1260" t="s">
        <v>1121</v>
      </c>
      <c r="R9" s="3018"/>
      <c r="S9" s="3019"/>
      <c r="T9" s="3019"/>
      <c r="U9" s="3019"/>
      <c r="V9" s="3019"/>
      <c r="W9" s="3020"/>
      <c r="X9" s="1261">
        <f>C9</f>
        <v>0</v>
      </c>
      <c r="Y9" s="1491"/>
      <c r="Z9" s="1491"/>
    </row>
    <row r="10" spans="1:256" s="1491" customFormat="1" ht="10">
      <c r="A10" s="1223" t="s">
        <v>327</v>
      </c>
      <c r="B10" s="1225" t="s">
        <v>1560</v>
      </c>
      <c r="C10" s="90">
        <f>Drift!C47+Drift!D47</f>
        <v>0</v>
      </c>
      <c r="D10" s="1201"/>
      <c r="E10" s="1208"/>
      <c r="F10" s="1208"/>
      <c r="G10" s="1213"/>
      <c r="H10" s="161">
        <v>851</v>
      </c>
      <c r="I10" s="1693"/>
      <c r="J10" s="1694"/>
      <c r="K10" s="1287"/>
      <c r="L10" s="1695"/>
      <c r="M10" s="1261">
        <f>IF(C10=0,0,C10*100/C9)</f>
        <v>0</v>
      </c>
      <c r="N10" s="1262"/>
      <c r="O10" s="1263" t="str">
        <f t="shared" si="0"/>
        <v/>
      </c>
      <c r="P10" s="2309" t="str">
        <f>IF(M10="","",IF(AND(O10&gt;-20%,O10&lt;20%),"","Kommentera förändringen"))</f>
        <v>Kommentera förändringen</v>
      </c>
      <c r="Q10" s="1260" t="s">
        <v>375</v>
      </c>
      <c r="R10" s="3021"/>
      <c r="S10" s="3022"/>
      <c r="T10" s="3022"/>
      <c r="U10" s="3022"/>
      <c r="V10" s="3022"/>
      <c r="W10" s="3023"/>
      <c r="X10" s="1261">
        <f>IF(C10=0,0,C10*100/C9)</f>
        <v>0</v>
      </c>
    </row>
    <row r="11" spans="1:256" s="1491" customFormat="1" ht="10">
      <c r="A11" s="1223" t="s">
        <v>330</v>
      </c>
      <c r="B11" s="1225" t="s">
        <v>631</v>
      </c>
      <c r="C11" s="2607"/>
      <c r="D11" s="1202" t="str">
        <f>IF(C8=0,"",IF(C11&lt;Drift!I47+Drift!J47+Drift!L47,"Kommentera",""))</f>
        <v/>
      </c>
      <c r="E11" s="268"/>
      <c r="F11" s="1208"/>
      <c r="G11" s="291"/>
      <c r="H11" s="161"/>
      <c r="I11" s="2736" t="str">
        <f>IF(G11&gt;E11,"Därav kol. G&gt; Kol. E- korrigera!","")</f>
        <v/>
      </c>
      <c r="J11" s="1799"/>
      <c r="K11" s="1254"/>
      <c r="L11" s="1696"/>
      <c r="M11" s="1261" t="e">
        <f>(C11-E11)*1000/J8</f>
        <v>#DIV/0!</v>
      </c>
      <c r="N11" s="1262"/>
      <c r="O11" s="1263" t="e">
        <f t="shared" si="0"/>
        <v>#DIV/0!</v>
      </c>
      <c r="P11" s="2309" t="e">
        <f>IF(M11="","",IF(OR(O11&lt;-40%,O11&gt;40%),"Kommentera förändringen",IF(OR(O11&lt;-20%,O11&gt;20%),"Kontrollera förändringen","")))</f>
        <v>#DIV/0!</v>
      </c>
      <c r="Q11" s="1260" t="s">
        <v>1122</v>
      </c>
      <c r="R11" s="3021"/>
      <c r="S11" s="3022"/>
      <c r="T11" s="3022"/>
      <c r="U11" s="3022"/>
      <c r="V11" s="3022"/>
      <c r="W11" s="3023"/>
      <c r="X11" s="1261">
        <f>C11-E11</f>
        <v>0</v>
      </c>
    </row>
    <row r="12" spans="1:256" s="1491" customFormat="1" ht="10">
      <c r="A12" s="1223" t="s">
        <v>506</v>
      </c>
      <c r="B12" s="1225" t="s">
        <v>545</v>
      </c>
      <c r="C12" s="1205"/>
      <c r="D12" s="1203"/>
      <c r="E12" s="91">
        <f>Drift!R47</f>
        <v>0</v>
      </c>
      <c r="F12" s="1209"/>
      <c r="G12" s="1520"/>
      <c r="H12" s="176" t="s">
        <v>647</v>
      </c>
      <c r="I12" s="1273"/>
      <c r="J12" s="1694"/>
      <c r="K12" s="1697"/>
      <c r="L12" s="1698"/>
      <c r="M12" s="1261" t="e">
        <f>(Motpart!G13+Motpart!K13)*1000/J8</f>
        <v>#DIV/0!</v>
      </c>
      <c r="N12" s="1262"/>
      <c r="O12" s="1263" t="e">
        <f t="shared" si="0"/>
        <v>#DIV/0!</v>
      </c>
      <c r="P12" s="2310" t="e">
        <f>IF(M12="","",IF(OR(AND(O12&gt;-50%,O12&lt;50%),X12&lt;750),"","Kommentera förändringen"))</f>
        <v>#DIV/0!</v>
      </c>
      <c r="Q12" s="1260" t="s">
        <v>1123</v>
      </c>
      <c r="R12" s="3021"/>
      <c r="S12" s="3022"/>
      <c r="T12" s="3022"/>
      <c r="U12" s="3022"/>
      <c r="V12" s="3022"/>
      <c r="W12" s="3023"/>
      <c r="X12" s="1261">
        <f>Motpart!G13+Motpart!K13</f>
        <v>0</v>
      </c>
    </row>
    <row r="13" spans="1:256" s="1491" customFormat="1" ht="10">
      <c r="A13" s="1223" t="s">
        <v>507</v>
      </c>
      <c r="B13" s="1225" t="s">
        <v>508</v>
      </c>
      <c r="C13" s="1206"/>
      <c r="D13" s="1203"/>
      <c r="E13" s="268"/>
      <c r="F13" s="1209"/>
      <c r="G13" s="1520"/>
      <c r="H13" s="177" t="s">
        <v>648</v>
      </c>
      <c r="I13" s="1273"/>
      <c r="J13" s="1694"/>
      <c r="K13" s="1697"/>
      <c r="L13" s="1698"/>
      <c r="M13" s="1261" t="e">
        <f>F8*1000/J8</f>
        <v>#DIV/0!</v>
      </c>
      <c r="N13" s="1262"/>
      <c r="O13" s="1263" t="e">
        <f t="shared" si="0"/>
        <v>#DIV/0!</v>
      </c>
      <c r="P13" s="2309" t="e">
        <f>IF(M13="","",IF(AND(ABS(O13)&gt;50%,X13&gt;900),"Kommentera förändringen",IF(AND(ABS(O13)&gt;50%,X13&gt;490),"Kontrollera förändringen","")))</f>
        <v>#DIV/0!</v>
      </c>
      <c r="Q13" s="1260" t="s">
        <v>1124</v>
      </c>
      <c r="R13" s="3021"/>
      <c r="S13" s="3022"/>
      <c r="T13" s="3022"/>
      <c r="U13" s="3022"/>
      <c r="V13" s="3022"/>
      <c r="W13" s="3023"/>
      <c r="X13" s="1261">
        <f>F8</f>
        <v>0</v>
      </c>
    </row>
    <row r="14" spans="1:256" s="1491" customFormat="1" ht="10">
      <c r="A14" s="1226" t="s">
        <v>664</v>
      </c>
      <c r="B14" s="1227"/>
      <c r="C14" s="1206"/>
      <c r="D14" s="1204"/>
      <c r="E14" s="1212"/>
      <c r="F14" s="1210"/>
      <c r="G14" s="1520"/>
      <c r="H14" s="176" t="s">
        <v>649</v>
      </c>
      <c r="I14" s="1273"/>
      <c r="J14" s="1694"/>
      <c r="K14" s="1697"/>
      <c r="L14" s="1698"/>
      <c r="M14" s="1261" t="e">
        <f>X14*1000/J8</f>
        <v>#DIV/0!</v>
      </c>
      <c r="N14" s="1262"/>
      <c r="O14" s="1263" t="e">
        <f t="shared" si="0"/>
        <v>#DIV/0!</v>
      </c>
      <c r="P14" s="2309" t="e">
        <f>IF(M14="","",IF(OR(AND(O14&gt;-30%,O14&lt;30%),X14&lt;680),"","Kommentera förändringen"))</f>
        <v>#DIV/0!</v>
      </c>
      <c r="Q14" s="1260" t="s">
        <v>1125</v>
      </c>
      <c r="R14" s="3024"/>
      <c r="S14" s="3025"/>
      <c r="T14" s="3025"/>
      <c r="U14" s="3025"/>
      <c r="V14" s="3025"/>
      <c r="W14" s="3026"/>
      <c r="X14" s="1261">
        <f>((Motpart!D13+Motpart!E13+Motpart!F13)*0.94)</f>
        <v>0</v>
      </c>
    </row>
    <row r="15" spans="1:256" s="1497" customFormat="1" ht="10.5" thickBot="1">
      <c r="A15" s="1226" t="s">
        <v>325</v>
      </c>
      <c r="B15" s="1227"/>
      <c r="C15" s="1206"/>
      <c r="D15" s="1204"/>
      <c r="E15" s="1204"/>
      <c r="F15" s="1211"/>
      <c r="G15" s="1214"/>
      <c r="H15" s="162"/>
      <c r="I15" s="1708"/>
      <c r="J15" s="1800"/>
      <c r="K15" s="1264"/>
      <c r="L15" s="1706"/>
      <c r="M15" s="1265">
        <f>IF(C9=0,0,(E12-E13)*100/C9)</f>
        <v>0</v>
      </c>
      <c r="N15" s="1266"/>
      <c r="O15" s="1267">
        <f>IF(M15="","",IF(AND(M15=0,N15=0),0,IF(N15=0,1,M15/N15-1)))</f>
        <v>0</v>
      </c>
      <c r="P15" s="1268" t="str">
        <f>IF(M15="","",IF(OR(O15&gt;50%,O15&lt;-50%),"Stor förändring, kommentera",IF(AND(M15&lt;12,M15&gt;0),"","Kommentera avg.finans.")))</f>
        <v>Kommentera avg.finans.</v>
      </c>
      <c r="Q15" s="1260" t="s">
        <v>590</v>
      </c>
      <c r="R15" s="1496"/>
      <c r="X15" s="1265">
        <f>IF(C9=0,0,(E12-E13)*100/C9)</f>
        <v>0</v>
      </c>
      <c r="Y15" s="1491"/>
      <c r="Z15" s="1491"/>
    </row>
    <row r="16" spans="1:256">
      <c r="A16" s="1228" t="s">
        <v>907</v>
      </c>
      <c r="B16" s="1229" t="s">
        <v>635</v>
      </c>
      <c r="C16" s="88">
        <f>Drift!P50</f>
        <v>0</v>
      </c>
      <c r="D16" s="89">
        <f>SUM(Motpart!D15:L15)</f>
        <v>0</v>
      </c>
      <c r="E16" s="92">
        <f>Drift!W50</f>
        <v>0</v>
      </c>
      <c r="F16" s="89">
        <f>Motpart!Y15</f>
        <v>0</v>
      </c>
      <c r="G16" s="136">
        <f>Drift!V50</f>
        <v>0</v>
      </c>
      <c r="H16" s="159"/>
      <c r="I16" s="1179" t="s">
        <v>1116</v>
      </c>
      <c r="J16" s="1798"/>
      <c r="K16" s="1707"/>
      <c r="L16" s="1700"/>
      <c r="M16" s="1269" t="e">
        <f>(C16-G16-F16)*1000/J16</f>
        <v>#DIV/0!</v>
      </c>
      <c r="N16" s="1258"/>
      <c r="O16" s="1270" t="e">
        <f t="shared" ref="O16:O42" si="1">IF(OR(M16="",N16=""),"",IF(AND(M16=0,N16=0),0,IF(N16=0,1,M16/N16-1)))</f>
        <v>#DIV/0!</v>
      </c>
      <c r="P16" s="1085" t="e">
        <f>IF(M16="","",IF(AND(O16&gt;-20%,O16&lt;20%),"","Kommentera förändringen"))</f>
        <v>#DIV/0!</v>
      </c>
      <c r="Q16" s="1271" t="s">
        <v>1162</v>
      </c>
      <c r="R16" s="96" t="s">
        <v>98</v>
      </c>
      <c r="S16" s="285"/>
      <c r="X16" s="1269">
        <f>C16-G16-F16</f>
        <v>0</v>
      </c>
    </row>
    <row r="17" spans="1:256">
      <c r="A17" s="1223" t="s">
        <v>422</v>
      </c>
      <c r="B17" s="1230" t="s">
        <v>374</v>
      </c>
      <c r="C17" s="435">
        <f>C16-G16-D16</f>
        <v>0</v>
      </c>
      <c r="D17" s="1215"/>
      <c r="E17" s="1216"/>
      <c r="F17" s="1216"/>
      <c r="G17" s="1213"/>
      <c r="H17" s="163" t="s">
        <v>286</v>
      </c>
      <c r="I17" s="1693"/>
      <c r="J17" s="1694"/>
      <c r="K17" s="1697"/>
      <c r="L17" s="1698"/>
      <c r="M17" s="1261" t="e">
        <f>C17*1000/J16</f>
        <v>#DIV/0!</v>
      </c>
      <c r="N17" s="1262"/>
      <c r="O17" s="1270" t="e">
        <f t="shared" si="1"/>
        <v>#DIV/0!</v>
      </c>
      <c r="P17" s="1085" t="e">
        <f>IF(M17="","",IF(AND(O17&gt;-20%,O17&lt;20%),"","Kommentera förändringen"))</f>
        <v>#DIV/0!</v>
      </c>
      <c r="Q17" s="1260" t="s">
        <v>1163</v>
      </c>
      <c r="R17" s="3018"/>
      <c r="S17" s="3010"/>
      <c r="T17" s="3010"/>
      <c r="U17" s="3010"/>
      <c r="V17" s="3010"/>
      <c r="W17" s="2968"/>
      <c r="X17" s="1261">
        <f>C17</f>
        <v>0</v>
      </c>
    </row>
    <row r="18" spans="1:256">
      <c r="A18" s="1223" t="s">
        <v>423</v>
      </c>
      <c r="B18" s="2515" t="s">
        <v>1561</v>
      </c>
      <c r="C18" s="93">
        <f>Drift!C50+Drift!D50</f>
        <v>0</v>
      </c>
      <c r="D18" s="1215"/>
      <c r="E18" s="1208"/>
      <c r="F18" s="1208"/>
      <c r="G18" s="1213"/>
      <c r="H18" s="161" t="s">
        <v>674</v>
      </c>
      <c r="I18" s="1693"/>
      <c r="J18" s="1694"/>
      <c r="K18" s="1287"/>
      <c r="L18" s="1695"/>
      <c r="M18" s="1261">
        <f>IF(C18=0,0,(C18*100/C17))</f>
        <v>0</v>
      </c>
      <c r="N18" s="1262"/>
      <c r="O18" s="1270" t="str">
        <f t="shared" si="1"/>
        <v/>
      </c>
      <c r="P18" s="1085" t="str">
        <f>IF(M18="","",IF(AND(O18&gt;-20%,O18&lt;20%),"","Kommentera förändringen"))</f>
        <v>Kommentera förändringen</v>
      </c>
      <c r="Q18" s="1260" t="s">
        <v>417</v>
      </c>
      <c r="R18" s="3016"/>
      <c r="S18" s="3011"/>
      <c r="T18" s="3011"/>
      <c r="U18" s="3011"/>
      <c r="V18" s="3011"/>
      <c r="W18" s="2970"/>
      <c r="X18" s="1261">
        <f>IF(C18=0,0,(C18*100/C17))</f>
        <v>0</v>
      </c>
    </row>
    <row r="19" spans="1:256" ht="13.5" customHeight="1">
      <c r="A19" s="1223" t="s">
        <v>424</v>
      </c>
      <c r="B19" s="1225" t="s">
        <v>631</v>
      </c>
      <c r="C19" s="2607"/>
      <c r="D19" s="1215" t="str">
        <f>IF(C16=0,"",IF(C19&lt;Drift!I50+Drift!J50+Drift!L50,"Kommentera",""))</f>
        <v/>
      </c>
      <c r="E19" s="268"/>
      <c r="F19" s="1210"/>
      <c r="G19" s="291"/>
      <c r="H19" s="159"/>
      <c r="I19" s="2737" t="str">
        <f>IF(G19&gt;E19,"Därav kol. G&gt; Kol. E-korrigera!","")</f>
        <v/>
      </c>
      <c r="J19" s="1799"/>
      <c r="K19" s="1254"/>
      <c r="L19" s="1696"/>
      <c r="M19" s="1272" t="e">
        <f>(C19-E19)*1000/J16</f>
        <v>#DIV/0!</v>
      </c>
      <c r="N19" s="1258"/>
      <c r="O19" s="1270" t="e">
        <f t="shared" si="1"/>
        <v>#DIV/0!</v>
      </c>
      <c r="P19" s="1085" t="e">
        <f>IF(M19="","",IF(OR(O19&lt;-60%,O19&gt;60%),"Kommentera förändringen",IF(OR(O19&lt;-25%,O19&gt;25%),"Kontrollera förändringen","")))</f>
        <v>#DIV/0!</v>
      </c>
      <c r="Q19" s="1260" t="s">
        <v>1164</v>
      </c>
      <c r="R19" s="3016"/>
      <c r="S19" s="3011"/>
      <c r="T19" s="3011"/>
      <c r="U19" s="3011"/>
      <c r="V19" s="3011"/>
      <c r="W19" s="2970"/>
      <c r="X19" s="1272">
        <f>C19-E19</f>
        <v>0</v>
      </c>
    </row>
    <row r="20" spans="1:256">
      <c r="A20" s="1223" t="s">
        <v>650</v>
      </c>
      <c r="B20" s="1225" t="s">
        <v>545</v>
      </c>
      <c r="C20" s="1205"/>
      <c r="D20" s="1203"/>
      <c r="E20" s="93">
        <f>Drift!R50</f>
        <v>0</v>
      </c>
      <c r="F20" s="1209"/>
      <c r="G20" s="1520"/>
      <c r="H20" s="511" t="s">
        <v>675</v>
      </c>
      <c r="I20" s="1273"/>
      <c r="J20" s="1694"/>
      <c r="K20" s="1697"/>
      <c r="L20" s="1698"/>
      <c r="M20" s="1261">
        <f>IF(D16=0,0,(Motpart!G15+Motpart!K15)*1000/J16)</f>
        <v>0</v>
      </c>
      <c r="N20" s="1262"/>
      <c r="O20" s="1270" t="str">
        <f t="shared" si="1"/>
        <v/>
      </c>
      <c r="P20" s="1085" t="e">
        <f>IF(M20="","",IF(AND(ABS(O20)&gt;50%,X20&gt;400),"Kommentera förändringen",IF(AND(ABS(O20)&gt;50%,X20&gt;198),"Kontrollera förändringen","")))</f>
        <v>#VALUE!</v>
      </c>
      <c r="Q20" s="1260" t="s">
        <v>1165</v>
      </c>
      <c r="R20" s="3016"/>
      <c r="S20" s="3011"/>
      <c r="T20" s="3011"/>
      <c r="U20" s="3011"/>
      <c r="V20" s="3011"/>
      <c r="W20" s="2970"/>
      <c r="X20" s="1261">
        <f>IF(D16=0,0,(Motpart!G15+Motpart!K15))</f>
        <v>0</v>
      </c>
    </row>
    <row r="21" spans="1:256">
      <c r="A21" s="1223" t="s">
        <v>651</v>
      </c>
      <c r="B21" s="1225" t="s">
        <v>508</v>
      </c>
      <c r="C21" s="1206"/>
      <c r="D21" s="1203"/>
      <c r="E21" s="268"/>
      <c r="F21" s="1209"/>
      <c r="G21" s="1520"/>
      <c r="H21" s="511" t="s">
        <v>676</v>
      </c>
      <c r="I21" s="1273"/>
      <c r="J21" s="1694"/>
      <c r="K21" s="1697"/>
      <c r="L21" s="1698"/>
      <c r="M21" s="1261">
        <f>IF(F16=0,0,(F16*1000/J16))</f>
        <v>0</v>
      </c>
      <c r="N21" s="1262"/>
      <c r="O21" s="1270" t="str">
        <f t="shared" si="1"/>
        <v/>
      </c>
      <c r="P21" s="1085" t="str">
        <f>IF(M21="","",IF(OR(AND(O21&gt;-50%,O21&lt;50%),X21&lt;202),"","Kommentera förändringen"))</f>
        <v/>
      </c>
      <c r="Q21" s="1260" t="s">
        <v>1166</v>
      </c>
      <c r="R21" s="3016"/>
      <c r="S21" s="3011"/>
      <c r="T21" s="3011"/>
      <c r="U21" s="3011"/>
      <c r="V21" s="3011"/>
      <c r="W21" s="2970"/>
      <c r="X21" s="1261">
        <f>F16</f>
        <v>0</v>
      </c>
      <c r="IV21" s="285"/>
    </row>
    <row r="22" spans="1:256">
      <c r="A22" s="1226" t="s">
        <v>663</v>
      </c>
      <c r="B22" s="1231"/>
      <c r="C22" s="1206"/>
      <c r="D22" s="1204"/>
      <c r="E22" s="1212"/>
      <c r="F22" s="1210"/>
      <c r="G22" s="1520"/>
      <c r="H22" s="511" t="s">
        <v>677</v>
      </c>
      <c r="I22" s="1273"/>
      <c r="J22" s="1694"/>
      <c r="K22" s="1697"/>
      <c r="L22" s="1698"/>
      <c r="M22" s="1261">
        <f>IF(D16=0,0,X22*1000/J16)</f>
        <v>0</v>
      </c>
      <c r="N22" s="1262"/>
      <c r="O22" s="1270" t="str">
        <f t="shared" si="1"/>
        <v/>
      </c>
      <c r="P22" s="1085" t="str">
        <f>IF(M22="","",IF(OR(AND(O22&gt;-50%,O22&lt;50%),X22&lt;204),"","Kommentera förändringen"))</f>
        <v/>
      </c>
      <c r="Q22" s="1260" t="s">
        <v>1167</v>
      </c>
      <c r="R22" s="3017"/>
      <c r="S22" s="3012"/>
      <c r="T22" s="3012"/>
      <c r="U22" s="3012"/>
      <c r="V22" s="3012"/>
      <c r="W22" s="2972"/>
      <c r="X22" s="1261">
        <f>IF(D16=0,0,(Motpart!D15+Motpart!E15+Motpart!F15+Motpart!I15+Motpart!J15)-((Motpart!D15+Motpart!E15+Motpart!F15+Motpart!J15)*0.06))</f>
        <v>0</v>
      </c>
      <c r="IV22" s="285"/>
    </row>
    <row r="23" spans="1:256" ht="13" thickBot="1">
      <c r="A23" s="1226" t="s">
        <v>652</v>
      </c>
      <c r="B23" s="1231"/>
      <c r="C23" s="1206"/>
      <c r="D23" s="1204"/>
      <c r="E23" s="1204"/>
      <c r="F23" s="1204"/>
      <c r="G23" s="1214"/>
      <c r="H23" s="512"/>
      <c r="I23" s="774"/>
      <c r="J23" s="1800"/>
      <c r="K23" s="1264"/>
      <c r="L23" s="1706"/>
      <c r="M23" s="1275">
        <f>IF(E20=0,0,(E20-E21)*100/C17)</f>
        <v>0</v>
      </c>
      <c r="N23" s="1266"/>
      <c r="O23" s="1276" t="str">
        <f>IF(OR(M23="",N23=""),"",IF(AND(M23=0,N23=0),0,IF(N23=0,1,M23/N23-1)))</f>
        <v/>
      </c>
      <c r="P23" s="1085" t="str">
        <f>IF(M23="","",IF(OR(O23&gt;50%,O23&lt;-50%),"Stor förändring, kommentera",IF(AND(M23&lt;31,M23&gt;0),"","Kommentera avg.finans.")))</f>
        <v>Stor förändring, kommentera</v>
      </c>
      <c r="Q23" s="1277" t="s">
        <v>595</v>
      </c>
      <c r="R23" s="285"/>
      <c r="S23" s="285"/>
      <c r="X23" s="1275">
        <f>IF(E20=0,0,(E20-E21)*100/C17)</f>
        <v>0</v>
      </c>
      <c r="IV23" s="285"/>
    </row>
    <row r="24" spans="1:256">
      <c r="A24" s="1228" t="s">
        <v>428</v>
      </c>
      <c r="B24" s="1232" t="s">
        <v>636</v>
      </c>
      <c r="C24" s="88">
        <f>Drift!P53</f>
        <v>0</v>
      </c>
      <c r="D24" s="89">
        <f>SUM(Motpart!D17:L17)</f>
        <v>0</v>
      </c>
      <c r="E24" s="89">
        <f>Drift!W53</f>
        <v>0</v>
      </c>
      <c r="F24" s="89">
        <f>Motpart!Y17</f>
        <v>0</v>
      </c>
      <c r="G24" s="136">
        <f>Drift!V53</f>
        <v>0</v>
      </c>
      <c r="H24" s="176"/>
      <c r="I24" s="1179" t="s">
        <v>1117</v>
      </c>
      <c r="J24" s="1798"/>
      <c r="K24" s="1702"/>
      <c r="L24" s="1700"/>
      <c r="M24" s="1269" t="e">
        <f>(C24-G24-F24)*1000/J24</f>
        <v>#DIV/0!</v>
      </c>
      <c r="N24" s="1258"/>
      <c r="O24" s="1278" t="e">
        <f t="shared" si="1"/>
        <v>#DIV/0!</v>
      </c>
      <c r="P24" s="2311" t="e">
        <f>IF(M24="","",IF(AND(ABS(O24)&gt;40%),"Kommentera förändringen",IF(AND(ABS(O24)&gt;30%),"Kontrollera förändringen","")))</f>
        <v>#DIV/0!</v>
      </c>
      <c r="Q24" s="1260" t="s">
        <v>1156</v>
      </c>
      <c r="R24" s="96" t="s">
        <v>99</v>
      </c>
      <c r="S24" s="285"/>
      <c r="X24" s="1269">
        <f>C24-G24-F24</f>
        <v>0</v>
      </c>
    </row>
    <row r="25" spans="1:256">
      <c r="A25" s="1223" t="s">
        <v>425</v>
      </c>
      <c r="B25" s="1233" t="s">
        <v>374</v>
      </c>
      <c r="C25" s="435">
        <f>C24-G24-D24</f>
        <v>0</v>
      </c>
      <c r="D25" s="1215"/>
      <c r="E25" s="1216"/>
      <c r="F25" s="1216"/>
      <c r="G25" s="1213"/>
      <c r="H25" s="511" t="s">
        <v>678</v>
      </c>
      <c r="I25" s="1273"/>
      <c r="J25" s="1694"/>
      <c r="K25" s="1697"/>
      <c r="L25" s="1698"/>
      <c r="M25" s="1261" t="e">
        <f>C25*1000/J24</f>
        <v>#DIV/0!</v>
      </c>
      <c r="N25" s="1279"/>
      <c r="O25" s="1270" t="e">
        <f t="shared" si="1"/>
        <v>#DIV/0!</v>
      </c>
      <c r="P25" s="1085" t="e">
        <f>IF(M25="","",IF(ABS(O25)&gt;40%,"Kommentera förändringen",IF(ABS(O25)&gt;30%,"Kontrollera förändringen","")))</f>
        <v>#DIV/0!</v>
      </c>
      <c r="Q25" s="1260" t="s">
        <v>1157</v>
      </c>
      <c r="R25" s="3018"/>
      <c r="S25" s="3010"/>
      <c r="T25" s="3010"/>
      <c r="U25" s="3010"/>
      <c r="V25" s="3010"/>
      <c r="W25" s="2968"/>
      <c r="X25" s="1261">
        <f>C25</f>
        <v>0</v>
      </c>
    </row>
    <row r="26" spans="1:256">
      <c r="A26" s="1223" t="s">
        <v>426</v>
      </c>
      <c r="B26" s="2516" t="s">
        <v>1561</v>
      </c>
      <c r="C26" s="93">
        <f>Drift!C53+Drift!D53</f>
        <v>0</v>
      </c>
      <c r="D26" s="1215"/>
      <c r="E26" s="1208"/>
      <c r="F26" s="1208"/>
      <c r="G26" s="1213"/>
      <c r="H26" s="176" t="s">
        <v>428</v>
      </c>
      <c r="I26" s="1273"/>
      <c r="J26" s="1694"/>
      <c r="K26" s="1287"/>
      <c r="L26" s="1695"/>
      <c r="M26" s="1265">
        <f>IF(C26=0,0,C26*100/C25)</f>
        <v>0</v>
      </c>
      <c r="N26" s="1262"/>
      <c r="O26" s="1270" t="str">
        <f t="shared" si="1"/>
        <v/>
      </c>
      <c r="P26" s="1085" t="str">
        <f>IF(M26="","",IF(AND(O26&gt;-20%,O26&lt;20%),"","Kommentera förändringen"))</f>
        <v>Kommentera förändringen</v>
      </c>
      <c r="Q26" s="1260" t="s">
        <v>418</v>
      </c>
      <c r="R26" s="3016"/>
      <c r="S26" s="3011"/>
      <c r="T26" s="3011"/>
      <c r="U26" s="3011"/>
      <c r="V26" s="3011"/>
      <c r="W26" s="2970"/>
      <c r="X26" s="1265">
        <f>IF(C26=0,0,C26*100/C25)</f>
        <v>0</v>
      </c>
    </row>
    <row r="27" spans="1:256">
      <c r="A27" s="1226" t="s">
        <v>427</v>
      </c>
      <c r="B27" s="1225" t="s">
        <v>631</v>
      </c>
      <c r="C27" s="2607"/>
      <c r="D27" s="1215" t="str">
        <f>IF(C24=0,"",IF(C27&lt;Drift!I53+Drift!J53+Drift!L53,"Kommentera",""))</f>
        <v/>
      </c>
      <c r="E27" s="268"/>
      <c r="F27" s="1210"/>
      <c r="G27" s="291"/>
      <c r="H27" s="511"/>
      <c r="I27" s="2738" t="str">
        <f>IF(G27&gt;E27,"Därav kol. G&gt; Kol. E- korrigera!","")</f>
        <v/>
      </c>
      <c r="J27" s="1409"/>
      <c r="K27" s="1254"/>
      <c r="L27" s="1696"/>
      <c r="M27" s="1261" t="e">
        <f>(C27-E27)*1000/J24</f>
        <v>#DIV/0!</v>
      </c>
      <c r="N27" s="1262"/>
      <c r="O27" s="1270" t="e">
        <f t="shared" si="1"/>
        <v>#DIV/0!</v>
      </c>
      <c r="P27" s="1085" t="e">
        <f>IF(M27="","",IF(OR(O27&lt;-50%,O27&gt;50%),"Kommentera förändringen",IF(OR(O27&lt;-20%,O27&gt;30%),"Kontrollera förändringen","")))</f>
        <v>#DIV/0!</v>
      </c>
      <c r="Q27" s="1260" t="s">
        <v>1158</v>
      </c>
      <c r="R27" s="3016"/>
      <c r="S27" s="3011"/>
      <c r="T27" s="3011"/>
      <c r="U27" s="3011"/>
      <c r="V27" s="3011"/>
      <c r="W27" s="2970"/>
      <c r="X27" s="1261">
        <f>C27-E27</f>
        <v>0</v>
      </c>
    </row>
    <row r="28" spans="1:256">
      <c r="A28" s="1226" t="s">
        <v>653</v>
      </c>
      <c r="B28" s="1234"/>
      <c r="C28" s="1215"/>
      <c r="D28" s="1215"/>
      <c r="E28" s="1215"/>
      <c r="F28" s="1210"/>
      <c r="G28" s="1520"/>
      <c r="H28" s="176" t="s">
        <v>679</v>
      </c>
      <c r="I28" s="1273"/>
      <c r="J28" s="1694"/>
      <c r="K28" s="1697"/>
      <c r="L28" s="1698"/>
      <c r="M28" s="1265" t="e">
        <f>(Motpart!G17+Motpart!K17)*1000/J24</f>
        <v>#DIV/0!</v>
      </c>
      <c r="N28" s="1262"/>
      <c r="O28" s="1270" t="e">
        <f t="shared" si="1"/>
        <v>#DIV/0!</v>
      </c>
      <c r="P28" s="1085" t="e">
        <f>IF(M28="","",IF(OR(AND(O28&gt;-50%,O28&lt;50%),X28&lt;228),"","Kommentera förändringen"))</f>
        <v>#DIV/0!</v>
      </c>
      <c r="Q28" s="1260" t="s">
        <v>1159</v>
      </c>
      <c r="R28" s="3016"/>
      <c r="S28" s="3011"/>
      <c r="T28" s="3011"/>
      <c r="U28" s="3011"/>
      <c r="V28" s="3011"/>
      <c r="W28" s="2970"/>
      <c r="X28" s="1265">
        <f>Motpart!G17+Motpart!K17</f>
        <v>0</v>
      </c>
    </row>
    <row r="29" spans="1:256">
      <c r="A29" s="1226" t="s">
        <v>654</v>
      </c>
      <c r="B29" s="1235"/>
      <c r="C29" s="1215"/>
      <c r="D29" s="1215"/>
      <c r="E29" s="1215"/>
      <c r="F29" s="1210"/>
      <c r="G29" s="1520"/>
      <c r="H29" s="510" t="s">
        <v>680</v>
      </c>
      <c r="I29" s="1273"/>
      <c r="J29" s="1694"/>
      <c r="K29" s="1697"/>
      <c r="L29" s="1698"/>
      <c r="M29" s="1280" t="e">
        <f>F24*1000/J24</f>
        <v>#DIV/0!</v>
      </c>
      <c r="N29" s="1262"/>
      <c r="O29" s="1270" t="e">
        <f t="shared" si="1"/>
        <v>#DIV/0!</v>
      </c>
      <c r="P29" s="1085" t="e">
        <f>IF(M29="","",IF(OR(AND(O29&gt;-50%,O29&lt;50%),X29&lt;210),"","Kommentera förändringen"))</f>
        <v>#DIV/0!</v>
      </c>
      <c r="Q29" s="1260" t="s">
        <v>1160</v>
      </c>
      <c r="R29" s="3017"/>
      <c r="S29" s="3012"/>
      <c r="T29" s="3012"/>
      <c r="U29" s="3012"/>
      <c r="V29" s="3012"/>
      <c r="W29" s="2972"/>
      <c r="X29" s="1280">
        <f>F24</f>
        <v>0</v>
      </c>
    </row>
    <row r="30" spans="1:256" ht="13" thickBot="1">
      <c r="A30" s="1226" t="s">
        <v>662</v>
      </c>
      <c r="B30" s="1236"/>
      <c r="C30" s="1215"/>
      <c r="D30" s="1215"/>
      <c r="E30" s="1215"/>
      <c r="F30" s="1210"/>
      <c r="G30" s="1521"/>
      <c r="H30" s="513" t="s">
        <v>681</v>
      </c>
      <c r="I30" s="774"/>
      <c r="J30" s="1703"/>
      <c r="K30" s="1704"/>
      <c r="L30" s="1705"/>
      <c r="M30" s="1281" t="e">
        <f>X30*1000/J24</f>
        <v>#DIV/0!</v>
      </c>
      <c r="N30" s="1279"/>
      <c r="O30" s="1282" t="e">
        <f t="shared" si="1"/>
        <v>#DIV/0!</v>
      </c>
      <c r="P30" s="1283" t="e">
        <f>IF(M30="","",IF(OR(AND(O30&gt;-30%,O30&lt;50%),X30&lt;325),"","Kommentera förändringen"))</f>
        <v>#DIV/0!</v>
      </c>
      <c r="Q30" s="1277" t="s">
        <v>1161</v>
      </c>
      <c r="R30" s="285"/>
      <c r="S30" s="285"/>
      <c r="X30" s="1281">
        <f>(Motpart!D17+Motpart!E17+Motpart!F17+Motpart!I17+Motpart!J17-(Motpart!D17+Motpart!E17+Motpart!F17+Motpart!J17)*0.06)</f>
        <v>0</v>
      </c>
    </row>
    <row r="31" spans="1:256">
      <c r="A31" s="1228" t="s">
        <v>440</v>
      </c>
      <c r="B31" s="1237" t="s">
        <v>637</v>
      </c>
      <c r="C31" s="88">
        <f>Drift!P54</f>
        <v>0</v>
      </c>
      <c r="D31" s="89">
        <f>SUM(Motpart!D18:L18)</f>
        <v>0</v>
      </c>
      <c r="E31" s="89">
        <f>Drift!W54</f>
        <v>0</v>
      </c>
      <c r="F31" s="89">
        <f>Motpart!Y18</f>
        <v>0</v>
      </c>
      <c r="G31" s="136">
        <f>Drift!V54</f>
        <v>0</v>
      </c>
      <c r="H31" s="514"/>
      <c r="I31" s="1179" t="s">
        <v>1118</v>
      </c>
      <c r="J31" s="1798"/>
      <c r="K31" s="1699"/>
      <c r="L31" s="1700"/>
      <c r="M31" s="1284" t="e">
        <f>SUM(M32:M34,M36:M38)</f>
        <v>#DIV/0!</v>
      </c>
      <c r="N31" s="1285"/>
      <c r="O31" s="1270" t="e">
        <f t="shared" si="1"/>
        <v>#DIV/0!</v>
      </c>
      <c r="P31" s="2311" t="e">
        <f>IF(M31="","",IF(AND(O31&gt;-10%,O31&lt;10%),"","Kommentera förändringen"))</f>
        <v>#DIV/0!</v>
      </c>
      <c r="Q31" s="1260" t="s">
        <v>1144</v>
      </c>
      <c r="R31" s="96" t="s">
        <v>894</v>
      </c>
      <c r="S31" s="285"/>
      <c r="X31" s="1284">
        <f>SUM(X32:X34,X36:X38)</f>
        <v>0</v>
      </c>
    </row>
    <row r="32" spans="1:256">
      <c r="A32" s="1223" t="s">
        <v>429</v>
      </c>
      <c r="B32" s="1238" t="s">
        <v>554</v>
      </c>
      <c r="C32" s="292"/>
      <c r="D32" s="1215"/>
      <c r="E32" s="268"/>
      <c r="F32" s="1216"/>
      <c r="G32" s="291"/>
      <c r="H32" s="161" t="s">
        <v>682</v>
      </c>
      <c r="I32" s="2739"/>
      <c r="J32" s="2394"/>
      <c r="K32" s="2394"/>
      <c r="L32" s="2395"/>
      <c r="M32" s="1261" t="e">
        <f t="shared" ref="M32:M37" si="2">(C32-E32)*1000/$J$31</f>
        <v>#DIV/0!</v>
      </c>
      <c r="N32" s="1286"/>
      <c r="O32" s="1270" t="e">
        <f t="shared" si="1"/>
        <v>#DIV/0!</v>
      </c>
      <c r="P32" s="1085" t="e">
        <f>IF(M32="","",IF(AND(O32&gt;-10%,O32&lt;15%),"","Kommentera förändringen"))</f>
        <v>#DIV/0!</v>
      </c>
      <c r="Q32" s="1260" t="s">
        <v>1145</v>
      </c>
      <c r="R32" s="3018"/>
      <c r="S32" s="3010"/>
      <c r="T32" s="3010"/>
      <c r="U32" s="3010"/>
      <c r="V32" s="3010"/>
      <c r="W32" s="2968"/>
      <c r="X32" s="1261">
        <f t="shared" ref="X32:X37" si="3">C32-E32</f>
        <v>0</v>
      </c>
    </row>
    <row r="33" spans="1:24">
      <c r="A33" s="1223" t="s">
        <v>430</v>
      </c>
      <c r="B33" s="1238" t="s">
        <v>1083</v>
      </c>
      <c r="C33" s="292"/>
      <c r="D33" s="1215"/>
      <c r="E33" s="268"/>
      <c r="F33" s="1208"/>
      <c r="G33" s="291"/>
      <c r="H33" s="161" t="s">
        <v>683</v>
      </c>
      <c r="I33" s="2737"/>
      <c r="J33" s="1694"/>
      <c r="K33" s="1287"/>
      <c r="L33" s="1695"/>
      <c r="M33" s="1261" t="e">
        <f>(C33-E33)*1000/$J$31</f>
        <v>#DIV/0!</v>
      </c>
      <c r="N33" s="1262"/>
      <c r="O33" s="1270" t="e">
        <f t="shared" si="1"/>
        <v>#DIV/0!</v>
      </c>
      <c r="P33" s="1085" t="e">
        <f>IF(M33="","",IF(OR(O33&lt;-40%,O33&gt;50%),"Kommentera förändringen",IF(OR(O33&lt;-30%,O33&gt;40%),"Kontrollera förändringen","")))</f>
        <v>#DIV/0!</v>
      </c>
      <c r="Q33" s="1260" t="s">
        <v>1146</v>
      </c>
      <c r="R33" s="3016"/>
      <c r="S33" s="3011"/>
      <c r="T33" s="3011"/>
      <c r="U33" s="3011"/>
      <c r="V33" s="3011"/>
      <c r="W33" s="2970"/>
      <c r="X33" s="1261">
        <f t="shared" si="3"/>
        <v>0</v>
      </c>
    </row>
    <row r="34" spans="1:24">
      <c r="A34" s="1223" t="s">
        <v>431</v>
      </c>
      <c r="B34" s="1238" t="s">
        <v>585</v>
      </c>
      <c r="C34" s="292"/>
      <c r="D34" s="1215"/>
      <c r="E34" s="268"/>
      <c r="F34" s="1208"/>
      <c r="G34" s="291"/>
      <c r="H34" s="161"/>
      <c r="I34" s="2737"/>
      <c r="J34" s="1409"/>
      <c r="K34" s="1254"/>
      <c r="L34" s="1696"/>
      <c r="M34" s="1261" t="e">
        <f t="shared" si="2"/>
        <v>#DIV/0!</v>
      </c>
      <c r="N34" s="1279"/>
      <c r="O34" s="1270" t="e">
        <f t="shared" si="1"/>
        <v>#DIV/0!</v>
      </c>
      <c r="P34" s="1085" t="e">
        <f>IF(M34="","",IF(AND(O34&gt;-25%,O34&lt;25%),"","Kommentera förändringen"))</f>
        <v>#DIV/0!</v>
      </c>
      <c r="Q34" s="1260" t="s">
        <v>1147</v>
      </c>
      <c r="R34" s="3016"/>
      <c r="S34" s="3011"/>
      <c r="T34" s="3011"/>
      <c r="U34" s="3011"/>
      <c r="V34" s="3011"/>
      <c r="W34" s="2970"/>
      <c r="X34" s="1261">
        <f t="shared" si="3"/>
        <v>0</v>
      </c>
    </row>
    <row r="35" spans="1:24">
      <c r="A35" s="1223" t="s">
        <v>432</v>
      </c>
      <c r="B35" s="1238" t="s">
        <v>552</v>
      </c>
      <c r="C35" s="292"/>
      <c r="D35" s="1215" t="str">
        <f>IF(C31=0,"",IF(OR(C35=0,C35=""),"Kommentera",""))</f>
        <v/>
      </c>
      <c r="E35" s="268"/>
      <c r="F35" s="1208"/>
      <c r="G35" s="291"/>
      <c r="H35" s="161" t="s">
        <v>684</v>
      </c>
      <c r="I35" s="2736"/>
      <c r="J35" s="1694"/>
      <c r="K35" s="1697"/>
      <c r="L35" s="1698"/>
      <c r="M35" s="1261" t="e">
        <f t="shared" si="2"/>
        <v>#DIV/0!</v>
      </c>
      <c r="N35" s="1286"/>
      <c r="O35" s="1270" t="e">
        <f t="shared" si="1"/>
        <v>#DIV/0!</v>
      </c>
      <c r="P35" s="1085" t="e">
        <f>IF(M35="","",IF(AND(O35&gt;-33%,O35&lt;33%),"","Kommentera förändringen"))</f>
        <v>#DIV/0!</v>
      </c>
      <c r="Q35" s="1260" t="s">
        <v>1148</v>
      </c>
      <c r="R35" s="3016"/>
      <c r="S35" s="3011"/>
      <c r="T35" s="3011"/>
      <c r="U35" s="3011"/>
      <c r="V35" s="3011"/>
      <c r="W35" s="2970"/>
      <c r="X35" s="1261">
        <f t="shared" si="3"/>
        <v>0</v>
      </c>
    </row>
    <row r="36" spans="1:24" ht="15" customHeight="1">
      <c r="A36" s="1223" t="s">
        <v>433</v>
      </c>
      <c r="B36" s="1239" t="s">
        <v>993</v>
      </c>
      <c r="C36" s="292"/>
      <c r="D36" s="1215"/>
      <c r="E36" s="268"/>
      <c r="F36" s="1207"/>
      <c r="G36" s="291"/>
      <c r="H36" s="161" t="s">
        <v>685</v>
      </c>
      <c r="I36" s="2408"/>
      <c r="J36" s="1694"/>
      <c r="K36" s="1697"/>
      <c r="L36" s="1698"/>
      <c r="M36" s="1261" t="e">
        <f t="shared" si="2"/>
        <v>#DIV/0!</v>
      </c>
      <c r="N36" s="1286"/>
      <c r="O36" s="1270" t="e">
        <f t="shared" si="1"/>
        <v>#DIV/0!</v>
      </c>
      <c r="P36" s="1085" t="e">
        <f>IF(M36="","",IF(AND(O36&gt;-30%,O36&lt;40%),"","Kommentera förändringen"))</f>
        <v>#DIV/0!</v>
      </c>
      <c r="Q36" s="1260" t="s">
        <v>1149</v>
      </c>
      <c r="R36" s="3016"/>
      <c r="S36" s="3011"/>
      <c r="T36" s="3011"/>
      <c r="U36" s="3011"/>
      <c r="V36" s="3011"/>
      <c r="W36" s="2970"/>
      <c r="X36" s="1261">
        <f t="shared" si="3"/>
        <v>0</v>
      </c>
    </row>
    <row r="37" spans="1:24" s="223" customFormat="1">
      <c r="A37" s="1223" t="s">
        <v>252</v>
      </c>
      <c r="B37" s="1240" t="s">
        <v>632</v>
      </c>
      <c r="C37" s="292"/>
      <c r="D37" s="1215" t="str">
        <f>IF(C31=0,"",IF(C37&lt;Drift!I54+Drift!J54+Drift!L54,"Kommentera",""))</f>
        <v/>
      </c>
      <c r="E37" s="268"/>
      <c r="F37" s="1120"/>
      <c r="G37" s="291"/>
      <c r="H37" s="177" t="s">
        <v>686</v>
      </c>
      <c r="I37" s="2740"/>
      <c r="J37" s="1694"/>
      <c r="K37" s="1697"/>
      <c r="L37" s="1698"/>
      <c r="M37" s="1261" t="e">
        <f t="shared" si="2"/>
        <v>#DIV/0!</v>
      </c>
      <c r="N37" s="1262"/>
      <c r="O37" s="1270" t="e">
        <f t="shared" si="1"/>
        <v>#DIV/0!</v>
      </c>
      <c r="P37" s="1085" t="e">
        <f>IF(M37="","",IF(AND(O37&gt;-20%,O37&lt;30%),"","Kommentera förändringen"))</f>
        <v>#DIV/0!</v>
      </c>
      <c r="Q37" s="1260" t="s">
        <v>1150</v>
      </c>
      <c r="R37" s="3016"/>
      <c r="S37" s="3011"/>
      <c r="T37" s="3011"/>
      <c r="U37" s="3011"/>
      <c r="V37" s="3011"/>
      <c r="W37" s="2970"/>
      <c r="X37" s="1261">
        <f t="shared" si="3"/>
        <v>0</v>
      </c>
    </row>
    <row r="38" spans="1:24" s="223" customFormat="1" ht="12.75" customHeight="1">
      <c r="A38" s="1223" t="s">
        <v>434</v>
      </c>
      <c r="B38" s="1238" t="s">
        <v>503</v>
      </c>
      <c r="C38" s="292"/>
      <c r="D38" s="1215"/>
      <c r="E38" s="268"/>
      <c r="F38" s="1120"/>
      <c r="G38" s="291"/>
      <c r="H38" s="161"/>
      <c r="I38" s="3048"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2402"/>
      <c r="K38" s="2402"/>
      <c r="L38" s="2403"/>
      <c r="M38" s="1261" t="e">
        <f>((C38+C39-G38)*1000/J31)</f>
        <v>#DIV/0!</v>
      </c>
      <c r="N38" s="1286"/>
      <c r="O38" s="1270" t="e">
        <f t="shared" si="1"/>
        <v>#DIV/0!</v>
      </c>
      <c r="P38" s="1085" t="e">
        <f>IF(SUM(E38-G38+100)&lt;Motpart!AA18,"Statsbidrag se kommentar till vänster",IF(M38="","",IF(OR(O38&lt;-50%,O38&gt;80%),"Kommentera förändringen",IF(OR(O38&lt;-30%,O38&gt;40%),"Kontrollera förändringen",""))))</f>
        <v>#DIV/0!</v>
      </c>
      <c r="Q38" s="1260" t="s">
        <v>1151</v>
      </c>
      <c r="R38" s="3016"/>
      <c r="S38" s="3011"/>
      <c r="T38" s="3011"/>
      <c r="U38" s="3011"/>
      <c r="V38" s="3011"/>
      <c r="W38" s="2970"/>
      <c r="X38" s="1261">
        <f>C38+C39-G38</f>
        <v>0</v>
      </c>
    </row>
    <row r="39" spans="1:24" s="223" customFormat="1">
      <c r="A39" s="1223" t="s">
        <v>435</v>
      </c>
      <c r="B39" s="1241" t="s">
        <v>553</v>
      </c>
      <c r="C39" s="292"/>
      <c r="D39" s="2647" t="str">
        <f>IF(OR(C39 &gt; SUM(Drift!N54+Drift!O54+100), C39 &lt; SUM(Drift!N54+Drift!O54-100)),"Fördelad gemensam verksamhet skiljer sig mot Driftfliken.","")</f>
        <v/>
      </c>
      <c r="E39" s="1124"/>
      <c r="F39" s="1124"/>
      <c r="G39" s="1217"/>
      <c r="H39" s="176"/>
      <c r="I39" s="3049"/>
      <c r="J39" s="2404"/>
      <c r="K39" s="2404"/>
      <c r="L39" s="2405"/>
      <c r="M39" s="1265" t="e">
        <f>X39*1000/J31</f>
        <v>#DIV/0!</v>
      </c>
      <c r="N39" s="1286"/>
      <c r="O39" s="1270" t="e">
        <f t="shared" si="1"/>
        <v>#DIV/0!</v>
      </c>
      <c r="P39" s="1085" t="e">
        <f>IF(M39="","",IF(AND(O39&gt;-20%,O39&lt;20%),"","Kommentera förändringen"))</f>
        <v>#DIV/0!</v>
      </c>
      <c r="Q39" s="1260" t="s">
        <v>1152</v>
      </c>
      <c r="R39" s="3016"/>
      <c r="S39" s="3011"/>
      <c r="T39" s="3011"/>
      <c r="U39" s="3011"/>
      <c r="V39" s="3011"/>
      <c r="W39" s="2970"/>
      <c r="X39" s="1265">
        <f>(X31+D31-F31-(Motpart!D18+Motpart!E18+Motpart!F18)*0.06)+X35</f>
        <v>0</v>
      </c>
    </row>
    <row r="40" spans="1:24">
      <c r="A40" s="1242" t="s">
        <v>655</v>
      </c>
      <c r="B40" s="1243" t="s">
        <v>137</v>
      </c>
      <c r="C40" s="1517">
        <f>(C31-SUM(C32:C39)-D31)*-1</f>
        <v>0</v>
      </c>
      <c r="D40" s="1204"/>
      <c r="E40" s="1518">
        <f>(E31-SUM(E32:E38)-F31-(Motpart!D18+Motpart!E18+Motpart!F18)*0.06)*-1</f>
        <v>0</v>
      </c>
      <c r="F40" s="1204"/>
      <c r="G40" s="1519">
        <f>(G31-SUM(G32:G38))*-1</f>
        <v>0</v>
      </c>
      <c r="H40" s="163"/>
      <c r="I40" s="3049"/>
      <c r="J40" s="2404"/>
      <c r="K40" s="2404"/>
      <c r="L40" s="2405"/>
      <c r="M40" s="1261" t="e">
        <f>(Motpart!G18+Motpart!K18)*1000/J31</f>
        <v>#DIV/0!</v>
      </c>
      <c r="N40" s="1286"/>
      <c r="O40" s="1270" t="e">
        <f t="shared" si="1"/>
        <v>#DIV/0!</v>
      </c>
      <c r="P40" s="1085" t="e">
        <f>IF(M40="","",IF(OR(AND(O40&gt;-40%,O40&lt;50%),X40&lt;551),"","Kommentera förändringen"))</f>
        <v>#DIV/0!</v>
      </c>
      <c r="Q40" s="1260" t="s">
        <v>1153</v>
      </c>
      <c r="R40" s="3016"/>
      <c r="S40" s="3011"/>
      <c r="T40" s="3011"/>
      <c r="U40" s="3011"/>
      <c r="V40" s="3011"/>
      <c r="W40" s="2970"/>
      <c r="X40" s="1261">
        <f>Motpart!G18+Motpart!K18</f>
        <v>0</v>
      </c>
    </row>
    <row r="41" spans="1:24">
      <c r="A41" s="1242" t="s">
        <v>656</v>
      </c>
      <c r="B41" s="1243"/>
      <c r="C41" s="1206"/>
      <c r="D41" s="1204"/>
      <c r="E41" s="1204"/>
      <c r="F41" s="1204"/>
      <c r="G41" s="1214"/>
      <c r="H41" s="163"/>
      <c r="I41" s="3049"/>
      <c r="J41" s="2404"/>
      <c r="K41" s="2404"/>
      <c r="L41" s="2405"/>
      <c r="M41" s="1265" t="e">
        <f>F31*1000/J31</f>
        <v>#DIV/0!</v>
      </c>
      <c r="N41" s="1286"/>
      <c r="O41" s="1270" t="e">
        <f t="shared" si="1"/>
        <v>#DIV/0!</v>
      </c>
      <c r="P41" s="1085" t="e">
        <f>IF(M41="","",IF(OR(AND(O41&gt;-40%,O41&lt;50%),X41&lt;542),"","Kommentera förändringen"))</f>
        <v>#DIV/0!</v>
      </c>
      <c r="Q41" s="1260" t="s">
        <v>1154</v>
      </c>
      <c r="R41" s="3016"/>
      <c r="S41" s="3011"/>
      <c r="T41" s="3011"/>
      <c r="U41" s="3011"/>
      <c r="V41" s="3011"/>
      <c r="W41" s="2970"/>
      <c r="X41" s="1265">
        <f>F31</f>
        <v>0</v>
      </c>
    </row>
    <row r="42" spans="1:24">
      <c r="A42" s="1223" t="s">
        <v>657</v>
      </c>
      <c r="B42" s="1241"/>
      <c r="C42" s="1206"/>
      <c r="D42" s="1204"/>
      <c r="E42" s="1204"/>
      <c r="F42" s="1204"/>
      <c r="G42" s="1214"/>
      <c r="H42" s="163"/>
      <c r="I42" s="3049"/>
      <c r="J42" s="2406"/>
      <c r="K42" s="2406"/>
      <c r="L42" s="2407"/>
      <c r="M42" s="1280" t="e">
        <f>X42*1000/J31</f>
        <v>#DIV/0!</v>
      </c>
      <c r="N42" s="1286"/>
      <c r="O42" s="1270" t="e">
        <f t="shared" si="1"/>
        <v>#DIV/0!</v>
      </c>
      <c r="P42" s="1085" t="e">
        <f>IF(M42="","",IF(OR(AND(O42&gt;-40%,O42&lt;50%),X42&lt;503),"","Kommentera förändringen"))</f>
        <v>#DIV/0!</v>
      </c>
      <c r="Q42" s="1260" t="s">
        <v>1155</v>
      </c>
      <c r="R42" s="3017"/>
      <c r="S42" s="3012"/>
      <c r="T42" s="3012"/>
      <c r="U42" s="3012"/>
      <c r="V42" s="3012"/>
      <c r="W42" s="2972"/>
      <c r="X42" s="1280">
        <f>(Motpart!D18+Motpart!E18+Motpart!F18)*0.94</f>
        <v>0</v>
      </c>
    </row>
    <row r="43" spans="1:24" ht="13" thickBot="1">
      <c r="A43" s="1244"/>
      <c r="B43" s="1245"/>
      <c r="C43" s="2214" t="str">
        <f>IF(ABS(C40)&lt;100,"",IF(C31=0,"C31",IF(ABS(C40/C31)&gt;0.01,"C40")))</f>
        <v/>
      </c>
      <c r="D43" s="2215"/>
      <c r="E43" s="2212" t="str">
        <f>IF(ABS(E40)&lt;100,"",IF(E31=0,"E31",IF(ABS(E40/E31)&gt;0.01,"E40")))</f>
        <v/>
      </c>
      <c r="F43" s="2215"/>
      <c r="G43" s="2216" t="str">
        <f>IF(ABS(G40)&lt;100,"",IF(G31=0,"G31",IF(ABS(G40/G31)&gt;0.01,"G40")))</f>
        <v/>
      </c>
      <c r="H43" s="162"/>
      <c r="I43" s="1274"/>
      <c r="J43" s="1800"/>
      <c r="K43" s="1264"/>
      <c r="L43" s="1264"/>
      <c r="M43" s="1281"/>
      <c r="N43" s="1266"/>
      <c r="O43" s="1288"/>
      <c r="P43" s="1085" t="str">
        <f>IF(C43="C31","Bruttokostnad i Driften=0",IF(C43="C40","Eliminera differens kolumn C",IF(E43="E31","Bruttointäkt i Driften = 0",IF(E43="E40","Eliminera differens kolumn E",IF(G43="G31","Interna intäkter i Driften=0",IF(G43="G40","Eliminera differens kolumn G",""))))))</f>
        <v/>
      </c>
      <c r="Q43" s="1277" t="s">
        <v>556</v>
      </c>
      <c r="R43" s="285"/>
      <c r="S43" s="285"/>
      <c r="X43" s="1281"/>
    </row>
    <row r="44" spans="1:24">
      <c r="A44" s="1228" t="s">
        <v>445</v>
      </c>
      <c r="B44" s="1237" t="s">
        <v>1742</v>
      </c>
      <c r="C44" s="88">
        <f>Drift!P55</f>
        <v>0</v>
      </c>
      <c r="D44" s="89">
        <f>SUM(Motpart!D19:L19)</f>
        <v>0</v>
      </c>
      <c r="E44" s="89">
        <f>Drift!W55</f>
        <v>0</v>
      </c>
      <c r="F44" s="89">
        <f>Motpart!Y19</f>
        <v>0</v>
      </c>
      <c r="G44" s="136">
        <f>Drift!V55</f>
        <v>0</v>
      </c>
      <c r="H44" s="165"/>
      <c r="I44" s="1701" t="s">
        <v>1118</v>
      </c>
      <c r="J44" s="1798"/>
      <c r="K44" s="1702"/>
      <c r="L44" s="1700"/>
      <c r="M44" s="1265" t="e">
        <f>SUM(M45:M47,M49:M51)</f>
        <v>#DIV/0!</v>
      </c>
      <c r="N44" s="1279"/>
      <c r="O44" s="1270" t="e">
        <f t="shared" ref="O44:O80" si="4">IF(OR(M44="",N44=""),"",IF(AND(M44=0,N44=0),0,IF(N44=0,1,M44/N44-1)))</f>
        <v>#DIV/0!</v>
      </c>
      <c r="P44" s="2311" t="e">
        <f>IF(M44="","",IF(OR(AND(O44&gt;-40%,O44&lt;50%),X44&lt;4270),"","Kommentera förändringen"))</f>
        <v>#DIV/0!</v>
      </c>
      <c r="Q44" s="1260" t="s">
        <v>1144</v>
      </c>
      <c r="R44" s="96" t="s">
        <v>1747</v>
      </c>
      <c r="S44" s="285"/>
      <c r="X44" s="1265">
        <f>SUM(X45:X47,X49:X51)</f>
        <v>0</v>
      </c>
    </row>
    <row r="45" spans="1:24">
      <c r="A45" s="1223" t="s">
        <v>436</v>
      </c>
      <c r="B45" s="1238" t="s">
        <v>554</v>
      </c>
      <c r="C45" s="292"/>
      <c r="D45" s="1215"/>
      <c r="E45" s="268"/>
      <c r="F45" s="1208"/>
      <c r="G45" s="291"/>
      <c r="H45" s="159" t="s">
        <v>687</v>
      </c>
      <c r="I45" s="1693"/>
      <c r="J45" s="1694"/>
      <c r="K45" s="1697"/>
      <c r="L45" s="1698"/>
      <c r="M45" s="1280" t="e">
        <f t="shared" ref="M45:M50" si="5">(C45-E45)*1000/$J$44</f>
        <v>#DIV/0!</v>
      </c>
      <c r="N45" s="1286"/>
      <c r="O45" s="1270" t="e">
        <f t="shared" si="4"/>
        <v>#DIV/0!</v>
      </c>
      <c r="P45" s="1085" t="e">
        <f>IF(M45="","",IF(OR(AND(O45&gt;-40%,O45&lt;50%),X45&lt;2361),"","Kommentera förändringen"))</f>
        <v>#DIV/0!</v>
      </c>
      <c r="Q45" s="1260" t="s">
        <v>1182</v>
      </c>
      <c r="R45" s="3015"/>
      <c r="S45" s="3010"/>
      <c r="T45" s="3010"/>
      <c r="U45" s="3010"/>
      <c r="V45" s="3010"/>
      <c r="W45" s="2968"/>
      <c r="X45" s="1280">
        <f t="shared" ref="X45:X50" si="6">C45-E45</f>
        <v>0</v>
      </c>
    </row>
    <row r="46" spans="1:24">
      <c r="A46" s="1223" t="s">
        <v>446</v>
      </c>
      <c r="B46" s="1238" t="s">
        <v>1083</v>
      </c>
      <c r="C46" s="292"/>
      <c r="D46" s="1215"/>
      <c r="E46" s="268"/>
      <c r="F46" s="1208"/>
      <c r="G46" s="291"/>
      <c r="H46" s="163" t="s">
        <v>688</v>
      </c>
      <c r="I46" s="1693"/>
      <c r="J46" s="1694"/>
      <c r="K46" s="1287"/>
      <c r="L46" s="1695"/>
      <c r="M46" s="1280" t="e">
        <f t="shared" si="5"/>
        <v>#DIV/0!</v>
      </c>
      <c r="N46" s="1262"/>
      <c r="O46" s="1270" t="e">
        <f t="shared" si="4"/>
        <v>#DIV/0!</v>
      </c>
      <c r="P46" s="1085" t="e">
        <f>IF(M46="","",IF(AND(OR(O46&lt;-50%,O46&gt;80%),X46&gt;250),"Kommentera förändringen",IF(AND(OR(O46&lt;-50%,O46&gt;80%),X46&gt;76),"Kontrollera förändringen","")))</f>
        <v>#DIV/0!</v>
      </c>
      <c r="Q46" s="1260" t="s">
        <v>1183</v>
      </c>
      <c r="R46" s="3016"/>
      <c r="S46" s="3011"/>
      <c r="T46" s="3011"/>
      <c r="U46" s="3011"/>
      <c r="V46" s="3011"/>
      <c r="W46" s="2970"/>
      <c r="X46" s="1280">
        <f t="shared" si="6"/>
        <v>0</v>
      </c>
    </row>
    <row r="47" spans="1:24">
      <c r="A47" s="1223" t="s">
        <v>447</v>
      </c>
      <c r="B47" s="1238" t="s">
        <v>585</v>
      </c>
      <c r="C47" s="292"/>
      <c r="D47" s="1215"/>
      <c r="E47" s="268"/>
      <c r="F47" s="1207"/>
      <c r="G47" s="291"/>
      <c r="H47" s="163"/>
      <c r="I47" s="1693"/>
      <c r="J47" s="1799"/>
      <c r="K47" s="1254"/>
      <c r="L47" s="1696"/>
      <c r="M47" s="1280" t="e">
        <f t="shared" si="5"/>
        <v>#DIV/0!</v>
      </c>
      <c r="N47" s="1262"/>
      <c r="O47" s="1270" t="e">
        <f t="shared" si="4"/>
        <v>#DIV/0!</v>
      </c>
      <c r="P47" s="1085" t="e">
        <f>IF(M47="","",IF(AND(ABS(O47)&gt;50%,X47&gt;250),"Kommentera förändringen", IF(AND(ABS(O47)&gt;50%,X47&gt;79),"Kontrollera förändringen","")))</f>
        <v>#DIV/0!</v>
      </c>
      <c r="Q47" s="1260" t="s">
        <v>1184</v>
      </c>
      <c r="R47" s="3016"/>
      <c r="S47" s="3011"/>
      <c r="T47" s="3011"/>
      <c r="U47" s="3011"/>
      <c r="V47" s="3011"/>
      <c r="W47" s="2970"/>
      <c r="X47" s="1280">
        <f t="shared" si="6"/>
        <v>0</v>
      </c>
    </row>
    <row r="48" spans="1:24">
      <c r="A48" s="1223" t="s">
        <v>437</v>
      </c>
      <c r="B48" s="1238" t="s">
        <v>552</v>
      </c>
      <c r="C48" s="292"/>
      <c r="D48" s="1215" t="str">
        <f>IF(C44=0,"",IF(OR(C48=0,C48=""),"Kommentera",""))</f>
        <v/>
      </c>
      <c r="E48" s="268"/>
      <c r="F48" s="1120"/>
      <c r="G48" s="291"/>
      <c r="H48" s="161" t="s">
        <v>689</v>
      </c>
      <c r="I48" s="1693"/>
      <c r="J48" s="1694"/>
      <c r="K48" s="1697"/>
      <c r="L48" s="1698"/>
      <c r="M48" s="1280" t="e">
        <f t="shared" si="5"/>
        <v>#DIV/0!</v>
      </c>
      <c r="N48" s="1279"/>
      <c r="O48" s="1270" t="e">
        <f t="shared" si="4"/>
        <v>#DIV/0!</v>
      </c>
      <c r="P48" s="1085" t="e">
        <f>IF(M48="","",IF(OR(AND(O48&gt;-50%,O48&lt;80%),X48&lt;521),"","Kommentera förändringen"))</f>
        <v>#DIV/0!</v>
      </c>
      <c r="Q48" s="1260" t="s">
        <v>1185</v>
      </c>
      <c r="R48" s="3016"/>
      <c r="S48" s="3011"/>
      <c r="T48" s="3011"/>
      <c r="U48" s="3011"/>
      <c r="V48" s="3011"/>
      <c r="W48" s="2970"/>
      <c r="X48" s="1280">
        <f t="shared" si="6"/>
        <v>0</v>
      </c>
    </row>
    <row r="49" spans="1:24">
      <c r="A49" s="1223" t="s">
        <v>448</v>
      </c>
      <c r="B49" s="1239" t="s">
        <v>993</v>
      </c>
      <c r="C49" s="292"/>
      <c r="D49" s="1215"/>
      <c r="E49" s="268"/>
      <c r="F49" s="1218"/>
      <c r="G49" s="291"/>
      <c r="H49" s="163" t="s">
        <v>690</v>
      </c>
      <c r="I49" s="1693"/>
      <c r="J49" s="1694"/>
      <c r="K49" s="1697"/>
      <c r="L49" s="1698"/>
      <c r="M49" s="1280" t="e">
        <f t="shared" si="5"/>
        <v>#DIV/0!</v>
      </c>
      <c r="N49" s="1286"/>
      <c r="O49" s="1270" t="e">
        <f t="shared" si="4"/>
        <v>#DIV/0!</v>
      </c>
      <c r="P49" s="1085" t="e">
        <f>IF(M49="","",IF(AND(OR(O49&lt;-70%,O49&gt;100%),X49&gt;250),"Kommentera förändringen",IF(AND(OR(O49&lt;-70%,O49&gt;100%),X49&gt;76),"Kontrollera förändringen","")))</f>
        <v>#DIV/0!</v>
      </c>
      <c r="Q49" s="1260" t="s">
        <v>1186</v>
      </c>
      <c r="R49" s="3016"/>
      <c r="S49" s="3011"/>
      <c r="T49" s="3011"/>
      <c r="U49" s="3011"/>
      <c r="V49" s="3011"/>
      <c r="W49" s="2970"/>
      <c r="X49" s="1280">
        <f t="shared" si="6"/>
        <v>0</v>
      </c>
    </row>
    <row r="50" spans="1:24">
      <c r="A50" s="1223" t="s">
        <v>449</v>
      </c>
      <c r="B50" s="1240" t="s">
        <v>632</v>
      </c>
      <c r="C50" s="292"/>
      <c r="D50" s="1215" t="str">
        <f>IF(C44=0,"",IF(C50&lt;Drift!I55+Drift!J55+Drift!L55,"Kommentera",""))</f>
        <v/>
      </c>
      <c r="E50" s="268"/>
      <c r="F50" s="1207"/>
      <c r="G50" s="291"/>
      <c r="H50" s="161" t="s">
        <v>691</v>
      </c>
      <c r="I50" s="1693"/>
      <c r="J50" s="1694"/>
      <c r="K50" s="1697"/>
      <c r="L50" s="1698"/>
      <c r="M50" s="1280" t="e">
        <f t="shared" si="5"/>
        <v>#DIV/0!</v>
      </c>
      <c r="N50" s="1286"/>
      <c r="O50" s="1270" t="e">
        <f t="shared" si="4"/>
        <v>#DIV/0!</v>
      </c>
      <c r="P50" s="1085" t="e">
        <f>IF(M50="","",IF(AND(OR(O50&gt;100%, O50&lt;-80%), X50&gt;470), "Kommentera förändringen", IF(AND(O50&gt;80%, X50&gt;470), "Kontrollera förändringen", "")))</f>
        <v>#DIV/0!</v>
      </c>
      <c r="Q50" s="1260" t="s">
        <v>1187</v>
      </c>
      <c r="R50" s="3016"/>
      <c r="S50" s="3011"/>
      <c r="T50" s="3011"/>
      <c r="U50" s="3011"/>
      <c r="V50" s="3011"/>
      <c r="W50" s="2970"/>
      <c r="X50" s="1280">
        <f t="shared" si="6"/>
        <v>0</v>
      </c>
    </row>
    <row r="51" spans="1:24">
      <c r="A51" s="1223" t="s">
        <v>450</v>
      </c>
      <c r="B51" s="1238" t="s">
        <v>503</v>
      </c>
      <c r="C51" s="292"/>
      <c r="D51" s="1607"/>
      <c r="E51" s="268"/>
      <c r="F51" s="1207"/>
      <c r="G51" s="291"/>
      <c r="H51" s="159" t="s">
        <v>692</v>
      </c>
      <c r="I51" s="3052"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2409"/>
      <c r="K51" s="2409"/>
      <c r="L51" s="2417"/>
      <c r="M51" s="1280" t="e">
        <f>(C51+C52-G51)*1000/$J$44</f>
        <v>#DIV/0!</v>
      </c>
      <c r="N51" s="1286"/>
      <c r="O51" s="1270" t="e">
        <f t="shared" si="4"/>
        <v>#DIV/0!</v>
      </c>
      <c r="P51" s="1085" t="e">
        <f>IF(SUM(E51-G51+100)&lt;Motpart!AA19,"Statsbidrag se kommentar till vänster",IF(M51="","",IF(OR(AND(O51&gt;-50%,O51&lt;100%),X51&lt;1226),"","Kommentera förändringen")))</f>
        <v>#DIV/0!</v>
      </c>
      <c r="Q51" s="1260" t="s">
        <v>1188</v>
      </c>
      <c r="R51" s="3016"/>
      <c r="S51" s="3011"/>
      <c r="T51" s="3011"/>
      <c r="U51" s="3011"/>
      <c r="V51" s="3011"/>
      <c r="W51" s="2970"/>
      <c r="X51" s="1280">
        <f>C51+C52-G51</f>
        <v>0</v>
      </c>
    </row>
    <row r="52" spans="1:24">
      <c r="A52" s="1223" t="s">
        <v>451</v>
      </c>
      <c r="B52" s="1241" t="s">
        <v>514</v>
      </c>
      <c r="C52" s="292"/>
      <c r="D52" s="2648" t="str">
        <f>IF(OR(C52 &gt; SUM(Drift!N55+Drift!O55+100), C52 &lt; SUM(Drift!N55+Drift!O55-100)),"Fördelad gemensam verksamhet skiljer sig mot Driftfliken.","")</f>
        <v/>
      </c>
      <c r="E52" s="1215"/>
      <c r="F52" s="1215"/>
      <c r="G52" s="1217"/>
      <c r="H52" s="163"/>
      <c r="I52" s="3051"/>
      <c r="J52" s="2409"/>
      <c r="K52" s="2409"/>
      <c r="L52" s="2417"/>
      <c r="M52" s="1261" t="e">
        <f xml:space="preserve"> X52*1000/J44</f>
        <v>#DIV/0!</v>
      </c>
      <c r="N52" s="1286"/>
      <c r="O52" s="1270" t="e">
        <f t="shared" si="4"/>
        <v>#DIV/0!</v>
      </c>
      <c r="P52" s="1085" t="e">
        <f>IF(M52="","",IF(OR(AND(O52&gt;-40%,O52&lt;40%),X52&lt;5100),"","Kommentera förändringen"))</f>
        <v>#DIV/0!</v>
      </c>
      <c r="Q52" s="1260" t="s">
        <v>1189</v>
      </c>
      <c r="R52" s="3016"/>
      <c r="S52" s="3011"/>
      <c r="T52" s="3011"/>
      <c r="U52" s="3011"/>
      <c r="V52" s="3011"/>
      <c r="W52" s="2970"/>
      <c r="X52" s="1261">
        <f>((X44+D44-F44-(Motpart!D19+Motpart!E19+Motpart!F19)*0.06))+X48</f>
        <v>0</v>
      </c>
    </row>
    <row r="53" spans="1:24">
      <c r="A53" s="1244" t="s">
        <v>658</v>
      </c>
      <c r="B53" s="1241" t="s">
        <v>137</v>
      </c>
      <c r="C53" s="1517">
        <f>(C44-SUM(C45:C52)-D44)*-1</f>
        <v>0</v>
      </c>
      <c r="D53" s="1215"/>
      <c r="E53" s="1518">
        <f>(E44-SUM(E45:E51)-F44-(Motpart!D19+Motpart!E19+Motpart!F19)*0.06)*-1</f>
        <v>0</v>
      </c>
      <c r="F53" s="1215"/>
      <c r="G53" s="1519">
        <f>(G44-SUM(G45:G51))*-1</f>
        <v>0</v>
      </c>
      <c r="H53" s="163"/>
      <c r="I53" s="3051"/>
      <c r="J53" s="2409"/>
      <c r="K53" s="2409"/>
      <c r="L53" s="2417"/>
      <c r="M53" s="1265" t="e">
        <f>(Motpart!G19+Motpart!K19)*1000/J44</f>
        <v>#DIV/0!</v>
      </c>
      <c r="N53" s="1286"/>
      <c r="O53" s="1270" t="e">
        <f t="shared" si="4"/>
        <v>#DIV/0!</v>
      </c>
      <c r="P53" s="1085" t="e">
        <f>IF(M53="","",IF(OR(AND(O53&gt;-50%,O53&lt;100%),X53&lt;1458),"","Kommentera förändringen"))</f>
        <v>#DIV/0!</v>
      </c>
      <c r="Q53" s="1260" t="s">
        <v>1190</v>
      </c>
      <c r="R53" s="3016"/>
      <c r="S53" s="3011"/>
      <c r="T53" s="3011"/>
      <c r="U53" s="3011"/>
      <c r="V53" s="3011"/>
      <c r="W53" s="2970"/>
      <c r="X53" s="1265">
        <f>Motpart!G19+Motpart!K19</f>
        <v>0</v>
      </c>
    </row>
    <row r="54" spans="1:24">
      <c r="A54" s="1244" t="s">
        <v>659</v>
      </c>
      <c r="B54" s="1241"/>
      <c r="C54" s="1215"/>
      <c r="D54" s="1215"/>
      <c r="E54" s="1215"/>
      <c r="F54" s="1215"/>
      <c r="G54" s="1217"/>
      <c r="H54" s="161"/>
      <c r="I54" s="3051"/>
      <c r="J54" s="2409"/>
      <c r="K54" s="2409"/>
      <c r="L54" s="2417"/>
      <c r="M54" s="1280" t="e">
        <f>F44*1000/J44</f>
        <v>#DIV/0!</v>
      </c>
      <c r="N54" s="1286"/>
      <c r="O54" s="1270" t="e">
        <f t="shared" si="4"/>
        <v>#DIV/0!</v>
      </c>
      <c r="P54" s="1085" t="e">
        <f>IF(M54="","",IF(OR(AND(O54&gt;-50%,O54&lt;100%),X54&lt;1446),"","Kommentera förändringen"))</f>
        <v>#DIV/0!</v>
      </c>
      <c r="Q54" s="1260" t="s">
        <v>1191</v>
      </c>
      <c r="R54" s="3016"/>
      <c r="S54" s="3011"/>
      <c r="T54" s="3011"/>
      <c r="U54" s="3011"/>
      <c r="V54" s="3011"/>
      <c r="W54" s="2970"/>
      <c r="X54" s="1280">
        <f>F44</f>
        <v>0</v>
      </c>
    </row>
    <row r="55" spans="1:24">
      <c r="A55" s="1244" t="s">
        <v>660</v>
      </c>
      <c r="B55" s="1246"/>
      <c r="C55" s="1215"/>
      <c r="D55" s="1215"/>
      <c r="E55" s="1215"/>
      <c r="F55" s="1215"/>
      <c r="G55" s="1217"/>
      <c r="H55" s="159"/>
      <c r="I55" s="3051"/>
      <c r="J55" s="2409"/>
      <c r="K55" s="2409"/>
      <c r="L55" s="2417"/>
      <c r="M55" s="1280" t="e">
        <f>Motpart!H19*1000/J44</f>
        <v>#DIV/0!</v>
      </c>
      <c r="N55" s="1262"/>
      <c r="O55" s="1270" t="e">
        <f t="shared" si="4"/>
        <v>#DIV/0!</v>
      </c>
      <c r="P55" s="1085" t="e">
        <f>IF(M55="","",IF(OR(AND(O55&gt;-50%,O55&lt;100%),X55&lt;1458),"","Kommentera förändringen"))</f>
        <v>#DIV/0!</v>
      </c>
      <c r="Q55" s="1260" t="s">
        <v>1587</v>
      </c>
      <c r="R55" s="3016"/>
      <c r="S55" s="3011"/>
      <c r="T55" s="3011"/>
      <c r="U55" s="3011"/>
      <c r="V55" s="3011"/>
      <c r="W55" s="2970"/>
      <c r="X55" s="1280">
        <f>Motpart!H19</f>
        <v>0</v>
      </c>
    </row>
    <row r="56" spans="1:24">
      <c r="A56" s="1226" t="s">
        <v>661</v>
      </c>
      <c r="B56" s="1241"/>
      <c r="C56" s="1204"/>
      <c r="D56" s="1204"/>
      <c r="E56" s="1204"/>
      <c r="F56" s="1204"/>
      <c r="G56" s="1214"/>
      <c r="H56" s="1523"/>
      <c r="I56" s="1524"/>
      <c r="J56" s="1799"/>
      <c r="K56" s="1287"/>
      <c r="L56" s="1287"/>
      <c r="M56" s="1280" t="e">
        <f>X56*1000/J44</f>
        <v>#DIV/0!</v>
      </c>
      <c r="N56" s="1286"/>
      <c r="O56" s="1270" t="e">
        <f t="shared" si="4"/>
        <v>#DIV/0!</v>
      </c>
      <c r="P56" s="1085" t="e">
        <f>IF(M56="","",IF(OR(AND(O56&gt;-50%,O56&lt;100%),X56&lt;1458),"","Kommentera förändringen"))</f>
        <v>#DIV/0!</v>
      </c>
      <c r="Q56" s="1260" t="s">
        <v>1192</v>
      </c>
      <c r="R56" s="3017"/>
      <c r="S56" s="3012"/>
      <c r="T56" s="3012"/>
      <c r="U56" s="3012"/>
      <c r="V56" s="3012"/>
      <c r="W56" s="2972"/>
      <c r="X56" s="1280">
        <f>(Motpart!D19+Motpart!E19+Motpart!F19)*0.94</f>
        <v>0</v>
      </c>
    </row>
    <row r="57" spans="1:24" ht="13" thickBot="1">
      <c r="A57" s="1244"/>
      <c r="B57" s="1247"/>
      <c r="C57" s="2212" t="str">
        <f>IF(ABS(C53)&lt;100,"",IF(C44=0,"C44",IF(ABS(C53/C44)&gt;0.01,"C53")))</f>
        <v/>
      </c>
      <c r="D57" s="2212"/>
      <c r="E57" s="2212" t="str">
        <f>IF(ABS(E53)&lt;100,"",IF(E44=0,"E44",IF(ABS(E53/E44)&gt;0.01,"E53")))</f>
        <v/>
      </c>
      <c r="F57" s="2212"/>
      <c r="G57" s="2213" t="str">
        <f>IF(ABS(G53)&lt;100,"",IF(G44=0,"G44",IF(ABS(G53/G44)&gt;0.01,"G53")))</f>
        <v/>
      </c>
      <c r="H57" s="178"/>
      <c r="I57" s="1289"/>
      <c r="J57" s="1800"/>
      <c r="K57" s="1264"/>
      <c r="L57" s="1264"/>
      <c r="M57" s="1281"/>
      <c r="N57" s="1266"/>
      <c r="O57" s="1282"/>
      <c r="P57" s="1283" t="str">
        <f>IF(C57="C44","Bruttokostnad i Driften=0",IF(C57="C53","Eliminera differens kolumn C",IF(E57="E44","Bruttointäkt i Driften = 0",IF(E57="E53","Eliminera differens kolumn E",IF(G57="G44","Interna intäkter i Driften=0",IF(G57="G53","Eliminera differens kolumn G",""))))))</f>
        <v/>
      </c>
      <c r="Q57" s="1277" t="s">
        <v>1746</v>
      </c>
      <c r="R57" s="285"/>
      <c r="S57" s="285"/>
      <c r="X57" s="1281"/>
    </row>
    <row r="58" spans="1:24">
      <c r="A58" s="1228" t="s">
        <v>452</v>
      </c>
      <c r="B58" s="1237" t="s">
        <v>638</v>
      </c>
      <c r="C58" s="88">
        <f>Drift!P56</f>
        <v>0</v>
      </c>
      <c r="D58" s="89">
        <f>SUM(Motpart!D20:L20)</f>
        <v>0</v>
      </c>
      <c r="E58" s="89">
        <f>Drift!W56</f>
        <v>0</v>
      </c>
      <c r="F58" s="89">
        <f>Motpart!Y20</f>
        <v>0</v>
      </c>
      <c r="G58" s="136">
        <f>Drift!V56</f>
        <v>0</v>
      </c>
      <c r="H58" s="159"/>
      <c r="I58" s="1701" t="s">
        <v>1119</v>
      </c>
      <c r="J58" s="1798"/>
      <c r="K58" s="1699"/>
      <c r="L58" s="1700"/>
      <c r="M58" s="1284" t="e">
        <f>SUM(M59:M61,M63:M65)</f>
        <v>#DIV/0!</v>
      </c>
      <c r="N58" s="1285"/>
      <c r="O58" s="1270" t="e">
        <f t="shared" si="4"/>
        <v>#DIV/0!</v>
      </c>
      <c r="P58" s="1085" t="e">
        <f>IF(M58="","",IF(OR(O58&lt;-40%,O58&gt;50%),"Kommentera förändringen",IF(OR(O58&lt;-20%,O58&gt;30%),"Kontrollera förändringen","")))</f>
        <v>#DIV/0!</v>
      </c>
      <c r="Q58" s="1260" t="s">
        <v>1126</v>
      </c>
      <c r="R58" s="96" t="s">
        <v>895</v>
      </c>
      <c r="S58" s="285"/>
      <c r="X58" s="1284">
        <f>SUM(X59:X61,X63:X65)</f>
        <v>0</v>
      </c>
    </row>
    <row r="59" spans="1:24">
      <c r="A59" s="1223" t="s">
        <v>453</v>
      </c>
      <c r="B59" s="1238" t="s">
        <v>554</v>
      </c>
      <c r="C59" s="292"/>
      <c r="D59" s="1215"/>
      <c r="E59" s="268"/>
      <c r="F59" s="1207"/>
      <c r="G59" s="291"/>
      <c r="H59" s="163" t="s">
        <v>693</v>
      </c>
      <c r="I59" s="1693"/>
      <c r="J59" s="1694"/>
      <c r="K59" s="1697"/>
      <c r="L59" s="1698"/>
      <c r="M59" s="1280" t="e">
        <f>(C59-E59)*1000/$J$58</f>
        <v>#DIV/0!</v>
      </c>
      <c r="N59" s="1279"/>
      <c r="O59" s="1270" t="e">
        <f t="shared" si="4"/>
        <v>#DIV/0!</v>
      </c>
      <c r="P59" s="1085" t="e">
        <f>IF(M59="","",IF(OR(O59&lt;-50%,O59&gt;60%),"Kommentera förändringen",IF(OR(O59&lt;-30%,O59&gt;40%),"Kontrollera förändringen","")))</f>
        <v>#DIV/0!</v>
      </c>
      <c r="Q59" s="1260" t="s">
        <v>1127</v>
      </c>
      <c r="R59" s="3018"/>
      <c r="S59" s="3010"/>
      <c r="T59" s="3010"/>
      <c r="U59" s="3010"/>
      <c r="V59" s="3010"/>
      <c r="W59" s="2968"/>
      <c r="X59" s="1280">
        <f t="shared" ref="X59:X64" si="7">C59-E59</f>
        <v>0</v>
      </c>
    </row>
    <row r="60" spans="1:24">
      <c r="A60" s="1223" t="s">
        <v>454</v>
      </c>
      <c r="B60" s="1238" t="s">
        <v>1083</v>
      </c>
      <c r="C60" s="292"/>
      <c r="D60" s="1215"/>
      <c r="E60" s="268"/>
      <c r="F60" s="1207"/>
      <c r="G60" s="291"/>
      <c r="H60" s="163" t="s">
        <v>694</v>
      </c>
      <c r="I60" s="1693"/>
      <c r="J60" s="1694"/>
      <c r="K60" s="1287"/>
      <c r="L60" s="1695"/>
      <c r="M60" s="1280" t="e">
        <f>(C60-E60)*1000/$J$58</f>
        <v>#DIV/0!</v>
      </c>
      <c r="N60" s="1286"/>
      <c r="O60" s="1270" t="e">
        <f t="shared" si="4"/>
        <v>#DIV/0!</v>
      </c>
      <c r="P60" s="1085" t="e">
        <f>IF(M49="","",IF(AND(OR(O60&lt;-70%,O60&gt;100%),X60&gt;250),"Kommentera förändringen",IF(AND(OR(O60&lt;-70%,O60&gt;100%),X60&gt;76),"Kontrollera förändringen","")))</f>
        <v>#DIV/0!</v>
      </c>
      <c r="Q60" s="1260" t="s">
        <v>1128</v>
      </c>
      <c r="R60" s="3016"/>
      <c r="S60" s="3011"/>
      <c r="T60" s="3011"/>
      <c r="U60" s="3011"/>
      <c r="V60" s="3011"/>
      <c r="W60" s="2970"/>
      <c r="X60" s="1280">
        <f t="shared" si="7"/>
        <v>0</v>
      </c>
    </row>
    <row r="61" spans="1:24">
      <c r="A61" s="1223" t="s">
        <v>455</v>
      </c>
      <c r="B61" s="1238" t="s">
        <v>585</v>
      </c>
      <c r="C61" s="292"/>
      <c r="D61" s="1215"/>
      <c r="E61" s="268"/>
      <c r="F61" s="1207"/>
      <c r="G61" s="291"/>
      <c r="H61" s="161"/>
      <c r="I61" s="1693"/>
      <c r="J61" s="1409"/>
      <c r="K61" s="1254"/>
      <c r="L61" s="1696"/>
      <c r="M61" s="1280" t="e">
        <f>(C61-E61)*1000/$J$58</f>
        <v>#DIV/0!</v>
      </c>
      <c r="N61" s="1286"/>
      <c r="O61" s="1270" t="e">
        <f t="shared" si="4"/>
        <v>#DIV/0!</v>
      </c>
      <c r="P61" s="1085" t="e">
        <f>IF(M61="","",IF(OR(O61&lt;-80%,O61&gt;80%),"Kommentera förändringen",IF(OR(O61&lt;-40%,O61&gt;50%),"Kontrollera förändringen","")))</f>
        <v>#DIV/0!</v>
      </c>
      <c r="Q61" s="1260" t="s">
        <v>1129</v>
      </c>
      <c r="R61" s="3016"/>
      <c r="S61" s="3011"/>
      <c r="T61" s="3011"/>
      <c r="U61" s="3011"/>
      <c r="V61" s="3011"/>
      <c r="W61" s="2970"/>
      <c r="X61" s="1280">
        <f t="shared" si="7"/>
        <v>0</v>
      </c>
    </row>
    <row r="62" spans="1:24">
      <c r="A62" s="1223" t="s">
        <v>267</v>
      </c>
      <c r="B62" s="1238" t="s">
        <v>552</v>
      </c>
      <c r="C62" s="292"/>
      <c r="D62" s="1215" t="str">
        <f>IF(C58=0,"",IF(OR(C62=0,C62=""),"Kommentera",""))</f>
        <v/>
      </c>
      <c r="E62" s="268"/>
      <c r="F62" s="1207"/>
      <c r="G62" s="291"/>
      <c r="H62" s="159" t="s">
        <v>695</v>
      </c>
      <c r="I62" s="1693"/>
      <c r="J62" s="1694"/>
      <c r="K62" s="1697"/>
      <c r="L62" s="1698"/>
      <c r="M62" s="1280" t="e">
        <f>(C62-E62)*1000/$J$58</f>
        <v>#DIV/0!</v>
      </c>
      <c r="N62" s="1286"/>
      <c r="O62" s="1270" t="e">
        <f t="shared" si="4"/>
        <v>#DIV/0!</v>
      </c>
      <c r="P62" s="1085" t="e">
        <f>IF(M62="","",IF(OR(O62&lt;-50%,O62&gt;50%),"Kommentera förändringen",IF(OR(O62&lt;-20%,O62&gt;30%),"Kontrollera förändringen","")))</f>
        <v>#DIV/0!</v>
      </c>
      <c r="Q62" s="1260" t="s">
        <v>1130</v>
      </c>
      <c r="R62" s="3016"/>
      <c r="S62" s="3011"/>
      <c r="T62" s="3011"/>
      <c r="U62" s="3011"/>
      <c r="V62" s="3011"/>
      <c r="W62" s="2970"/>
      <c r="X62" s="1280">
        <f t="shared" si="7"/>
        <v>0</v>
      </c>
    </row>
    <row r="63" spans="1:24">
      <c r="A63" s="1223" t="s">
        <v>456</v>
      </c>
      <c r="B63" s="1239" t="s">
        <v>993</v>
      </c>
      <c r="C63" s="292"/>
      <c r="D63" s="1215"/>
      <c r="E63" s="268"/>
      <c r="F63" s="1207"/>
      <c r="G63" s="291"/>
      <c r="H63" s="163" t="s">
        <v>696</v>
      </c>
      <c r="I63" s="1693"/>
      <c r="J63" s="1694"/>
      <c r="K63" s="1697"/>
      <c r="L63" s="1698"/>
      <c r="M63" s="1280" t="e">
        <f t="shared" ref="M63:M64" si="8">(C63-E63)*1000/$J$58</f>
        <v>#DIV/0!</v>
      </c>
      <c r="N63" s="1286"/>
      <c r="O63" s="1270" t="e">
        <f t="shared" si="4"/>
        <v>#DIV/0!</v>
      </c>
      <c r="P63" s="1085" t="e">
        <f>IF(M63="","",IF(AND(O63&gt;-50%,O63&lt;60%),"","Kommentera förändringen"))</f>
        <v>#DIV/0!</v>
      </c>
      <c r="Q63" s="1260" t="s">
        <v>1131</v>
      </c>
      <c r="R63" s="3016"/>
      <c r="S63" s="3011"/>
      <c r="T63" s="3011"/>
      <c r="U63" s="3011"/>
      <c r="V63" s="3011"/>
      <c r="W63" s="2970"/>
      <c r="X63" s="1280">
        <f t="shared" si="7"/>
        <v>0</v>
      </c>
    </row>
    <row r="64" spans="1:24">
      <c r="A64" s="1223" t="s">
        <v>457</v>
      </c>
      <c r="B64" s="1240" t="s">
        <v>632</v>
      </c>
      <c r="C64" s="292"/>
      <c r="D64" s="1215" t="str">
        <f>IF(C58=0,"",IF(C64&lt;Drift!I56+Drift!J56+Drift!L56,"Kommentera",""))</f>
        <v/>
      </c>
      <c r="E64" s="268"/>
      <c r="F64" s="1207"/>
      <c r="G64" s="291"/>
      <c r="H64" s="163" t="s">
        <v>697</v>
      </c>
      <c r="I64" s="1693"/>
      <c r="J64" s="1694"/>
      <c r="K64" s="1697"/>
      <c r="L64" s="1698"/>
      <c r="M64" s="1280" t="e">
        <f t="shared" si="8"/>
        <v>#DIV/0!</v>
      </c>
      <c r="N64" s="1286"/>
      <c r="O64" s="1270" t="e">
        <f t="shared" si="4"/>
        <v>#DIV/0!</v>
      </c>
      <c r="P64" s="1085" t="e">
        <f>IF(M64="","",IF(OR(O64&lt;-50%,O64&gt;70%),"Kommentera förändringen",IF(OR(O64&lt;-30%,O64&gt;40%),"Kontrollera förändringen","")))</f>
        <v>#DIV/0!</v>
      </c>
      <c r="Q64" s="1260" t="s">
        <v>1132</v>
      </c>
      <c r="R64" s="3016"/>
      <c r="S64" s="3011"/>
      <c r="T64" s="3011"/>
      <c r="U64" s="3011"/>
      <c r="V64" s="3011"/>
      <c r="W64" s="2970"/>
      <c r="X64" s="1280">
        <f t="shared" si="7"/>
        <v>0</v>
      </c>
    </row>
    <row r="65" spans="1:24">
      <c r="A65" s="1223" t="s">
        <v>458</v>
      </c>
      <c r="B65" s="1248" t="s">
        <v>503</v>
      </c>
      <c r="C65" s="292"/>
      <c r="D65" s="1215"/>
      <c r="E65" s="268"/>
      <c r="F65" s="1207"/>
      <c r="G65" s="291"/>
      <c r="H65" s="163" t="s">
        <v>698</v>
      </c>
      <c r="I65" s="3053"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2418"/>
      <c r="K65" s="2418"/>
      <c r="L65" s="2423"/>
      <c r="M65" s="1280" t="e">
        <f>(C65+C66-G65)*1000/$J$58</f>
        <v>#DIV/0!</v>
      </c>
      <c r="N65" s="1286"/>
      <c r="O65" s="1270" t="e">
        <f t="shared" si="4"/>
        <v>#DIV/0!</v>
      </c>
      <c r="P65" s="1085" t="e">
        <f>IF(SUM(E65-G65+100)&lt;Motpart!AA20,"Statsbidrag se kommentar till vänster",IF(M65="","",IF(OR(O65&lt;-100%,O65&gt;100%),"Kommentera förändringen",IF(OR(O65&lt;-50%,O65&gt;60%),"Kontrollera förändringen",""))))</f>
        <v>#DIV/0!</v>
      </c>
      <c r="Q65" s="1260" t="s">
        <v>1133</v>
      </c>
      <c r="R65" s="3016"/>
      <c r="S65" s="3011"/>
      <c r="T65" s="3011"/>
      <c r="U65" s="3011"/>
      <c r="V65" s="3011"/>
      <c r="W65" s="2970"/>
      <c r="X65" s="1280">
        <f>C65+C66-G65</f>
        <v>0</v>
      </c>
    </row>
    <row r="66" spans="1:24">
      <c r="A66" s="1223" t="s">
        <v>459</v>
      </c>
      <c r="B66" s="1249" t="s">
        <v>514</v>
      </c>
      <c r="C66" s="292"/>
      <c r="D66" s="2647" t="str">
        <f>IF(OR(C66 &gt; SUM(Drift!N56+Drift!O56+100), C66 &lt; SUM(Drift!N56+Drift!O56-100)),"Fördelad gemensam verksamhet skiljer sig mot Driftfliken.","")</f>
        <v/>
      </c>
      <c r="E66" s="1215"/>
      <c r="F66" s="1215"/>
      <c r="G66" s="1217"/>
      <c r="H66" s="163"/>
      <c r="I66" s="3054"/>
      <c r="J66" s="2418"/>
      <c r="K66" s="2418"/>
      <c r="L66" s="2423"/>
      <c r="M66" s="1280" t="e">
        <f>X66*1000/J58</f>
        <v>#DIV/0!</v>
      </c>
      <c r="N66" s="1286"/>
      <c r="O66" s="1270" t="e">
        <f t="shared" si="4"/>
        <v>#DIV/0!</v>
      </c>
      <c r="P66" s="1085" t="e">
        <f>IF(M66="","",IF(AND(O66&gt;-20%,O66&lt;30%),"","Kommentera förändringen"))</f>
        <v>#DIV/0!</v>
      </c>
      <c r="Q66" s="1260" t="s">
        <v>1134</v>
      </c>
      <c r="R66" s="3016"/>
      <c r="S66" s="3011"/>
      <c r="T66" s="3011"/>
      <c r="U66" s="3011"/>
      <c r="V66" s="3011"/>
      <c r="W66" s="2970"/>
      <c r="X66" s="1280">
        <f>(X58+D58-F58-(Motpart!D20+Motpart!E20+Motpart!F20)*0.06)+X62</f>
        <v>0</v>
      </c>
    </row>
    <row r="67" spans="1:24">
      <c r="A67" s="1223" t="s">
        <v>665</v>
      </c>
      <c r="B67" s="1241" t="s">
        <v>137</v>
      </c>
      <c r="C67" s="1517">
        <f>(C58-SUM(C59:C66)-D58)*-1</f>
        <v>0</v>
      </c>
      <c r="D67" s="1203"/>
      <c r="E67" s="1518">
        <f>(E58-SUM(E59:E65)-F58-(Motpart!D20+Motpart!E20+Motpart!F20)*0.06)*-1</f>
        <v>0</v>
      </c>
      <c r="F67" s="1203"/>
      <c r="G67" s="1519">
        <f>(G58-SUM(G59:G65))*-1</f>
        <v>0</v>
      </c>
      <c r="H67" s="163"/>
      <c r="I67" s="3054"/>
      <c r="J67" s="2418"/>
      <c r="K67" s="2418"/>
      <c r="L67" s="2423"/>
      <c r="M67" s="1280" t="e">
        <f>(Motpart!G20+Motpart!K20)*1000/J58</f>
        <v>#DIV/0!</v>
      </c>
      <c r="N67" s="1286"/>
      <c r="O67" s="1270" t="e">
        <f t="shared" si="4"/>
        <v>#DIV/0!</v>
      </c>
      <c r="P67" s="1085" t="e">
        <f>IF(M67="","",IF(OR(AND(O67&gt;-50%,O67&lt;50%),X67&lt;598),"","Kommentera förändringen"))</f>
        <v>#DIV/0!</v>
      </c>
      <c r="Q67" s="1260" t="s">
        <v>1586</v>
      </c>
      <c r="R67" s="3016"/>
      <c r="S67" s="3011"/>
      <c r="T67" s="3011"/>
      <c r="U67" s="3011"/>
      <c r="V67" s="3011"/>
      <c r="W67" s="2970"/>
      <c r="X67" s="1280">
        <f>Motpart!G20+Motpart!K20</f>
        <v>0</v>
      </c>
    </row>
    <row r="68" spans="1:24">
      <c r="A68" s="1242" t="s">
        <v>666</v>
      </c>
      <c r="B68" s="1241"/>
      <c r="C68" s="1215"/>
      <c r="D68" s="1204"/>
      <c r="E68" s="1215"/>
      <c r="F68" s="1215"/>
      <c r="G68" s="1217"/>
      <c r="H68" s="161"/>
      <c r="I68" s="3054"/>
      <c r="J68" s="2418"/>
      <c r="K68" s="2418"/>
      <c r="L68" s="2423"/>
      <c r="M68" s="1280" t="e">
        <f>F58*1000/J58</f>
        <v>#DIV/0!</v>
      </c>
      <c r="N68" s="1286"/>
      <c r="O68" s="1270" t="e">
        <f t="shared" si="4"/>
        <v>#DIV/0!</v>
      </c>
      <c r="P68" s="1085" t="e">
        <f>IF(M68="","",IF(OR(AND(O68&gt;-50%,O68&lt;50%),X68&lt;589),"","Kommentera förändringen"))</f>
        <v>#DIV/0!</v>
      </c>
      <c r="Q68" s="1260" t="s">
        <v>1585</v>
      </c>
      <c r="R68" s="3016"/>
      <c r="S68" s="3011"/>
      <c r="T68" s="3011"/>
      <c r="U68" s="3011"/>
      <c r="V68" s="3011"/>
      <c r="W68" s="2970"/>
      <c r="X68" s="1280">
        <f>F58</f>
        <v>0</v>
      </c>
    </row>
    <row r="69" spans="1:24">
      <c r="A69" s="1242" t="s">
        <v>667</v>
      </c>
      <c r="B69" s="1246"/>
      <c r="C69" s="1215"/>
      <c r="D69" s="1204"/>
      <c r="E69" s="1215"/>
      <c r="F69" s="1215"/>
      <c r="G69" s="1217"/>
      <c r="H69" s="159"/>
      <c r="I69" s="3054"/>
      <c r="J69" s="2418"/>
      <c r="K69" s="2418"/>
      <c r="L69" s="2423"/>
      <c r="M69" s="1280" t="e">
        <f>Motpart!H20*1000/J58</f>
        <v>#DIV/0!</v>
      </c>
      <c r="N69" s="1286"/>
      <c r="O69" s="1270" t="e">
        <f t="shared" si="4"/>
        <v>#DIV/0!</v>
      </c>
      <c r="P69" s="1085" t="e">
        <f>IF(M69="","",IF(OR(AND(O69&gt;-50%,O69&lt;50%),X69&lt;860),"","Kommentera förändringen"))</f>
        <v>#DIV/0!</v>
      </c>
      <c r="Q69" s="1260" t="s">
        <v>1588</v>
      </c>
      <c r="R69" s="3016"/>
      <c r="S69" s="3011"/>
      <c r="T69" s="3011"/>
      <c r="U69" s="3011"/>
      <c r="V69" s="3011"/>
      <c r="W69" s="2970"/>
      <c r="X69" s="1280">
        <f>Motpart!H20</f>
        <v>0</v>
      </c>
    </row>
    <row r="70" spans="1:24">
      <c r="A70" s="1242" t="s">
        <v>668</v>
      </c>
      <c r="B70" s="1241"/>
      <c r="C70" s="1204"/>
      <c r="D70" s="1204"/>
      <c r="E70" s="1204"/>
      <c r="F70" s="1204"/>
      <c r="G70" s="1214"/>
      <c r="H70" s="1523"/>
      <c r="I70" s="1524"/>
      <c r="J70" s="1799"/>
      <c r="K70" s="1287"/>
      <c r="L70" s="1287"/>
      <c r="M70" s="1280" t="e">
        <f>X70*1000/J58</f>
        <v>#DIV/0!</v>
      </c>
      <c r="N70" s="1286"/>
      <c r="O70" s="1270" t="e">
        <f t="shared" si="4"/>
        <v>#DIV/0!</v>
      </c>
      <c r="P70" s="1085" t="e">
        <f>IF(M70="","",IF(OR(AND(O70&gt;-50%,O70&lt;50%),X70&lt;559),"","Kommentera förändringen"))</f>
        <v>#DIV/0!</v>
      </c>
      <c r="Q70" s="1260" t="s">
        <v>1135</v>
      </c>
      <c r="R70" s="3017"/>
      <c r="S70" s="3012"/>
      <c r="T70" s="3012"/>
      <c r="U70" s="3012"/>
      <c r="V70" s="3012"/>
      <c r="W70" s="2972"/>
      <c r="X70" s="1280">
        <f>(Motpart!D20+Motpart!E20+Motpart!F20)*0.94</f>
        <v>0</v>
      </c>
    </row>
    <row r="71" spans="1:24" ht="13" thickBot="1">
      <c r="A71" s="1250"/>
      <c r="B71" s="1251"/>
      <c r="C71" s="2208" t="str">
        <f>IF(ABS(C67)&lt;100,"",IF(C58=0,"C58",IF(ABS(C67/C58)&gt;0.01,"C67")))</f>
        <v/>
      </c>
      <c r="D71" s="2209"/>
      <c r="E71" s="2209" t="str">
        <f>IF(ABS(E67)&lt;100,"",IF(E58=0,"E58",IF(ABS(E67/E58)&gt;0.01,"E67")))</f>
        <v/>
      </c>
      <c r="F71" s="2211"/>
      <c r="G71" s="2210" t="str">
        <f>IF(ABS(G67)&lt;100,"",IF(G58=0,"G58",IF(ABS(G67/G58)&gt;0.01,"G67")))</f>
        <v/>
      </c>
      <c r="H71" s="162"/>
      <c r="I71" s="1274"/>
      <c r="J71" s="1800"/>
      <c r="K71" s="1264"/>
      <c r="L71" s="1264"/>
      <c r="M71" s="1281"/>
      <c r="N71" s="1266"/>
      <c r="O71" s="1276"/>
      <c r="P71" s="1283" t="str">
        <f>IF(C71="C58","Bruttokostnad i Driften=0",IF(C71="C67","Eliminera differens i kolumn C",IF(E71="E58","Bruttointäkt i Driften = 0",IF(E71="E67","Eliminera differens kolumn E",IF(G71="G58","Interna intäkter i Driften=0",IF(G71="G67","Eliminera differens kolumn G",""))))))</f>
        <v/>
      </c>
      <c r="Q71" s="1277" t="s">
        <v>557</v>
      </c>
      <c r="R71" s="285"/>
      <c r="S71" s="285"/>
      <c r="X71" s="1281"/>
    </row>
    <row r="72" spans="1:24">
      <c r="A72" s="1228" t="s">
        <v>460</v>
      </c>
      <c r="B72" s="2747" t="s">
        <v>1743</v>
      </c>
      <c r="C72" s="88">
        <f>Drift!P57</f>
        <v>0</v>
      </c>
      <c r="D72" s="89">
        <f>SUM(Motpart!D21:L21)</f>
        <v>0</v>
      </c>
      <c r="E72" s="89">
        <f>Drift!W57</f>
        <v>0</v>
      </c>
      <c r="F72" s="89">
        <f>Motpart!Y21</f>
        <v>0</v>
      </c>
      <c r="G72" s="136">
        <f>Drift!V57</f>
        <v>0</v>
      </c>
      <c r="H72" s="159"/>
      <c r="I72" s="1715" t="s">
        <v>1119</v>
      </c>
      <c r="J72" s="1798"/>
      <c r="K72" s="1702"/>
      <c r="L72" s="1700"/>
      <c r="M72" s="1284" t="e">
        <f>SUM(M73:M75,M77:M79)</f>
        <v>#DIV/0!</v>
      </c>
      <c r="N72" s="1285"/>
      <c r="O72" s="1278" t="e">
        <f t="shared" si="4"/>
        <v>#DIV/0!</v>
      </c>
      <c r="P72" s="1085" t="e">
        <f>IF(M72="","",IF(OR(AND(O72&gt;-40%,O72&lt;50%),X72&lt;3130),"","Kommentera förändringen"))</f>
        <v>#DIV/0!</v>
      </c>
      <c r="Q72" s="1260" t="s">
        <v>1126</v>
      </c>
      <c r="R72" s="96" t="s">
        <v>1748</v>
      </c>
      <c r="S72" s="285"/>
      <c r="X72" s="1284">
        <f>SUM(X73:X75,X77:X79)</f>
        <v>0</v>
      </c>
    </row>
    <row r="73" spans="1:24">
      <c r="A73" s="1223" t="s">
        <v>461</v>
      </c>
      <c r="B73" s="1238" t="s">
        <v>554</v>
      </c>
      <c r="C73" s="292"/>
      <c r="D73" s="1215"/>
      <c r="E73" s="268"/>
      <c r="F73" s="1207"/>
      <c r="G73" s="291"/>
      <c r="H73" s="177" t="s">
        <v>699</v>
      </c>
      <c r="I73" s="944"/>
      <c r="J73" s="1694"/>
      <c r="K73" s="1697"/>
      <c r="L73" s="1697"/>
      <c r="M73" s="1280" t="e">
        <f t="shared" ref="M73:M78" si="9">(C73-E73)*1000/$J$72</f>
        <v>#DIV/0!</v>
      </c>
      <c r="N73" s="1279"/>
      <c r="O73" s="1270" t="e">
        <f t="shared" si="4"/>
        <v>#DIV/0!</v>
      </c>
      <c r="P73" s="1085" t="e">
        <f>IF(M73="","",IF(OR(AND(O73&gt;-40%,O73&lt;50%),X73&lt;1527),"","Kommentera förändringen"))</f>
        <v>#DIV/0!</v>
      </c>
      <c r="Q73" s="1260" t="s">
        <v>1127</v>
      </c>
      <c r="R73" s="3018"/>
      <c r="S73" s="3010"/>
      <c r="T73" s="3010"/>
      <c r="U73" s="3010"/>
      <c r="V73" s="3010"/>
      <c r="W73" s="2968"/>
      <c r="X73" s="1280">
        <f t="shared" ref="X73:X78" si="10">C73-E73</f>
        <v>0</v>
      </c>
    </row>
    <row r="74" spans="1:24">
      <c r="A74" s="1223" t="s">
        <v>462</v>
      </c>
      <c r="B74" s="1238" t="s">
        <v>1083</v>
      </c>
      <c r="C74" s="292"/>
      <c r="D74" s="1215"/>
      <c r="E74" s="268"/>
      <c r="F74" s="1207"/>
      <c r="G74" s="291"/>
      <c r="H74" s="176" t="s">
        <v>700</v>
      </c>
      <c r="I74" s="944"/>
      <c r="J74" s="1694"/>
      <c r="K74" s="1287"/>
      <c r="L74" s="1287"/>
      <c r="M74" s="1280" t="e">
        <f t="shared" si="9"/>
        <v>#DIV/0!</v>
      </c>
      <c r="N74" s="1286"/>
      <c r="O74" s="1270" t="e">
        <f t="shared" si="4"/>
        <v>#DIV/0!</v>
      </c>
      <c r="P74" s="1085" t="e">
        <f>IF(M74="","",IF(OR(AND(O74&gt;-50%,O74&lt;80%),X74&lt;114),"","Kommentera förändringen"))</f>
        <v>#DIV/0!</v>
      </c>
      <c r="Q74" s="1260" t="s">
        <v>1128</v>
      </c>
      <c r="R74" s="3016"/>
      <c r="S74" s="3011"/>
      <c r="T74" s="3011"/>
      <c r="U74" s="3011"/>
      <c r="V74" s="3011"/>
      <c r="W74" s="2970"/>
      <c r="X74" s="1280">
        <f t="shared" si="10"/>
        <v>0</v>
      </c>
    </row>
    <row r="75" spans="1:24">
      <c r="A75" s="1223" t="s">
        <v>463</v>
      </c>
      <c r="B75" s="1238" t="s">
        <v>585</v>
      </c>
      <c r="C75" s="292"/>
      <c r="D75" s="1215"/>
      <c r="E75" s="268"/>
      <c r="F75" s="1207"/>
      <c r="G75" s="291"/>
      <c r="H75" s="1714"/>
      <c r="I75" s="944"/>
      <c r="J75" s="1409"/>
      <c r="K75" s="1254"/>
      <c r="L75" s="1254"/>
      <c r="M75" s="1280" t="e">
        <f t="shared" si="9"/>
        <v>#DIV/0!</v>
      </c>
      <c r="N75" s="1286"/>
      <c r="O75" s="1270" t="e">
        <f t="shared" si="4"/>
        <v>#DIV/0!</v>
      </c>
      <c r="P75" s="1085" t="e">
        <f>IF(M75="","",IF(OR(AND(O75&gt;-50%,O75&lt;60%),X75&lt;56),"","Kommentera förändringen"))</f>
        <v>#DIV/0!</v>
      </c>
      <c r="Q75" s="1260" t="s">
        <v>1129</v>
      </c>
      <c r="R75" s="3016"/>
      <c r="S75" s="3011"/>
      <c r="T75" s="3011"/>
      <c r="U75" s="3011"/>
      <c r="V75" s="3011"/>
      <c r="W75" s="2970"/>
      <c r="X75" s="1280">
        <f t="shared" si="10"/>
        <v>0</v>
      </c>
    </row>
    <row r="76" spans="1:24">
      <c r="A76" s="1223" t="s">
        <v>464</v>
      </c>
      <c r="B76" s="1238" t="s">
        <v>552</v>
      </c>
      <c r="C76" s="292"/>
      <c r="D76" s="1215" t="str">
        <f>IF(C72=0,"",IF(OR(C76=0,C76=""),"Kommentera",""))</f>
        <v/>
      </c>
      <c r="E76" s="268"/>
      <c r="F76" s="1207"/>
      <c r="G76" s="291"/>
      <c r="H76" s="1714" t="s">
        <v>701</v>
      </c>
      <c r="I76" s="944"/>
      <c r="J76" s="1694"/>
      <c r="K76" s="1697"/>
      <c r="L76" s="1697"/>
      <c r="M76" s="1280" t="e">
        <f>(C76-E76)*1000/$J$72</f>
        <v>#DIV/0!</v>
      </c>
      <c r="N76" s="1286"/>
      <c r="O76" s="1270" t="e">
        <f t="shared" si="4"/>
        <v>#DIV/0!</v>
      </c>
      <c r="P76" s="1085" t="e">
        <f>IF(M76="","",IF(AND(ABS(O76)&gt;50%,X76&gt;700),"Kommentera förändringen",IF(AND(ABS(O76)&gt;50%,X76&gt;276),"Kontrollera förändringen","")))</f>
        <v>#DIV/0!</v>
      </c>
      <c r="Q76" s="1260" t="s">
        <v>1130</v>
      </c>
      <c r="R76" s="3016"/>
      <c r="S76" s="3011"/>
      <c r="T76" s="3011"/>
      <c r="U76" s="3011"/>
      <c r="V76" s="3011"/>
      <c r="W76" s="2970"/>
      <c r="X76" s="1280">
        <f>C76-E76</f>
        <v>0</v>
      </c>
    </row>
    <row r="77" spans="1:24">
      <c r="A77" s="1223" t="s">
        <v>465</v>
      </c>
      <c r="B77" s="1239" t="s">
        <v>993</v>
      </c>
      <c r="C77" s="292"/>
      <c r="D77" s="1215"/>
      <c r="E77" s="268"/>
      <c r="F77" s="1207"/>
      <c r="G77" s="291"/>
      <c r="H77" s="1714" t="s">
        <v>702</v>
      </c>
      <c r="I77" s="944"/>
      <c r="J77" s="1694"/>
      <c r="K77" s="1697"/>
      <c r="L77" s="1697"/>
      <c r="M77" s="1280" t="e">
        <f t="shared" si="9"/>
        <v>#DIV/0!</v>
      </c>
      <c r="N77" s="1286"/>
      <c r="O77" s="1270" t="e">
        <f t="shared" si="4"/>
        <v>#DIV/0!</v>
      </c>
      <c r="P77" s="1085" t="e">
        <f>IF(M77="","",IF(OR(AND(O77&gt;-60%,O77&lt;100%),X77&lt;64),"","Kommentera förändringen"))</f>
        <v>#DIV/0!</v>
      </c>
      <c r="Q77" s="1260" t="s">
        <v>1131</v>
      </c>
      <c r="R77" s="3016"/>
      <c r="S77" s="3011"/>
      <c r="T77" s="3011"/>
      <c r="U77" s="3011"/>
      <c r="V77" s="3011"/>
      <c r="W77" s="2970"/>
      <c r="X77" s="1280">
        <f t="shared" si="10"/>
        <v>0</v>
      </c>
    </row>
    <row r="78" spans="1:24">
      <c r="A78" s="1223" t="s">
        <v>466</v>
      </c>
      <c r="B78" s="1240" t="s">
        <v>632</v>
      </c>
      <c r="C78" s="292"/>
      <c r="D78" s="1215" t="str">
        <f>IF(C72=0,"",IF(C78&lt;Drift!I57+Drift!J57+Drift!L57,"Kommentera",""))</f>
        <v/>
      </c>
      <c r="E78" s="268"/>
      <c r="F78" s="1207"/>
      <c r="G78" s="291"/>
      <c r="H78" s="1714" t="s">
        <v>703</v>
      </c>
      <c r="I78" s="944"/>
      <c r="J78" s="1694"/>
      <c r="K78" s="1697"/>
      <c r="L78" s="1697"/>
      <c r="M78" s="1280" t="e">
        <f t="shared" si="9"/>
        <v>#DIV/0!</v>
      </c>
      <c r="N78" s="1262"/>
      <c r="O78" s="1270" t="e">
        <f t="shared" si="4"/>
        <v>#DIV/0!</v>
      </c>
      <c r="P78" s="1085" t="e">
        <f>IF(M78="","",IF(OR(AND(O78&gt;-60%,O78&lt;100%),X78&lt;491),"","Kommentera förändringen"))</f>
        <v>#DIV/0!</v>
      </c>
      <c r="Q78" s="1260" t="s">
        <v>1132</v>
      </c>
      <c r="R78" s="3016"/>
      <c r="S78" s="3011"/>
      <c r="T78" s="3011"/>
      <c r="U78" s="3011"/>
      <c r="V78" s="3011"/>
      <c r="W78" s="2970"/>
      <c r="X78" s="1280">
        <f t="shared" si="10"/>
        <v>0</v>
      </c>
    </row>
    <row r="79" spans="1:24">
      <c r="A79" s="1223" t="s">
        <v>467</v>
      </c>
      <c r="B79" s="1238" t="s">
        <v>503</v>
      </c>
      <c r="C79" s="292"/>
      <c r="D79" s="1215"/>
      <c r="E79" s="268"/>
      <c r="F79" s="1207"/>
      <c r="G79" s="291"/>
      <c r="H79" s="177" t="s">
        <v>704</v>
      </c>
      <c r="I79" s="3048"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2409"/>
      <c r="K79" s="2409"/>
      <c r="L79" s="2417"/>
      <c r="M79" s="1261" t="e">
        <f>(C79+C80-G79)*1000/$J$72</f>
        <v>#DIV/0!</v>
      </c>
      <c r="N79" s="1279"/>
      <c r="O79" s="1270" t="e">
        <f t="shared" si="4"/>
        <v>#DIV/0!</v>
      </c>
      <c r="P79" s="1085" t="e">
        <f>IF(SUM(E79-G79+100)&lt;Motpart!AA21,"Statsbidrag se kommentar till vänster",IF(M79="","",IF(OR(AND(O79&gt;-60%,O79&lt;100%),X79&lt;886),"","Kommentera förändringen")))</f>
        <v>#DIV/0!</v>
      </c>
      <c r="Q79" s="1260" t="s">
        <v>1133</v>
      </c>
      <c r="R79" s="3016"/>
      <c r="S79" s="3011"/>
      <c r="T79" s="3011"/>
      <c r="U79" s="3011"/>
      <c r="V79" s="3011"/>
      <c r="W79" s="2970"/>
      <c r="X79" s="1280">
        <f>C79+C80-G79</f>
        <v>0</v>
      </c>
    </row>
    <row r="80" spans="1:24">
      <c r="A80" s="1223" t="s">
        <v>468</v>
      </c>
      <c r="B80" s="1252" t="s">
        <v>514</v>
      </c>
      <c r="C80" s="292"/>
      <c r="D80" s="2647" t="str">
        <f>IF(OR(C80 &gt; SUM(Drift!N57+Drift!O57+100), C80 &lt; SUM(Drift!N57+Drift!O57-100)),"Fördelad gemensam verksamhet skiljer sig mot Driftfliken.","")</f>
        <v/>
      </c>
      <c r="E80" s="1215"/>
      <c r="F80" s="1215"/>
      <c r="G80" s="1217"/>
      <c r="H80" s="176"/>
      <c r="I80" s="3055"/>
      <c r="J80" s="2409"/>
      <c r="K80" s="2409"/>
      <c r="L80" s="2417"/>
      <c r="M80" s="1261" t="e">
        <f>X80*1000/J72</f>
        <v>#DIV/0!</v>
      </c>
      <c r="N80" s="1286"/>
      <c r="O80" s="1270" t="e">
        <f t="shared" si="4"/>
        <v>#DIV/0!</v>
      </c>
      <c r="P80" s="1085" t="e">
        <f>IF(M80="","",IF(OR(AND(O80&gt;-40%,O80&lt;50%),X80&lt;3190),"","Kommntera förändringen"))</f>
        <v>#DIV/0!</v>
      </c>
      <c r="Q80" s="1260" t="s">
        <v>1134</v>
      </c>
      <c r="R80" s="3016"/>
      <c r="S80" s="3011"/>
      <c r="T80" s="3011"/>
      <c r="U80" s="3011"/>
      <c r="V80" s="3011"/>
      <c r="W80" s="2970"/>
      <c r="X80" s="1265">
        <f>((X72+D72-F72-(Motpart!D21+Motpart!E21+Motpart!F21)*0.06))+X76</f>
        <v>0</v>
      </c>
    </row>
    <row r="81" spans="1:24">
      <c r="A81" s="1242" t="s">
        <v>669</v>
      </c>
      <c r="B81" s="1241" t="s">
        <v>137</v>
      </c>
      <c r="C81" s="1517">
        <f>(C72-SUM(C73:C80)-D72)*-1</f>
        <v>0</v>
      </c>
      <c r="D81" s="1203"/>
      <c r="E81" s="1518">
        <f>(E72-SUM(E73:E79)-F72-(Motpart!D21+Motpart!E21+Motpart!F21)*0.06)*-1</f>
        <v>0</v>
      </c>
      <c r="F81" s="1203"/>
      <c r="G81" s="1519">
        <f>(G72-SUM(G73:G79))*-1</f>
        <v>0</v>
      </c>
      <c r="H81" s="161"/>
      <c r="I81" s="3055"/>
      <c r="J81" s="2409"/>
      <c r="K81" s="2409"/>
      <c r="L81" s="2417"/>
      <c r="M81" s="1280" t="e">
        <f>(Motpart!G21+Motpart!K21)*1000/J72</f>
        <v>#DIV/0!</v>
      </c>
      <c r="N81" s="1286"/>
      <c r="O81" s="1270" t="e">
        <f>IF(OR(M81="",N81=""),"",IF(AND(M81=0,N81=0),0,IF(N81=0,1,M81/N81-1)))</f>
        <v>#DIV/0!</v>
      </c>
      <c r="P81" s="1085" t="e">
        <f>IF(M81="","",IF(OR(AND(O81&gt;-50%,O81&lt;100%),X81&lt;1484),"","Kommentera förändringen"))</f>
        <v>#DIV/0!</v>
      </c>
      <c r="Q81" s="1260" t="s">
        <v>1586</v>
      </c>
      <c r="R81" s="3016"/>
      <c r="S81" s="3011"/>
      <c r="T81" s="3011"/>
      <c r="U81" s="3011"/>
      <c r="V81" s="3011"/>
      <c r="W81" s="2970"/>
      <c r="X81" s="1280">
        <f>Motpart!G21+Motpart!K21</f>
        <v>0</v>
      </c>
    </row>
    <row r="82" spans="1:24">
      <c r="A82" s="1242" t="s">
        <v>670</v>
      </c>
      <c r="B82" s="1241"/>
      <c r="C82" s="1215"/>
      <c r="D82" s="1204"/>
      <c r="E82" s="1215"/>
      <c r="F82" s="1215"/>
      <c r="G82" s="1217"/>
      <c r="H82" s="159"/>
      <c r="I82" s="3055"/>
      <c r="J82" s="2409"/>
      <c r="K82" s="2409"/>
      <c r="L82" s="2417"/>
      <c r="M82" s="1280" t="e">
        <f>F72*1000/J72</f>
        <v>#DIV/0!</v>
      </c>
      <c r="N82" s="1262"/>
      <c r="O82" s="1270" t="e">
        <f t="shared" ref="O82:O101" si="11">IF(OR(M82="",N82=""),"",IF(AND(M82=0,N82=0),0,IF(N82=0,1,M82/N82-1)))</f>
        <v>#DIV/0!</v>
      </c>
      <c r="P82" s="1085" t="e">
        <f>IF(M82="","",IF(OR(AND(O82&gt;-50%,O82&lt;100%),X82&lt;1737),"","Kommentera förändringen"))</f>
        <v>#DIV/0!</v>
      </c>
      <c r="Q82" s="1260" t="s">
        <v>1585</v>
      </c>
      <c r="R82" s="3016"/>
      <c r="S82" s="3011"/>
      <c r="T82" s="3011"/>
      <c r="U82" s="3011"/>
      <c r="V82" s="3011"/>
      <c r="W82" s="2970"/>
      <c r="X82" s="1280">
        <f>F72</f>
        <v>0</v>
      </c>
    </row>
    <row r="83" spans="1:24">
      <c r="A83" s="1242" t="s">
        <v>671</v>
      </c>
      <c r="B83" s="1246"/>
      <c r="C83" s="1215"/>
      <c r="D83" s="1204"/>
      <c r="E83" s="1215"/>
      <c r="F83" s="1215"/>
      <c r="G83" s="1217"/>
      <c r="H83" s="163"/>
      <c r="I83" s="3055"/>
      <c r="J83" s="2409"/>
      <c r="K83" s="2409"/>
      <c r="L83" s="2417"/>
      <c r="M83" s="1261" t="e">
        <f>Motpart!H21*1000/J72</f>
        <v>#DIV/0!</v>
      </c>
      <c r="N83" s="1262"/>
      <c r="O83" s="1270" t="e">
        <f t="shared" si="11"/>
        <v>#DIV/0!</v>
      </c>
      <c r="P83" s="1085" t="e">
        <f>IF(M83="","",IF(OR(AND(O83&gt;-50%,O83&lt;100%),X83&lt;1484),"","Kommentera förändringen"))</f>
        <v>#DIV/0!</v>
      </c>
      <c r="Q83" s="1260" t="s">
        <v>1588</v>
      </c>
      <c r="R83" s="3016"/>
      <c r="S83" s="3011"/>
      <c r="T83" s="3011"/>
      <c r="U83" s="3011"/>
      <c r="V83" s="3011"/>
      <c r="W83" s="2970"/>
      <c r="X83" s="1261">
        <f>Motpart!H21</f>
        <v>0</v>
      </c>
    </row>
    <row r="84" spans="1:24">
      <c r="A84" s="1223" t="s">
        <v>672</v>
      </c>
      <c r="B84" s="1241"/>
      <c r="C84" s="1204"/>
      <c r="D84" s="1204"/>
      <c r="E84" s="1204"/>
      <c r="F84" s="1204"/>
      <c r="G84" s="1214"/>
      <c r="H84" s="1523"/>
      <c r="I84" s="1524"/>
      <c r="J84" s="1799"/>
      <c r="K84" s="1287"/>
      <c r="L84" s="1287"/>
      <c r="M84" s="1261" t="e">
        <f>X84*1000/J72</f>
        <v>#DIV/0!</v>
      </c>
      <c r="N84" s="1286"/>
      <c r="O84" s="1270" t="e">
        <f t="shared" si="11"/>
        <v>#DIV/0!</v>
      </c>
      <c r="P84" s="1522" t="e">
        <f>IF(M84="","",IF(OR(AND(O84&gt;-50%,O84&lt;100%),X84&lt;1359),"","Kommentera förändringen"))</f>
        <v>#DIV/0!</v>
      </c>
      <c r="Q84" s="1260" t="s">
        <v>1136</v>
      </c>
      <c r="R84" s="3017"/>
      <c r="S84" s="3012"/>
      <c r="T84" s="3012"/>
      <c r="U84" s="3012"/>
      <c r="V84" s="3012"/>
      <c r="W84" s="2972"/>
      <c r="X84" s="1261">
        <f>(Motpart!D21+Motpart!E21+Motpart!F21)*0.94</f>
        <v>0</v>
      </c>
    </row>
    <row r="85" spans="1:24" ht="13" thickBot="1">
      <c r="A85" s="1244"/>
      <c r="B85" s="1251"/>
      <c r="C85" s="2208" t="str">
        <f>IF(ABS(C81)&lt;100,"",IF(C72=0,"C72",IF(ABS(C81/C72)&gt;0.01,"C81")))</f>
        <v/>
      </c>
      <c r="D85" s="2209"/>
      <c r="E85" s="2209" t="str">
        <f>IF(ABS(E81)&lt;100,"",IF(E72=0,"E72",IF(ABS(E81/E72)&gt;0.01,"E81")))</f>
        <v/>
      </c>
      <c r="F85" s="2209"/>
      <c r="G85" s="2210" t="str">
        <f>IF(ABS(G81)&lt;100,"",IF(G72=0,"G72",IF(ABS(G81/G72)&gt;0.01,"G81")))</f>
        <v/>
      </c>
      <c r="H85" s="162"/>
      <c r="I85" s="1274"/>
      <c r="J85" s="1800"/>
      <c r="K85" s="1264"/>
      <c r="L85" s="1287"/>
      <c r="M85" s="1265"/>
      <c r="N85" s="1266"/>
      <c r="O85" s="1276" t="str">
        <f t="shared" si="11"/>
        <v/>
      </c>
      <c r="P85" s="1283" t="str">
        <f>IF(C85="C72","Bruttokostnad i Driften=0",IF(C85="C81","Eliminera differens kolumn C",IF(E85="E72","Bruttointäkt i Driften = 0",IF(E85="E81","Eliminera differens kolumn E",IF(G85="G72","Interna intäkter i Driften=0",IF(G85="G81","Eliminera differens kolumn G",""))))))</f>
        <v/>
      </c>
      <c r="Q85" s="1277" t="s">
        <v>1749</v>
      </c>
      <c r="R85" s="285"/>
      <c r="S85" s="285"/>
      <c r="X85" s="1265"/>
    </row>
    <row r="86" spans="1:24" ht="12.75" customHeight="1">
      <c r="A86" s="1228" t="s">
        <v>469</v>
      </c>
      <c r="B86" s="1237" t="s">
        <v>641</v>
      </c>
      <c r="C86" s="175">
        <f>Drift!P60</f>
        <v>0</v>
      </c>
      <c r="D86" s="89">
        <f>SUM(Motpart!D22:L22)</f>
        <v>0</v>
      </c>
      <c r="E86" s="174">
        <f>Drift!W60</f>
        <v>0</v>
      </c>
      <c r="F86" s="89">
        <f>Motpart!Y22</f>
        <v>0</v>
      </c>
      <c r="G86" s="137">
        <f>Drift!V60</f>
        <v>0</v>
      </c>
      <c r="H86" s="164"/>
      <c r="I86" s="1290" t="s">
        <v>633</v>
      </c>
      <c r="J86" s="1798"/>
      <c r="K86" s="1291"/>
      <c r="L86" s="1291"/>
      <c r="M86" s="1284" t="e">
        <f>SUM(M87:M91)</f>
        <v>#DIV/0!</v>
      </c>
      <c r="N86" s="1285"/>
      <c r="O86" s="1278" t="e">
        <f t="shared" si="11"/>
        <v>#DIV/0!</v>
      </c>
      <c r="P86" s="1085" t="e">
        <f>IF(M86="","",IF(OR(AND(O86&gt;-300%,O86&lt;500%)),"","Kommentera förändringen"))</f>
        <v>#DIV/0!</v>
      </c>
      <c r="Q86" s="1260" t="s">
        <v>1137</v>
      </c>
      <c r="R86" s="96" t="s">
        <v>100</v>
      </c>
      <c r="X86" s="1284">
        <f>SUM(X87:X91)</f>
        <v>0</v>
      </c>
    </row>
    <row r="87" spans="1:24" ht="12.75" customHeight="1">
      <c r="A87" s="1223" t="s">
        <v>470</v>
      </c>
      <c r="B87" s="1238" t="s">
        <v>554</v>
      </c>
      <c r="C87" s="292"/>
      <c r="D87" s="1215"/>
      <c r="E87" s="268"/>
      <c r="F87" s="1207"/>
      <c r="G87" s="291"/>
      <c r="H87" s="163"/>
      <c r="I87" s="1292"/>
      <c r="J87" s="1801"/>
      <c r="K87" s="1287"/>
      <c r="L87" s="1287"/>
      <c r="M87" s="1280" t="e">
        <f>(C87-E87)*1000/$J$86</f>
        <v>#DIV/0!</v>
      </c>
      <c r="N87" s="1262"/>
      <c r="O87" s="1270" t="e">
        <f t="shared" si="11"/>
        <v>#DIV/0!</v>
      </c>
      <c r="P87" s="1085" t="e">
        <f>IF(M87="","",IF(OR(AND(O87&gt;-300%,O87&lt;500%)),"","Kommentera förändringen"))</f>
        <v>#DIV/0!</v>
      </c>
      <c r="Q87" s="1260" t="s">
        <v>1138</v>
      </c>
      <c r="R87" s="3015"/>
      <c r="S87" s="3010"/>
      <c r="T87" s="3010"/>
      <c r="U87" s="3010"/>
      <c r="V87" s="3010"/>
      <c r="W87" s="2968"/>
      <c r="X87" s="1280">
        <f>C87-E87</f>
        <v>0</v>
      </c>
    </row>
    <row r="88" spans="1:24" ht="12.75" customHeight="1">
      <c r="A88" s="1223" t="s">
        <v>471</v>
      </c>
      <c r="B88" s="1238" t="s">
        <v>1083</v>
      </c>
      <c r="C88" s="292"/>
      <c r="D88" s="1215"/>
      <c r="E88" s="268"/>
      <c r="F88" s="1207"/>
      <c r="G88" s="291"/>
      <c r="H88" s="163"/>
      <c r="I88" s="1292"/>
      <c r="J88" s="1801"/>
      <c r="K88" s="1287"/>
      <c r="L88" s="1287"/>
      <c r="M88" s="1280" t="e">
        <f>(C88-E88)*1000/$J$86</f>
        <v>#DIV/0!</v>
      </c>
      <c r="N88" s="1279"/>
      <c r="O88" s="1270" t="e">
        <f t="shared" si="11"/>
        <v>#DIV/0!</v>
      </c>
      <c r="P88" s="1085" t="e">
        <f>IF(M88="","",IF(OR(AND(O88&gt;-100%,O88&lt;500%)),"","Kommentera förändringen"))</f>
        <v>#DIV/0!</v>
      </c>
      <c r="Q88" s="1260" t="s">
        <v>1139</v>
      </c>
      <c r="R88" s="3016"/>
      <c r="S88" s="3011"/>
      <c r="T88" s="3011"/>
      <c r="U88" s="3011"/>
      <c r="V88" s="3011"/>
      <c r="W88" s="2970"/>
      <c r="X88" s="1280">
        <f>C88-E88</f>
        <v>0</v>
      </c>
    </row>
    <row r="89" spans="1:24" ht="15.75" customHeight="1">
      <c r="A89" s="1223" t="s">
        <v>472</v>
      </c>
      <c r="B89" s="1248" t="s">
        <v>993</v>
      </c>
      <c r="C89" s="292"/>
      <c r="D89" s="1215"/>
      <c r="E89" s="268"/>
      <c r="F89" s="1207"/>
      <c r="G89" s="291"/>
      <c r="H89" s="163"/>
      <c r="I89" s="1293"/>
      <c r="J89" s="1802"/>
      <c r="K89" s="1294"/>
      <c r="L89" s="1294"/>
      <c r="M89" s="1280" t="e">
        <f>(C89-E89)*1000/$J$86</f>
        <v>#DIV/0!</v>
      </c>
      <c r="N89" s="1286"/>
      <c r="O89" s="1270" t="e">
        <f t="shared" si="11"/>
        <v>#DIV/0!</v>
      </c>
      <c r="P89" s="1085" t="e">
        <f>IF(M89="","",IF(OR(AND(O89&gt;-100%,O89&lt;200%)),"","Kommentera förändringen"))</f>
        <v>#DIV/0!</v>
      </c>
      <c r="Q89" s="1260" t="s">
        <v>1140</v>
      </c>
      <c r="R89" s="3016"/>
      <c r="S89" s="3011"/>
      <c r="T89" s="3011"/>
      <c r="U89" s="3011"/>
      <c r="V89" s="3011"/>
      <c r="W89" s="2970"/>
      <c r="X89" s="1280">
        <f>C89-E89</f>
        <v>0</v>
      </c>
    </row>
    <row r="90" spans="1:24" ht="12.75" customHeight="1">
      <c r="A90" s="1223" t="s">
        <v>473</v>
      </c>
      <c r="B90" s="1240" t="s">
        <v>632</v>
      </c>
      <c r="C90" s="292"/>
      <c r="D90" s="1215" t="str">
        <f>IF(C86=0,"",IF(C90&lt;Drift!I60+Drift!J60+Drift!L60,"Kommentera",""))</f>
        <v/>
      </c>
      <c r="E90" s="268"/>
      <c r="F90" s="1207"/>
      <c r="G90" s="291"/>
      <c r="H90" s="163"/>
      <c r="I90" s="3056"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2396"/>
      <c r="K90" s="2396"/>
      <c r="L90" s="2397"/>
      <c r="M90" s="1280" t="e">
        <f>(C90-E90)*1000/$J$86</f>
        <v>#DIV/0!</v>
      </c>
      <c r="N90" s="1262"/>
      <c r="O90" s="1270" t="e">
        <f t="shared" si="11"/>
        <v>#DIV/0!</v>
      </c>
      <c r="P90" s="1085" t="e">
        <f>IF(M90="","",IF(OR(AND(O90&gt;-100%,O90&lt;500%)),"","Kommentera förändringen"))</f>
        <v>#DIV/0!</v>
      </c>
      <c r="Q90" s="1260" t="s">
        <v>1141</v>
      </c>
      <c r="R90" s="3016"/>
      <c r="S90" s="3011"/>
      <c r="T90" s="3011"/>
      <c r="U90" s="3011"/>
      <c r="V90" s="3011"/>
      <c r="W90" s="2970"/>
      <c r="X90" s="1280">
        <f>C90-E90</f>
        <v>0</v>
      </c>
    </row>
    <row r="91" spans="1:24" ht="12.75" customHeight="1">
      <c r="A91" s="1223" t="s">
        <v>474</v>
      </c>
      <c r="B91" s="1238" t="s">
        <v>503</v>
      </c>
      <c r="C91" s="292"/>
      <c r="D91" s="1215"/>
      <c r="E91" s="268"/>
      <c r="F91" s="1207"/>
      <c r="G91" s="291"/>
      <c r="H91" s="163"/>
      <c r="I91" s="3055"/>
      <c r="J91" s="2396"/>
      <c r="K91" s="2396"/>
      <c r="L91" s="2397"/>
      <c r="M91" s="1280" t="e">
        <f>(C91+C92-G91)*1000/J86</f>
        <v>#DIV/0!</v>
      </c>
      <c r="N91" s="1262"/>
      <c r="O91" s="1270" t="e">
        <f t="shared" si="11"/>
        <v>#DIV/0!</v>
      </c>
      <c r="P91" s="1085" t="e">
        <f>IF(SUM(E91-G91+100)&lt;Motpart!AA22,"Statsbidrag se kommentar till vänster",IF(M91="","",IF(OR(AND(O91&gt;-200%,O91&lt;500%)),"","Kommentera förändringen")))</f>
        <v>#DIV/0!</v>
      </c>
      <c r="Q91" s="1260" t="s">
        <v>1142</v>
      </c>
      <c r="R91" s="3016"/>
      <c r="S91" s="3011"/>
      <c r="T91" s="3011"/>
      <c r="U91" s="3011"/>
      <c r="V91" s="3011"/>
      <c r="W91" s="2970"/>
      <c r="X91" s="1280">
        <f>C91+C92-G91</f>
        <v>0</v>
      </c>
    </row>
    <row r="92" spans="1:24" ht="12.75" customHeight="1">
      <c r="A92" s="1223" t="s">
        <v>475</v>
      </c>
      <c r="B92" s="1252" t="s">
        <v>553</v>
      </c>
      <c r="C92" s="292"/>
      <c r="D92" s="2647" t="str">
        <f>IF(OR(C92 &gt; SUM(Drift!N60+Drift!O60+100), C92 &lt; SUM(Drift!N60+Drift!O60-100)),"Fördelad gemensam verksamhet skiljer sig mot Driftfliken.","")</f>
        <v/>
      </c>
      <c r="E92" s="1215"/>
      <c r="F92" s="1215"/>
      <c r="G92" s="1217"/>
      <c r="H92" s="163"/>
      <c r="I92" s="3055"/>
      <c r="J92" s="2396"/>
      <c r="K92" s="2396"/>
      <c r="L92" s="2397"/>
      <c r="M92" s="1295"/>
      <c r="N92" s="1279"/>
      <c r="O92" s="1270" t="str">
        <f t="shared" si="11"/>
        <v/>
      </c>
      <c r="P92" s="1085"/>
      <c r="Q92" s="1296"/>
      <c r="R92" s="3016"/>
      <c r="S92" s="3011"/>
      <c r="T92" s="3011"/>
      <c r="U92" s="3011"/>
      <c r="V92" s="3011"/>
      <c r="W92" s="2970"/>
      <c r="X92" s="1295"/>
    </row>
    <row r="93" spans="1:24" ht="12.75" customHeight="1">
      <c r="A93" s="1223"/>
      <c r="B93" s="1252" t="s">
        <v>137</v>
      </c>
      <c r="C93" s="1517">
        <f>(C86-SUM(C87:C92)-D86)*-1</f>
        <v>0</v>
      </c>
      <c r="D93" s="1219"/>
      <c r="E93" s="1518">
        <f>(E86-SUM(E87:E91)-F86-(Motpart!D22+Motpart!E22+Motpart!F22)*0.06)*-1</f>
        <v>0</v>
      </c>
      <c r="F93" s="1219"/>
      <c r="G93" s="1519">
        <f>(G86-SUM(G87:G91))*-1</f>
        <v>0</v>
      </c>
      <c r="H93" s="161"/>
      <c r="I93" s="3055"/>
      <c r="J93" s="2396"/>
      <c r="K93" s="2396"/>
      <c r="L93" s="2397"/>
      <c r="M93" s="1295"/>
      <c r="N93" s="1286"/>
      <c r="O93" s="1270" t="str">
        <f t="shared" si="11"/>
        <v/>
      </c>
      <c r="P93" s="1085" t="str">
        <f>IF(C94="C86","Bruttokostnad i Driften=0",IF(C94="C93","Eliminera differens kolumn C",IF(E94="E86","Bruttointäkt i Driften = 0",IF(E94="E93","Eliminera differens kolumn E",IF(G94="G86","Interna intäkter i Driften=0",IF(G94="G93","Eliminera differens kolumn G",""))))))</f>
        <v/>
      </c>
      <c r="Q93" s="1260" t="s">
        <v>558</v>
      </c>
      <c r="R93" s="3017"/>
      <c r="S93" s="3012"/>
      <c r="T93" s="3012"/>
      <c r="U93" s="3012"/>
      <c r="V93" s="3012"/>
      <c r="W93" s="2972"/>
      <c r="X93" s="1295"/>
    </row>
    <row r="94" spans="1:24" ht="16.5" customHeight="1" thickBot="1">
      <c r="A94" s="1244"/>
      <c r="B94" s="1245"/>
      <c r="C94" s="2208" t="str">
        <f>IF(ABS(C93)&lt;100,"",IF(C86=0,"C86",IF(ABS(C93/C86)&gt;0.01,"C93")))</f>
        <v/>
      </c>
      <c r="D94" s="2209"/>
      <c r="E94" s="2209" t="str">
        <f>IF(ABS(E93)&lt;100,"",IF(E86=0,"E86",IF(ABS(E93/E86)&gt;0.01,"E93")))</f>
        <v/>
      </c>
      <c r="F94" s="2209"/>
      <c r="G94" s="2210" t="str">
        <f>IF(ABS(G93)&lt;100,"",IF(G86=0,"G86",IF(ABS(G93/G86)&gt;0.01,"G93")))</f>
        <v/>
      </c>
      <c r="H94" s="178"/>
      <c r="I94" s="3057"/>
      <c r="J94" s="2419"/>
      <c r="K94" s="2419"/>
      <c r="L94" s="2420"/>
      <c r="M94" s="1297"/>
      <c r="N94" s="1266"/>
      <c r="O94" s="1276" t="str">
        <f t="shared" si="11"/>
        <v/>
      </c>
      <c r="P94" s="1283"/>
      <c r="Q94" s="1277"/>
      <c r="X94" s="1297"/>
    </row>
    <row r="95" spans="1:24" ht="12.75" customHeight="1">
      <c r="A95" s="1228" t="s">
        <v>476</v>
      </c>
      <c r="B95" s="1237" t="s">
        <v>642</v>
      </c>
      <c r="C95" s="88">
        <f>Drift!P61</f>
        <v>0</v>
      </c>
      <c r="D95" s="1220">
        <f>SUM(Motpart!D23:L23)</f>
        <v>0</v>
      </c>
      <c r="E95" s="174">
        <f>Drift!W61</f>
        <v>0</v>
      </c>
      <c r="F95" s="89">
        <f>Motpart!Y23</f>
        <v>0</v>
      </c>
      <c r="G95" s="137">
        <f>Drift!V61</f>
        <v>0</v>
      </c>
      <c r="H95" s="164"/>
      <c r="I95" s="1290" t="s">
        <v>633</v>
      </c>
      <c r="J95" s="1798"/>
      <c r="K95" s="1291"/>
      <c r="L95" s="1291"/>
      <c r="M95" s="1284" t="e">
        <f>SUM(M96:M100)</f>
        <v>#DIV/0!</v>
      </c>
      <c r="N95" s="1279"/>
      <c r="O95" s="1278" t="e">
        <f t="shared" si="11"/>
        <v>#DIV/0!</v>
      </c>
      <c r="P95" s="1085" t="e">
        <f>IF(M95="","",IF(OR(AND(O95&gt;-500%,O95&lt;500%)),"","Kommentera förändringen"))</f>
        <v>#DIV/0!</v>
      </c>
      <c r="Q95" s="1260" t="s">
        <v>1137</v>
      </c>
      <c r="R95" s="96" t="s">
        <v>101</v>
      </c>
      <c r="X95" s="1284">
        <f>SUM(X96:X100)</f>
        <v>0</v>
      </c>
    </row>
    <row r="96" spans="1:24" ht="12.75" customHeight="1">
      <c r="A96" s="1223" t="s">
        <v>477</v>
      </c>
      <c r="B96" s="1238" t="s">
        <v>554</v>
      </c>
      <c r="C96" s="292"/>
      <c r="D96" s="1215"/>
      <c r="E96" s="268"/>
      <c r="F96" s="1207"/>
      <c r="G96" s="291"/>
      <c r="H96" s="163"/>
      <c r="I96" s="1292"/>
      <c r="J96" s="1801"/>
      <c r="K96" s="1287"/>
      <c r="L96" s="1287"/>
      <c r="M96" s="1280" t="e">
        <f>(C96-E96)*1000/$J$95</f>
        <v>#DIV/0!</v>
      </c>
      <c r="N96" s="1286"/>
      <c r="O96" s="1270" t="e">
        <f t="shared" si="11"/>
        <v>#DIV/0!</v>
      </c>
      <c r="P96" s="1085" t="e">
        <f>IF(M96="","",IF(OR(AND(O96&gt;-300%,O96&lt;500%)),"","Kommentera förändringen"))</f>
        <v>#DIV/0!</v>
      </c>
      <c r="Q96" s="1260" t="s">
        <v>1138</v>
      </c>
      <c r="R96" s="3015"/>
      <c r="S96" s="3010"/>
      <c r="T96" s="3010"/>
      <c r="U96" s="3010"/>
      <c r="V96" s="3010"/>
      <c r="W96" s="2968"/>
      <c r="X96" s="1280">
        <f>C96-E96</f>
        <v>0</v>
      </c>
    </row>
    <row r="97" spans="1:24" ht="12.75" customHeight="1">
      <c r="A97" s="1223" t="s">
        <v>478</v>
      </c>
      <c r="B97" s="1238" t="s">
        <v>1083</v>
      </c>
      <c r="C97" s="292"/>
      <c r="D97" s="1215"/>
      <c r="E97" s="268"/>
      <c r="F97" s="1207"/>
      <c r="G97" s="291"/>
      <c r="H97" s="161"/>
      <c r="I97" s="1292"/>
      <c r="J97" s="1801"/>
      <c r="K97" s="1287"/>
      <c r="L97" s="1287"/>
      <c r="M97" s="1280" t="e">
        <f>(C97-E97)*1000/$J$95</f>
        <v>#DIV/0!</v>
      </c>
      <c r="N97" s="1262"/>
      <c r="O97" s="1270" t="e">
        <f t="shared" si="11"/>
        <v>#DIV/0!</v>
      </c>
      <c r="P97" s="1085" t="e">
        <f>IF(M97="","",IF(OR(AND(O97&gt;-100%,O97&lt;500%)),"","Kommentera förändringen"))</f>
        <v>#DIV/0!</v>
      </c>
      <c r="Q97" s="1260" t="s">
        <v>1139</v>
      </c>
      <c r="R97" s="3016"/>
      <c r="S97" s="3011"/>
      <c r="T97" s="3011"/>
      <c r="U97" s="3011"/>
      <c r="V97" s="3011"/>
      <c r="W97" s="2970"/>
      <c r="X97" s="1280">
        <f>C97-E97</f>
        <v>0</v>
      </c>
    </row>
    <row r="98" spans="1:24" ht="14.25" customHeight="1">
      <c r="A98" s="1223" t="s">
        <v>479</v>
      </c>
      <c r="B98" s="1239" t="s">
        <v>993</v>
      </c>
      <c r="C98" s="292"/>
      <c r="D98" s="1215"/>
      <c r="E98" s="268"/>
      <c r="F98" s="1207"/>
      <c r="G98" s="291"/>
      <c r="H98" s="159"/>
      <c r="I98" s="1293"/>
      <c r="J98" s="1802"/>
      <c r="K98" s="1294"/>
      <c r="L98" s="1294"/>
      <c r="M98" s="1280" t="e">
        <f>(C98-E98)*1000/$J$95</f>
        <v>#DIV/0!</v>
      </c>
      <c r="N98" s="1279"/>
      <c r="O98" s="1270" t="e">
        <f t="shared" si="11"/>
        <v>#DIV/0!</v>
      </c>
      <c r="P98" s="1085" t="e">
        <f>IF(M98="","",IF(OR(AND(O98&gt;-100%,O98&lt;200%)),"","Kommentera förändringen"))</f>
        <v>#DIV/0!</v>
      </c>
      <c r="Q98" s="1260" t="s">
        <v>1140</v>
      </c>
      <c r="R98" s="3016"/>
      <c r="S98" s="3011"/>
      <c r="T98" s="3011"/>
      <c r="U98" s="3011"/>
      <c r="V98" s="3011"/>
      <c r="W98" s="2970"/>
      <c r="X98" s="1280">
        <f>C98-E98</f>
        <v>0</v>
      </c>
    </row>
    <row r="99" spans="1:24" ht="15" customHeight="1">
      <c r="A99" s="1223" t="s">
        <v>480</v>
      </c>
      <c r="B99" s="1240" t="s">
        <v>632</v>
      </c>
      <c r="C99" s="292"/>
      <c r="D99" s="2697" t="str">
        <f>IF(C95=0,"",IF(C99&lt;Drift!I61+Drift!J61+Drift!L61,"Kommentera",""))</f>
        <v/>
      </c>
      <c r="E99" s="268"/>
      <c r="F99" s="1207"/>
      <c r="G99" s="291"/>
      <c r="H99" s="163"/>
      <c r="I99" s="3050"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2421"/>
      <c r="K99" s="2421"/>
      <c r="L99" s="2422"/>
      <c r="M99" s="1280" t="e">
        <f>(C99-E99)*1000/$J$95</f>
        <v>#DIV/0!</v>
      </c>
      <c r="N99" s="1286"/>
      <c r="O99" s="1270" t="e">
        <f t="shared" si="11"/>
        <v>#DIV/0!</v>
      </c>
      <c r="P99" s="1085" t="e">
        <f>IF(M99="","",IF(OR(AND(O99&gt;-100%,O99&lt;500%)),"","Kommentera förändringen"))</f>
        <v>#DIV/0!</v>
      </c>
      <c r="Q99" s="1260" t="s">
        <v>1141</v>
      </c>
      <c r="R99" s="3016"/>
      <c r="S99" s="3011"/>
      <c r="T99" s="3011"/>
      <c r="U99" s="3011"/>
      <c r="V99" s="3011"/>
      <c r="W99" s="2970"/>
      <c r="X99" s="1280">
        <f>C99-E99</f>
        <v>0</v>
      </c>
    </row>
    <row r="100" spans="1:24" ht="12.75" customHeight="1">
      <c r="A100" s="1223" t="s">
        <v>481</v>
      </c>
      <c r="B100" s="1238" t="s">
        <v>503</v>
      </c>
      <c r="C100" s="292"/>
      <c r="D100" s="1215"/>
      <c r="E100" s="268"/>
      <c r="F100" s="1207"/>
      <c r="G100" s="291"/>
      <c r="H100" s="161"/>
      <c r="I100" s="3051"/>
      <c r="J100" s="2421"/>
      <c r="K100" s="2421"/>
      <c r="L100" s="2422"/>
      <c r="M100" s="1280" t="e">
        <f>(C100+C101-G100)*1000/J95</f>
        <v>#DIV/0!</v>
      </c>
      <c r="N100" s="1262"/>
      <c r="O100" s="1270" t="e">
        <f t="shared" si="11"/>
        <v>#DIV/0!</v>
      </c>
      <c r="P100" s="1085" t="e">
        <f>IF(SUM(E100-G100+100)&lt;Motpart!AA23,"Statsbidrag se kommentar till vänster",IF(M100="","",IF(OR(AND(O100&gt;-100%,O100&lt;500%)),"","Kommentera förändringen")))</f>
        <v>#DIV/0!</v>
      </c>
      <c r="Q100" s="1260" t="s">
        <v>1142</v>
      </c>
      <c r="R100" s="3016"/>
      <c r="S100" s="3011"/>
      <c r="T100" s="3011"/>
      <c r="U100" s="3011"/>
      <c r="V100" s="3011"/>
      <c r="W100" s="2970"/>
      <c r="X100" s="1280">
        <f>C100+C101-G100</f>
        <v>0</v>
      </c>
    </row>
    <row r="101" spans="1:24" ht="19.5" customHeight="1">
      <c r="A101" s="1223" t="s">
        <v>482</v>
      </c>
      <c r="B101" s="1238" t="s">
        <v>553</v>
      </c>
      <c r="C101" s="292"/>
      <c r="D101" s="2647" t="str">
        <f>IF(OR(C101 &gt; SUM(Drift!N61+Drift!O61+100), C101 &lt; SUM(Drift!N61+Drift!O61-100)),"Fördelad gemensam verksamhet skiljer sig mot Driftfliken.","")</f>
        <v/>
      </c>
      <c r="E101" s="1215"/>
      <c r="F101" s="1215"/>
      <c r="G101" s="1217"/>
      <c r="H101" s="161"/>
      <c r="I101" s="3051"/>
      <c r="J101" s="2421"/>
      <c r="K101" s="2421"/>
      <c r="L101" s="2422"/>
      <c r="M101" s="1295" t="e">
        <f>(((M95*J95/1000)+D95-F95+((M86*J86/1000)+D86-F86)))/(J86)*1000</f>
        <v>#DIV/0!</v>
      </c>
      <c r="N101" s="1262"/>
      <c r="O101" s="1270" t="e">
        <f t="shared" si="11"/>
        <v>#DIV/0!</v>
      </c>
      <c r="P101" s="1085"/>
      <c r="Q101" s="1260" t="s">
        <v>1143</v>
      </c>
      <c r="R101" s="3017"/>
      <c r="S101" s="3012"/>
      <c r="T101" s="3012"/>
      <c r="U101" s="3012"/>
      <c r="V101" s="3012"/>
      <c r="W101" s="2972"/>
      <c r="X101" s="2293">
        <f>X95+D95-F95+X86+D86-F86</f>
        <v>0</v>
      </c>
    </row>
    <row r="102" spans="1:24" ht="15" customHeight="1" thickBot="1">
      <c r="A102" s="2190"/>
      <c r="B102" s="2191" t="s">
        <v>137</v>
      </c>
      <c r="C102" s="2192">
        <f>(C95-SUM(C96:C101)-D95)*-1</f>
        <v>0</v>
      </c>
      <c r="D102" s="1203"/>
      <c r="E102" s="2193">
        <f>(E95-SUM(E96:E100)-F95-(Motpart!D23+Motpart!E23+Motpart!F23)*0.06)*-1</f>
        <v>0</v>
      </c>
      <c r="F102" s="1203"/>
      <c r="G102" s="2194">
        <f>(G95-SUM(G96:G100))*-1</f>
        <v>0</v>
      </c>
      <c r="H102" s="1611"/>
      <c r="I102" s="3051"/>
      <c r="J102" s="2396"/>
      <c r="K102" s="2396"/>
      <c r="L102" s="2397"/>
      <c r="M102" s="2195"/>
      <c r="N102" s="2196"/>
      <c r="O102" s="1276"/>
      <c r="P102" s="1522" t="str">
        <f>IF(C103="C95","Bruttokostnad i Driften=0",IF(C103="C102","Eliminera differens i kolumn C",IF(E103="E95","Bruttointäkt i Driften = 0",IF(E103="E102","Eliminera differens kolumn E",IF(G103="G95","Interna intäkter i Driften=0",IF(G103="G102","Eliminera differens kolumn G",""))))))</f>
        <v/>
      </c>
      <c r="Q102" s="1260" t="s">
        <v>559</v>
      </c>
      <c r="R102" s="1595"/>
      <c r="S102" s="1595"/>
      <c r="T102" s="1595"/>
      <c r="U102" s="1595"/>
      <c r="V102" s="1595"/>
      <c r="W102" s="1595"/>
      <c r="X102" s="1297"/>
    </row>
    <row r="103" spans="1:24" ht="12.75" customHeight="1" thickBot="1">
      <c r="A103" s="2197"/>
      <c r="B103" s="2198"/>
      <c r="C103" s="2204" t="str">
        <f>IF(ABS(C102)&lt;100,"",IF(C95=0,"C95",IF(ABS(C102/C95)&gt;0.01,"C102")))</f>
        <v/>
      </c>
      <c r="D103" s="2205"/>
      <c r="E103" s="2206" t="str">
        <f>IF(ABS(E102)&lt;100,"",IF(E95=0,"E95",IF(ABS(E102/E95)&gt;0.01,"E102")))</f>
        <v/>
      </c>
      <c r="F103" s="2205"/>
      <c r="G103" s="2207" t="str">
        <f>IF(ABS(G102)&lt;100,"",IF(G95=0,"G95",IF(ABS(G102/G95)&gt;0.01,"G102")))</f>
        <v/>
      </c>
      <c r="H103" s="2199"/>
      <c r="I103" s="2398"/>
      <c r="J103" s="2398"/>
      <c r="K103" s="2398"/>
      <c r="L103" s="2399"/>
      <c r="M103" s="2200"/>
      <c r="N103" s="2201"/>
      <c r="O103" s="2201"/>
      <c r="P103" s="2202"/>
      <c r="Q103" s="2203"/>
      <c r="R103" s="2189"/>
      <c r="S103" s="1595"/>
      <c r="T103" s="1595"/>
      <c r="U103" s="1595"/>
      <c r="V103" s="1595"/>
      <c r="W103" s="1595"/>
      <c r="X103" s="1297"/>
    </row>
    <row r="104" spans="1:24" ht="13" thickTop="1">
      <c r="A104" s="2817" t="s">
        <v>1774</v>
      </c>
      <c r="B104" s="2810" t="s">
        <v>1769</v>
      </c>
      <c r="C104" s="88">
        <f>Drift!P62</f>
        <v>0</v>
      </c>
      <c r="D104" s="1220">
        <f>SUM(Motpart!D24:L24)</f>
        <v>0</v>
      </c>
      <c r="E104" s="174">
        <f>Drift!W62</f>
        <v>0</v>
      </c>
      <c r="F104" s="89">
        <f>Motpart!Y24</f>
        <v>0</v>
      </c>
      <c r="G104" s="137">
        <f>Drift!V62</f>
        <v>0</v>
      </c>
      <c r="H104" s="164"/>
      <c r="I104" s="1290" t="s">
        <v>1793</v>
      </c>
      <c r="J104" s="1798"/>
      <c r="K104" s="1291"/>
      <c r="L104" s="1291"/>
      <c r="M104" s="1284" t="e">
        <f>SUM(M105:M109)</f>
        <v>#DIV/0!</v>
      </c>
      <c r="N104" s="1279"/>
      <c r="O104" s="1278" t="e">
        <f t="shared" ref="O104:O110" si="12">IF(OR(M104="",N104=""),"",IF(AND(M104=0,N104=0),0,IF(N104=0,1,M104/N104-1)))</f>
        <v>#DIV/0!</v>
      </c>
      <c r="P104" s="1085" t="e">
        <f>IF(M104="","",IF(OR(AND(O104&gt;-200%,O104&lt;200%)),"","Kommentera förändringen"))</f>
        <v>#DIV/0!</v>
      </c>
      <c r="Q104" s="1260" t="s">
        <v>1794</v>
      </c>
      <c r="R104" s="96" t="s">
        <v>1773</v>
      </c>
      <c r="X104" s="1284">
        <f>SUM(X105:X109)</f>
        <v>0</v>
      </c>
    </row>
    <row r="105" spans="1:24">
      <c r="A105" s="2816" t="s">
        <v>1775</v>
      </c>
      <c r="B105" s="2811" t="s">
        <v>554</v>
      </c>
      <c r="C105" s="292"/>
      <c r="D105" s="1215"/>
      <c r="E105" s="268"/>
      <c r="F105" s="1207"/>
      <c r="G105" s="291"/>
      <c r="H105" s="163"/>
      <c r="I105" s="2759"/>
      <c r="J105" s="1801"/>
      <c r="K105" s="1287"/>
      <c r="L105" s="1287"/>
      <c r="M105" s="1280" t="e">
        <f>(C105-E105)*1000/$J$104</f>
        <v>#DIV/0!</v>
      </c>
      <c r="N105" s="2196"/>
      <c r="O105" s="1270" t="e">
        <f t="shared" si="12"/>
        <v>#DIV/0!</v>
      </c>
      <c r="P105" s="1085" t="e">
        <f t="shared" ref="P105:P108" si="13">IF(M105="","",IF(OR(AND(O105&gt;-200%,O105&lt;200%)),"","Kommentera förändringen"))</f>
        <v>#DIV/0!</v>
      </c>
      <c r="Q105" s="1260" t="s">
        <v>1795</v>
      </c>
      <c r="R105" s="3015"/>
      <c r="S105" s="3010"/>
      <c r="T105" s="3010"/>
      <c r="U105" s="3010"/>
      <c r="V105" s="3010"/>
      <c r="W105" s="2968"/>
      <c r="X105" s="1280">
        <f>C105-E105</f>
        <v>0</v>
      </c>
    </row>
    <row r="106" spans="1:24">
      <c r="A106" s="2816" t="s">
        <v>1776</v>
      </c>
      <c r="B106" s="2811" t="s">
        <v>1083</v>
      </c>
      <c r="C106" s="292"/>
      <c r="D106" s="1215"/>
      <c r="E106" s="268"/>
      <c r="F106" s="1207"/>
      <c r="G106" s="291"/>
      <c r="H106" s="161"/>
      <c r="I106" s="1292"/>
      <c r="J106" s="1801"/>
      <c r="K106" s="1287"/>
      <c r="L106" s="1287"/>
      <c r="M106" s="1280" t="e">
        <f>(C106-E106)*1000/$J$104</f>
        <v>#DIV/0!</v>
      </c>
      <c r="N106" s="1262"/>
      <c r="O106" s="1270" t="e">
        <f t="shared" si="12"/>
        <v>#DIV/0!</v>
      </c>
      <c r="P106" s="1085" t="e">
        <f t="shared" si="13"/>
        <v>#DIV/0!</v>
      </c>
      <c r="Q106" s="1260" t="s">
        <v>1796</v>
      </c>
      <c r="R106" s="3016"/>
      <c r="S106" s="3011"/>
      <c r="T106" s="3011"/>
      <c r="U106" s="3011"/>
      <c r="V106" s="3011"/>
      <c r="W106" s="2970"/>
      <c r="X106" s="1280">
        <f>C106-E106</f>
        <v>0</v>
      </c>
    </row>
    <row r="107" spans="1:24">
      <c r="A107" s="2816" t="s">
        <v>1777</v>
      </c>
      <c r="B107" s="2812" t="s">
        <v>993</v>
      </c>
      <c r="C107" s="292"/>
      <c r="D107" s="1215"/>
      <c r="E107" s="268"/>
      <c r="F107" s="1207"/>
      <c r="G107" s="291"/>
      <c r="H107" s="159"/>
      <c r="I107" s="1293"/>
      <c r="J107" s="1802"/>
      <c r="K107" s="1294"/>
      <c r="L107" s="1294"/>
      <c r="M107" s="1280" t="e">
        <f>(C107-E107)*1000/$J$104</f>
        <v>#DIV/0!</v>
      </c>
      <c r="N107" s="1279"/>
      <c r="O107" s="1270" t="e">
        <f t="shared" si="12"/>
        <v>#DIV/0!</v>
      </c>
      <c r="P107" s="1085" t="e">
        <f t="shared" si="13"/>
        <v>#DIV/0!</v>
      </c>
      <c r="Q107" s="1260" t="s">
        <v>1797</v>
      </c>
      <c r="R107" s="3016"/>
      <c r="S107" s="3011"/>
      <c r="T107" s="3011"/>
      <c r="U107" s="3011"/>
      <c r="V107" s="3011"/>
      <c r="W107" s="2970"/>
      <c r="X107" s="1280">
        <f>C107-E107</f>
        <v>0</v>
      </c>
    </row>
    <row r="108" spans="1:24" ht="16.5" customHeight="1">
      <c r="A108" s="2816" t="s">
        <v>1778</v>
      </c>
      <c r="B108" s="2813" t="s">
        <v>632</v>
      </c>
      <c r="C108" s="292"/>
      <c r="D108" s="2697" t="str">
        <f>IF(C104=0,"",IF(C108&lt;Drift!I62+Drift!J62+Drift!L62,"Kommentera",""))</f>
        <v/>
      </c>
      <c r="E108" s="268"/>
      <c r="F108" s="1207"/>
      <c r="G108" s="291"/>
      <c r="H108" s="163"/>
      <c r="I108" s="3050" t="str">
        <f>IF(SUM(E109-G109+100)&lt;Motpart!AA24,"I Motparten är statsbidragen "&amp;""&amp;(Motpart!AA24)&amp;" tkr. Alla bidrag från staten o statliga myndigheter, inklusive de från Migrationsverket, ska ingå under Övrigt som extern intäkt. De externa intäkterna på Övrigt-raden är dock bara "&amp;""&amp;(ROUND(E109-G109,0))&amp;" tkr. ","")</f>
        <v/>
      </c>
      <c r="J108" s="2421"/>
      <c r="K108" s="2421"/>
      <c r="L108" s="2422"/>
      <c r="M108" s="1280" t="e">
        <f>(C108-E108)*1000/$J$104</f>
        <v>#DIV/0!</v>
      </c>
      <c r="N108" s="2196"/>
      <c r="O108" s="1270" t="e">
        <f t="shared" si="12"/>
        <v>#DIV/0!</v>
      </c>
      <c r="P108" s="1085" t="e">
        <f t="shared" si="13"/>
        <v>#DIV/0!</v>
      </c>
      <c r="Q108" s="1260" t="s">
        <v>1798</v>
      </c>
      <c r="R108" s="3016"/>
      <c r="S108" s="3011"/>
      <c r="T108" s="3011"/>
      <c r="U108" s="3011"/>
      <c r="V108" s="3011"/>
      <c r="W108" s="2970"/>
      <c r="X108" s="1280">
        <f>C108-E108</f>
        <v>0</v>
      </c>
    </row>
    <row r="109" spans="1:24" ht="18.75" customHeight="1">
      <c r="A109" s="2816" t="s">
        <v>1779</v>
      </c>
      <c r="B109" s="2811" t="s">
        <v>503</v>
      </c>
      <c r="C109" s="292"/>
      <c r="D109" s="1215"/>
      <c r="E109" s="268"/>
      <c r="F109" s="1207"/>
      <c r="G109" s="291"/>
      <c r="H109" s="161"/>
      <c r="I109" s="3051"/>
      <c r="J109" s="2421"/>
      <c r="K109" s="2421"/>
      <c r="L109" s="2422"/>
      <c r="M109" s="1280" t="e">
        <f>(C109+C110-G109)*1000/J104</f>
        <v>#DIV/0!</v>
      </c>
      <c r="N109" s="1262"/>
      <c r="O109" s="1270" t="e">
        <f t="shared" si="12"/>
        <v>#DIV/0!</v>
      </c>
      <c r="P109" s="1085" t="e">
        <f>IF(SUM(E109-G109+100)&lt;Motpart!AA24,"Statsbidrag se kommentar till vänster",IF(M109="","",IF(OR(AND(O109&gt;-200%,O109&lt;200%)),"","Kommentera förändringen")))</f>
        <v>#DIV/0!</v>
      </c>
      <c r="Q109" s="1260" t="s">
        <v>1799</v>
      </c>
      <c r="R109" s="3016"/>
      <c r="S109" s="3011"/>
      <c r="T109" s="3011"/>
      <c r="U109" s="3011"/>
      <c r="V109" s="3011"/>
      <c r="W109" s="2970"/>
      <c r="X109" s="1280">
        <f>C109+C110-G109</f>
        <v>0</v>
      </c>
    </row>
    <row r="110" spans="1:24">
      <c r="A110" s="2816" t="s">
        <v>1780</v>
      </c>
      <c r="B110" s="2811" t="s">
        <v>553</v>
      </c>
      <c r="C110" s="292"/>
      <c r="D110" s="2647" t="str">
        <f>IF(OR(C110 &gt; SUM(Drift!N62+Drift!O62+100), C110 &lt; SUM(Drift!N62+Drift!O62-100)),"Fördelad gemensam verksamhet skiljer sig mot Driftfliken.","")</f>
        <v/>
      </c>
      <c r="E110" s="1215"/>
      <c r="F110" s="1215"/>
      <c r="G110" s="1217"/>
      <c r="H110" s="161"/>
      <c r="I110" s="3051"/>
      <c r="J110" s="2421"/>
      <c r="K110" s="2421"/>
      <c r="L110" s="2422"/>
      <c r="M110" s="2195" t="e">
        <f>((M104*J104/1000+D104-F104-(Motpart!D24+Motpart!E24+Motpart!F24)*0.06))/(J104)*1000</f>
        <v>#DIV/0!</v>
      </c>
      <c r="N110" s="1262"/>
      <c r="O110" s="1270" t="e">
        <f t="shared" si="12"/>
        <v>#DIV/0!</v>
      </c>
      <c r="P110" s="1085" t="e">
        <f>IF(M110="","",IF(OR(AND(O110&gt;-200%,O110&lt;200%)),"","Kommentera förändringen"))</f>
        <v>#DIV/0!</v>
      </c>
      <c r="Q110" s="1260" t="s">
        <v>1800</v>
      </c>
      <c r="R110" s="3016"/>
      <c r="S110" s="3011"/>
      <c r="T110" s="3011"/>
      <c r="U110" s="3011"/>
      <c r="V110" s="3011"/>
      <c r="W110" s="2970"/>
      <c r="X110" s="1280">
        <f>X104+D104-F104</f>
        <v>0</v>
      </c>
    </row>
    <row r="111" spans="1:24" ht="13" thickBot="1">
      <c r="A111" s="2815"/>
      <c r="B111" s="2814" t="s">
        <v>137</v>
      </c>
      <c r="C111" s="2192">
        <f>(C104-SUM(C105:C110)-D104)*-1</f>
        <v>0</v>
      </c>
      <c r="D111" s="1203"/>
      <c r="E111" s="2193">
        <f>(E104-SUM(E105:E109)-F104-(Motpart!D24+Motpart!E24+Motpart!F24)*0.06)*-1</f>
        <v>0</v>
      </c>
      <c r="F111" s="1203"/>
      <c r="G111" s="2194">
        <f>(G104-SUM(G105:G109))*-1</f>
        <v>0</v>
      </c>
      <c r="H111" s="1611"/>
      <c r="I111" s="3051"/>
      <c r="J111" s="2396"/>
      <c r="K111" s="2396"/>
      <c r="L111" s="2397"/>
      <c r="M111" s="2195"/>
      <c r="N111" s="2196"/>
      <c r="O111" s="1276"/>
      <c r="P111" s="1522" t="str">
        <f>IF(C112="C104","Bruttokostnad i Driften=0",IF(C112="C111","Eliminera differens i kolumn C",IF(E112="E104","Bruttointäkt i Driften = 0",IF(E112="E111","Eliminera differens kolumn E",IF(G112="G104","Interna intäkter i Driften=0",IF(G112="G111","Eliminera differens kolumn G",""))))))</f>
        <v/>
      </c>
      <c r="Q111" s="1260" t="s">
        <v>1770</v>
      </c>
      <c r="R111" s="3017"/>
      <c r="S111" s="3012"/>
      <c r="T111" s="3012"/>
      <c r="U111" s="3012"/>
      <c r="V111" s="3012"/>
      <c r="W111" s="2972"/>
      <c r="X111" s="1297"/>
    </row>
    <row r="112" spans="1:24" ht="13" thickBot="1">
      <c r="A112" s="2197"/>
      <c r="B112" s="2198"/>
      <c r="C112" s="2204" t="str">
        <f>IF(ABS(C111)&lt;100,"",IF(C104=0,"C104",IF(ABS(C111/C104)&gt;0.01,"C111")))</f>
        <v/>
      </c>
      <c r="D112" s="2205"/>
      <c r="E112" s="2206" t="str">
        <f>IF(ABS(E111)&lt;100,"",IF(E104=0,"E104",IF(ABS(E111/E104)&gt;0.01,"E111")))</f>
        <v/>
      </c>
      <c r="F112" s="2205"/>
      <c r="G112" s="2207" t="str">
        <f>IF(ABS(G111)&lt;100,"",IF(G104=0,"G104",IF(ABS(G111/G104)&gt;0.01,"G111")))</f>
        <v/>
      </c>
      <c r="H112" s="2199"/>
      <c r="I112" s="2398"/>
      <c r="J112" s="2398"/>
      <c r="K112" s="2398"/>
      <c r="L112" s="2399"/>
      <c r="M112" s="2200"/>
      <c r="N112" s="2201"/>
      <c r="O112" s="2201"/>
      <c r="P112" s="2202" t="str">
        <f>IF(C104=0,"Ni saknar kostnader för Svenska för invandrare, kontrollera","")</f>
        <v>Ni saknar kostnader för Svenska för invandrare, kontrollera</v>
      </c>
      <c r="Q112" s="2203"/>
    </row>
    <row r="113" ht="13" thickTop="1"/>
  </sheetData>
  <customSheetViews>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1"/>
      <headerFooter alignWithMargins="0"/>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3"/>
    </customSheetView>
  </customSheetViews>
  <mergeCells count="24">
    <mergeCell ref="I108:I111"/>
    <mergeCell ref="I51:I55"/>
    <mergeCell ref="I65:I69"/>
    <mergeCell ref="I79:I83"/>
    <mergeCell ref="I90:I94"/>
    <mergeCell ref="I99:I102"/>
    <mergeCell ref="D5:D7"/>
    <mergeCell ref="F5:F7"/>
    <mergeCell ref="G5:G7"/>
    <mergeCell ref="I4:L5"/>
    <mergeCell ref="I38:I42"/>
    <mergeCell ref="IV6:IV7"/>
    <mergeCell ref="M4:N6"/>
    <mergeCell ref="Q4:Q7"/>
    <mergeCell ref="R45:W56"/>
    <mergeCell ref="R59:W70"/>
    <mergeCell ref="R32:W42"/>
    <mergeCell ref="R105:W111"/>
    <mergeCell ref="R73:W84"/>
    <mergeCell ref="R87:W93"/>
    <mergeCell ref="R96:W101"/>
    <mergeCell ref="R9:W14"/>
    <mergeCell ref="R17:W22"/>
    <mergeCell ref="R25:W29"/>
  </mergeCells>
  <phoneticPr fontId="96" type="noConversion"/>
  <conditionalFormatting sqref="C11">
    <cfRule type="expression" dxfId="88" priority="25" stopIfTrue="1">
      <formula>C11&gt;C8</formula>
    </cfRule>
  </conditionalFormatting>
  <conditionalFormatting sqref="C19 E19 G19 C11 E11 G11 E13 E21 C27 E27 G27 E32:E38 G32:G38 C32:C39 E45:E51 G45:G51 C45:C52 E59:E65 G59:G65 C59:C66 E73:E79 G73:G79 C73:C80 E87:E91 G87:G91 C87:C92 E96:E100 G96:G100 C96:C101">
    <cfRule type="cellIs" dxfId="87" priority="30" stopIfTrue="1" operator="lessThan">
      <formula>-500</formula>
    </cfRule>
  </conditionalFormatting>
  <conditionalFormatting sqref="C19">
    <cfRule type="expression" dxfId="86" priority="28" stopIfTrue="1">
      <formula>C19&gt;C16</formula>
    </cfRule>
  </conditionalFormatting>
  <conditionalFormatting sqref="C27">
    <cfRule type="expression" dxfId="85" priority="20" stopIfTrue="1">
      <formula>C27&gt;C24</formula>
    </cfRule>
  </conditionalFormatting>
  <conditionalFormatting sqref="C40">
    <cfRule type="expression" dxfId="84" priority="49" stopIfTrue="1">
      <formula>ABS(C40/C31)&gt;0.03</formula>
    </cfRule>
  </conditionalFormatting>
  <conditionalFormatting sqref="C53">
    <cfRule type="expression" dxfId="83" priority="44" stopIfTrue="1">
      <formula>ABS(C53/C44)&gt;0.03</formula>
    </cfRule>
  </conditionalFormatting>
  <conditionalFormatting sqref="C67">
    <cfRule type="expression" dxfId="82" priority="43" stopIfTrue="1">
      <formula>ABS(C67/C57)&gt;0.03</formula>
    </cfRule>
  </conditionalFormatting>
  <conditionalFormatting sqref="C81">
    <cfRule type="expression" dxfId="81" priority="40" stopIfTrue="1">
      <formula>ABS(C81/C71)&gt;0.03</formula>
    </cfRule>
  </conditionalFormatting>
  <conditionalFormatting sqref="C93">
    <cfRule type="expression" dxfId="80" priority="37" stopIfTrue="1">
      <formula>ABS(C93/C85)&gt;0.03</formula>
    </cfRule>
  </conditionalFormatting>
  <conditionalFormatting sqref="C102:C103">
    <cfRule type="expression" dxfId="79" priority="34" stopIfTrue="1">
      <formula>ABS(C102/C94)&gt;0.03</formula>
    </cfRule>
  </conditionalFormatting>
  <conditionalFormatting sqref="C111:C112">
    <cfRule type="expression" dxfId="78" priority="6" stopIfTrue="1">
      <formula>ABS(C111/C103)&gt;0.03</formula>
    </cfRule>
  </conditionalFormatting>
  <conditionalFormatting sqref="E11">
    <cfRule type="expression" dxfId="77" priority="24" stopIfTrue="1">
      <formula>E11&gt;E8</formula>
    </cfRule>
  </conditionalFormatting>
  <conditionalFormatting sqref="E13">
    <cfRule type="expression" dxfId="76" priority="22" stopIfTrue="1">
      <formula>E13&gt;E12</formula>
    </cfRule>
  </conditionalFormatting>
  <conditionalFormatting sqref="E19">
    <cfRule type="expression" dxfId="75" priority="27" stopIfTrue="1">
      <formula>E19&gt;E16</formula>
    </cfRule>
  </conditionalFormatting>
  <conditionalFormatting sqref="E21">
    <cfRule type="expression" dxfId="74" priority="21" stopIfTrue="1">
      <formula>E21&gt;E20</formula>
    </cfRule>
  </conditionalFormatting>
  <conditionalFormatting sqref="E27">
    <cfRule type="expression" dxfId="73" priority="19" stopIfTrue="1">
      <formula>E27&gt;E24</formula>
    </cfRule>
  </conditionalFormatting>
  <conditionalFormatting sqref="E40">
    <cfRule type="expression" dxfId="72" priority="48" stopIfTrue="1">
      <formula>ABS(E40/E31)&gt;0.03</formula>
    </cfRule>
  </conditionalFormatting>
  <conditionalFormatting sqref="E53">
    <cfRule type="expression" dxfId="71" priority="46" stopIfTrue="1">
      <formula>ABS(E53/E43)&gt;0.03</formula>
    </cfRule>
  </conditionalFormatting>
  <conditionalFormatting sqref="E67">
    <cfRule type="expression" dxfId="70" priority="42" stopIfTrue="1">
      <formula>ABS(E67/E57)&gt;0.03</formula>
    </cfRule>
  </conditionalFormatting>
  <conditionalFormatting sqref="E81">
    <cfRule type="expression" dxfId="69" priority="39" stopIfTrue="1">
      <formula>ABS(E81/E71)&gt;0.03</formula>
    </cfRule>
  </conditionalFormatting>
  <conditionalFormatting sqref="E93">
    <cfRule type="expression" dxfId="68" priority="36" stopIfTrue="1">
      <formula>ABS(E93/E85)&gt;0.03</formula>
    </cfRule>
  </conditionalFormatting>
  <conditionalFormatting sqref="E102:E103">
    <cfRule type="expression" dxfId="67" priority="33" stopIfTrue="1">
      <formula>ABS(E102/E94)&gt;0.03</formula>
    </cfRule>
  </conditionalFormatting>
  <conditionalFormatting sqref="E105:E109 G105:G109 C105:C110">
    <cfRule type="cellIs" dxfId="66" priority="3" stopIfTrue="1" operator="lessThan">
      <formula>-500</formula>
    </cfRule>
  </conditionalFormatting>
  <conditionalFormatting sqref="E111:E112">
    <cfRule type="expression" dxfId="65" priority="5" stopIfTrue="1">
      <formula>ABS(E111/E103)&gt;0.03</formula>
    </cfRule>
  </conditionalFormatting>
  <conditionalFormatting sqref="G11 G32:G38 G59:G65">
    <cfRule type="expression" dxfId="64" priority="88" stopIfTrue="1">
      <formula>G11&gt;E11</formula>
    </cfRule>
  </conditionalFormatting>
  <conditionalFormatting sqref="G11">
    <cfRule type="expression" dxfId="63" priority="23" stopIfTrue="1">
      <formula>G11&gt;G8</formula>
    </cfRule>
  </conditionalFormatting>
  <conditionalFormatting sqref="G19">
    <cfRule type="expression" dxfId="62" priority="26" stopIfTrue="1">
      <formula>G19&gt;G16</formula>
    </cfRule>
    <cfRule type="expression" dxfId="61" priority="51" stopIfTrue="1">
      <formula>G19&gt;E19</formula>
    </cfRule>
  </conditionalFormatting>
  <conditionalFormatting sqref="G27">
    <cfRule type="expression" dxfId="60" priority="52" stopIfTrue="1">
      <formula>G27&gt;E27</formula>
    </cfRule>
    <cfRule type="expression" dxfId="59" priority="18" stopIfTrue="1">
      <formula>G27&gt;G24</formula>
    </cfRule>
  </conditionalFormatting>
  <conditionalFormatting sqref="G32:G38 G59:G65 G45:G51 G73:G79 G87:G91 G96:G100">
    <cfRule type="expression" dxfId="58" priority="89" stopIfTrue="1">
      <formula>G32&gt;E32</formula>
    </cfRule>
  </conditionalFormatting>
  <conditionalFormatting sqref="G40">
    <cfRule type="expression" dxfId="57" priority="47" stopIfTrue="1">
      <formula>ABS(G40/G31)&gt;0.03</formula>
    </cfRule>
  </conditionalFormatting>
  <conditionalFormatting sqref="G45:G51">
    <cfRule type="expression" dxfId="56" priority="77" stopIfTrue="1">
      <formula>G45&gt;E45</formula>
    </cfRule>
  </conditionalFormatting>
  <conditionalFormatting sqref="G53">
    <cfRule type="expression" dxfId="55" priority="45" stopIfTrue="1">
      <formula>ABS(G53/G43)&gt;0.03</formula>
    </cfRule>
  </conditionalFormatting>
  <conditionalFormatting sqref="G67">
    <cfRule type="expression" dxfId="54" priority="41" stopIfTrue="1">
      <formula>ABS(G67/G57)&gt;0.03</formula>
    </cfRule>
  </conditionalFormatting>
  <conditionalFormatting sqref="G81">
    <cfRule type="expression" dxfId="53" priority="38" stopIfTrue="1">
      <formula>ABS(G81/G71)&gt;0.03</formula>
    </cfRule>
  </conditionalFormatting>
  <conditionalFormatting sqref="G93">
    <cfRule type="expression" dxfId="52" priority="35" stopIfTrue="1">
      <formula>ABS(G93/G85)&gt;0.03</formula>
    </cfRule>
  </conditionalFormatting>
  <conditionalFormatting sqref="G102:G103">
    <cfRule type="expression" dxfId="51" priority="32" stopIfTrue="1">
      <formula>ABS(G102/G94)&gt;0.03</formula>
    </cfRule>
  </conditionalFormatting>
  <conditionalFormatting sqref="G105:G109">
    <cfRule type="expression" dxfId="50" priority="7" stopIfTrue="1">
      <formula>G105&gt;E105</formula>
    </cfRule>
  </conditionalFormatting>
  <conditionalFormatting sqref="G111:G112">
    <cfRule type="expression" dxfId="49" priority="4" stopIfTrue="1">
      <formula>ABS(G111/G103)&gt;0.03</formula>
    </cfRule>
  </conditionalFormatting>
  <dataValidations count="2">
    <dataValidation type="decimal" operator="lessThan" allowBlank="1" showInputMessage="1" showErrorMessage="1" error="Beloppen ska vara i 1000 tal kronor" sqref="C65489:C65490 G65517:K65517 L65533 C65480:C65482 C65464:C65465 E65464:F65465 E65472:F65473 C65472:C65473 E65480:F65482 E65489:F65490" xr:uid="{00000000-0002-0000-0800-00000000000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G105:G109 E105:E109 C105:C110" xr:uid="{00000000-0002-0000-0800-000001000000}">
      <formula1>99999999</formula1>
    </dataValidation>
  </dataValidations>
  <pageMargins left="0.47" right="0.47" top="0.74803149606299213" bottom="0.74803149606299213" header="0.31" footer="0.31496062992125984"/>
  <pageSetup paperSize="9" scale="96" orientation="landscape" r:id="rId4"/>
  <legacyDrawing r:id="rId5"/>
  <extLst>
    <ext xmlns:x14="http://schemas.microsoft.com/office/spreadsheetml/2009/9/main" uri="{78C0D931-6437-407d-A8EE-F0AAD7539E65}">
      <x14:conditionalFormattings>
        <x14:conditionalFormatting xmlns:xm="http://schemas.microsoft.com/office/excel/2006/main">
          <x14:cfRule type="expression" priority="8" id="{917F4404-C110-4D85-A7BD-AEA4F7FA6FA8}">
            <xm:f>SUM(E38-G38+100)&lt;Motpart!AA18</xm:f>
            <x14:dxf>
              <fill>
                <patternFill>
                  <bgColor theme="9" tint="0.59996337778862885"/>
                </patternFill>
              </fill>
            </x14:dxf>
          </x14:cfRule>
          <xm:sqref>I38:I42</xm:sqref>
        </x14:conditionalFormatting>
        <x14:conditionalFormatting xmlns:xm="http://schemas.microsoft.com/office/excel/2006/main">
          <x14:cfRule type="expression" priority="14" id="{28489C6D-3605-44EB-AF30-2D3BD554AD4E}">
            <xm:f>SUM(E51-G51+100)&lt;Motpart!AA19</xm:f>
            <x14:dxf>
              <font>
                <b val="0"/>
                <i val="0"/>
                <color auto="1"/>
              </font>
              <fill>
                <patternFill>
                  <bgColor theme="9" tint="0.59996337778862885"/>
                </patternFill>
              </fill>
            </x14:dxf>
          </x14:cfRule>
          <xm:sqref>I51:I55</xm:sqref>
        </x14:conditionalFormatting>
        <x14:conditionalFormatting xmlns:xm="http://schemas.microsoft.com/office/excel/2006/main">
          <x14:cfRule type="expression" priority="13" id="{468A7900-2D84-423B-9B3F-94D8EAA45899}">
            <xm:f>SUM(E65-G65+100)&lt;Motpart!AA20</xm:f>
            <x14:dxf>
              <font>
                <b val="0"/>
                <i val="0"/>
                <color auto="1"/>
              </font>
              <fill>
                <patternFill>
                  <bgColor theme="9" tint="0.59996337778862885"/>
                </patternFill>
              </fill>
            </x14:dxf>
          </x14:cfRule>
          <xm:sqref>I65:I68</xm:sqref>
        </x14:conditionalFormatting>
        <x14:conditionalFormatting xmlns:xm="http://schemas.microsoft.com/office/excel/2006/main">
          <x14:cfRule type="expression" priority="12" id="{4F84AA19-49AA-46E8-9ADE-79F22FCE6F07}">
            <xm:f>SUM(E79-G79+100)&lt;Motpart!AA21</xm:f>
            <x14:dxf>
              <font>
                <b val="0"/>
                <i val="0"/>
                <color auto="1"/>
              </font>
              <fill>
                <patternFill>
                  <bgColor theme="9" tint="0.59996337778862885"/>
                </patternFill>
              </fill>
            </x14:dxf>
          </x14:cfRule>
          <xm:sqref>I79:I81</xm:sqref>
        </x14:conditionalFormatting>
        <x14:conditionalFormatting xmlns:xm="http://schemas.microsoft.com/office/excel/2006/main">
          <x14:cfRule type="expression" priority="11" id="{FE6AF082-1113-4046-BE7C-F09FCD0440EC}">
            <xm:f>SUM(E91-G91+100)&lt;Motpart!AA22</xm:f>
            <x14:dxf>
              <font>
                <b val="0"/>
                <i val="0"/>
                <color auto="1"/>
              </font>
              <fill>
                <patternFill>
                  <bgColor theme="9" tint="0.59996337778862885"/>
                </patternFill>
              </fill>
            </x14:dxf>
          </x14:cfRule>
          <xm:sqref>I90:I91</xm:sqref>
        </x14:conditionalFormatting>
        <x14:conditionalFormatting xmlns:xm="http://schemas.microsoft.com/office/excel/2006/main">
          <x14:cfRule type="expression" priority="9" id="{AA617564-E5DF-4D7E-8EA7-BE3A8CD251A2}">
            <xm:f>SUM(E100-G100+100)&lt;Motpart!AA23</xm:f>
            <x14:dxf>
              <font>
                <color auto="1"/>
              </font>
              <fill>
                <patternFill>
                  <bgColor theme="9" tint="0.59996337778862885"/>
                </patternFill>
              </fill>
            </x14:dxf>
          </x14:cfRule>
          <xm:sqref>I99</xm:sqref>
        </x14:conditionalFormatting>
        <x14:conditionalFormatting xmlns:xm="http://schemas.microsoft.com/office/excel/2006/main">
          <x14:cfRule type="expression" priority="1" id="{2AEDF91C-1B73-4577-A410-FC85007A5F9C}">
            <xm:f>SUM(E109-G109+100)&lt;Motpart!AA24</xm:f>
            <x14:dxf>
              <font>
                <color auto="1"/>
              </font>
              <fill>
                <patternFill>
                  <bgColor theme="9" tint="0.59996337778862885"/>
                </patternFill>
              </fill>
            </x14:dxf>
          </x14:cfRule>
          <xm:sqref>I108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114</vt:i4>
      </vt:variant>
    </vt:vector>
  </HeadingPairs>
  <TitlesOfParts>
    <vt:vector size="128" baseType="lpstr">
      <vt:lpstr>Information</vt:lpstr>
      <vt:lpstr>RR</vt:lpstr>
      <vt:lpstr>BR</vt:lpstr>
      <vt:lpstr>Verks int o kostn</vt:lpstr>
      <vt:lpstr>Investeringar</vt:lpstr>
      <vt:lpstr>Skatter, bidrag o fin poster</vt:lpstr>
      <vt:lpstr>Drift</vt:lpstr>
      <vt:lpstr>Motpart</vt:lpstr>
      <vt:lpstr>Pedagogisk verksamhet</vt:lpstr>
      <vt:lpstr>Äldre o personer funktionsn</vt:lpstr>
      <vt:lpstr>IFO</vt:lpstr>
      <vt:lpstr>Kontrollblad</vt:lpstr>
      <vt:lpstr>Nyckeltal</vt:lpstr>
      <vt:lpstr>Felkontroll</vt:lpstr>
      <vt:lpstr>'Skatter, bidrag o fin poster'!_GoBack</vt:lpstr>
      <vt:lpstr>Affärsverksamhet</vt:lpstr>
      <vt:lpstr>Balanskravsutredningen</vt:lpstr>
      <vt:lpstr>Barn_o_ungdomsvård</vt:lpstr>
      <vt:lpstr>Barnomsorg</vt:lpstr>
      <vt:lpstr>Bidrag_o_transfer.</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Fritidshem</vt:lpstr>
      <vt:lpstr>Funktionsnedsättning</vt:lpstr>
      <vt:lpstr>Förskola</vt:lpstr>
      <vt:lpstr>Förskoleklass</vt:lpstr>
      <vt:lpstr>Förändring_anläggningstillgångar</vt:lpstr>
      <vt:lpstr>Grundskola</vt:lpstr>
      <vt:lpstr>Grundsärskola</vt:lpstr>
      <vt:lpstr>Grundvux</vt:lpstr>
      <vt:lpstr>Gymnasieskola</vt:lpstr>
      <vt:lpstr>Gymnasiesärskola</vt:lpstr>
      <vt:lpstr>Gymnvux</vt:lpstr>
      <vt:lpstr>inv7_15</vt:lpstr>
      <vt:lpstr>invanare</vt:lpstr>
      <vt:lpstr>Investeringar</vt:lpstr>
      <vt:lpstr>Invånare</vt:lpstr>
      <vt:lpstr>Jämförelsestörande_RR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Kontrollblad_1</vt:lpstr>
      <vt:lpstr>Kontrollblad_10</vt:lpstr>
      <vt:lpstr>Kontrollblad_11</vt:lpstr>
      <vt:lpstr>Kontrollblad_12</vt:lpstr>
      <vt:lpstr>Kontrollblad_13</vt:lpstr>
      <vt:lpstr>Kontrollblad_14</vt:lpstr>
      <vt:lpstr>Kontrollblad_15</vt:lpstr>
      <vt:lpstr>Kontrollblad_16</vt:lpstr>
      <vt:lpstr>Kontrollblad_17</vt:lpstr>
      <vt:lpstr>Kontrollblad_18</vt:lpstr>
      <vt:lpstr>Kontrollblad_19</vt:lpstr>
      <vt:lpstr>Kontrollblad_2</vt:lpstr>
      <vt:lpstr>Kontrollblad_3</vt:lpstr>
      <vt:lpstr>Kontrollblad_4</vt:lpstr>
      <vt:lpstr>Kontrollblad_5</vt:lpstr>
      <vt:lpstr>Kontrollblad_6</vt:lpstr>
      <vt:lpstr>Kontrollblad_7</vt:lpstr>
      <vt:lpstr>Kontrollblad_8</vt:lpstr>
      <vt:lpstr>Kontrollblad_9</vt:lpstr>
      <vt:lpstr>Köp_huvudvht</vt:lpstr>
      <vt:lpstr>LSS</vt:lpstr>
      <vt:lpstr>Pvchef</vt:lpstr>
      <vt:lpstr>SFI</vt:lpstr>
      <vt:lpstr>Skatter_bidrag_finpost</vt:lpstr>
      <vt:lpstr>Spec_intäkter</vt:lpstr>
      <vt:lpstr>Spec_VoO</vt:lpstr>
      <vt:lpstr>Tillägg_1_Invest</vt:lpstr>
      <vt:lpstr>Tillägg_2_Invest</vt:lpstr>
      <vt:lpstr>Utbildning</vt:lpstr>
      <vt:lpstr>Drift!Utskriftsområde</vt:lpstr>
      <vt:lpstr>Information!Utskriftsområde</vt:lpstr>
      <vt:lpstr>Investeringar!Utskriftsområde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Wizell</dc:creator>
  <cp:lastModifiedBy>Hallbäck Ismael D/INS/ES-Ö</cp:lastModifiedBy>
  <cp:lastPrinted>2017-01-24T13:58:32Z</cp:lastPrinted>
  <dcterms:created xsi:type="dcterms:W3CDTF">2008-10-17T09:37:32Z</dcterms:created>
  <dcterms:modified xsi:type="dcterms:W3CDTF">2025-12-19T14:05:51Z</dcterms:modified>
</cp:coreProperties>
</file>